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60" windowWidth="20115" windowHeight="8010"/>
  </bookViews>
  <sheets>
    <sheet name="4.sz tájékoztató t " sheetId="1" r:id="rId1"/>
  </sheets>
  <calcPr calcId="145621"/>
</workbook>
</file>

<file path=xl/calcChain.xml><?xml version="1.0" encoding="utf-8"?>
<calcChain xmlns="http://schemas.openxmlformats.org/spreadsheetml/2006/main">
  <c r="Q26" i="1" l="1"/>
  <c r="O25" i="1"/>
  <c r="R25" i="1" s="1"/>
  <c r="N24" i="1"/>
  <c r="M24" i="1"/>
  <c r="L24" i="1"/>
  <c r="K24" i="1"/>
  <c r="J24" i="1"/>
  <c r="I24" i="1"/>
  <c r="H24" i="1"/>
  <c r="G24" i="1"/>
  <c r="F24" i="1"/>
  <c r="O24" i="1" s="1"/>
  <c r="R24" i="1" s="1"/>
  <c r="N23" i="1"/>
  <c r="O23" i="1" s="1"/>
  <c r="R23" i="1" s="1"/>
  <c r="N22" i="1"/>
  <c r="M22" i="1"/>
  <c r="L22" i="1"/>
  <c r="J22" i="1"/>
  <c r="I22" i="1"/>
  <c r="H22" i="1"/>
  <c r="G22" i="1"/>
  <c r="O22" i="1" s="1"/>
  <c r="R22" i="1" s="1"/>
  <c r="N21" i="1"/>
  <c r="M21" i="1"/>
  <c r="L21" i="1"/>
  <c r="K21" i="1"/>
  <c r="J21" i="1"/>
  <c r="I21" i="1"/>
  <c r="H21" i="1"/>
  <c r="G21" i="1"/>
  <c r="F21" i="1"/>
  <c r="O21" i="1" s="1"/>
  <c r="R21" i="1" s="1"/>
  <c r="N20" i="1"/>
  <c r="M20" i="1"/>
  <c r="L20" i="1"/>
  <c r="K20" i="1"/>
  <c r="I20" i="1"/>
  <c r="G20" i="1"/>
  <c r="E20" i="1"/>
  <c r="O20" i="1" s="1"/>
  <c r="R20" i="1" s="1"/>
  <c r="N19" i="1"/>
  <c r="M19" i="1"/>
  <c r="L19" i="1"/>
  <c r="O19" i="1" s="1"/>
  <c r="R19" i="1" s="1"/>
  <c r="N18" i="1"/>
  <c r="M18" i="1"/>
  <c r="L18" i="1"/>
  <c r="K18" i="1"/>
  <c r="J18" i="1"/>
  <c r="I18" i="1"/>
  <c r="H18" i="1"/>
  <c r="G18" i="1"/>
  <c r="F18" i="1"/>
  <c r="E18" i="1"/>
  <c r="O18" i="1" s="1"/>
  <c r="R18" i="1" s="1"/>
  <c r="N17" i="1"/>
  <c r="M17" i="1"/>
  <c r="L17" i="1"/>
  <c r="K17" i="1"/>
  <c r="J17" i="1"/>
  <c r="I17" i="1"/>
  <c r="H17" i="1"/>
  <c r="G17" i="1"/>
  <c r="F17" i="1"/>
  <c r="E17" i="1"/>
  <c r="D17" i="1"/>
  <c r="D26" i="1" s="1"/>
  <c r="C17" i="1"/>
  <c r="C26" i="1" s="1"/>
  <c r="N16" i="1"/>
  <c r="N26" i="1" s="1"/>
  <c r="M16" i="1"/>
  <c r="M26" i="1" s="1"/>
  <c r="L16" i="1"/>
  <c r="L26" i="1" s="1"/>
  <c r="K16" i="1"/>
  <c r="K26" i="1" s="1"/>
  <c r="J16" i="1"/>
  <c r="J26" i="1" s="1"/>
  <c r="I16" i="1"/>
  <c r="I26" i="1" s="1"/>
  <c r="H16" i="1"/>
  <c r="H26" i="1" s="1"/>
  <c r="G16" i="1"/>
  <c r="G26" i="1" s="1"/>
  <c r="F16" i="1"/>
  <c r="F26" i="1" s="1"/>
  <c r="E16" i="1"/>
  <c r="E26" i="1" s="1"/>
  <c r="R15" i="1"/>
  <c r="Q14" i="1"/>
  <c r="M13" i="1"/>
  <c r="O13" i="1" s="1"/>
  <c r="R13" i="1" s="1"/>
  <c r="O12" i="1"/>
  <c r="R12" i="1" s="1"/>
  <c r="N11" i="1"/>
  <c r="L11" i="1"/>
  <c r="O11" i="1" s="1"/>
  <c r="R11" i="1" s="1"/>
  <c r="K11" i="1"/>
  <c r="R10" i="1"/>
  <c r="O10" i="1"/>
  <c r="N9" i="1"/>
  <c r="M9" i="1"/>
  <c r="L9" i="1"/>
  <c r="K9" i="1"/>
  <c r="J9" i="1"/>
  <c r="I9" i="1"/>
  <c r="H9" i="1"/>
  <c r="O9" i="1" s="1"/>
  <c r="R9" i="1" s="1"/>
  <c r="N8" i="1"/>
  <c r="N14" i="1" s="1"/>
  <c r="N27" i="1" s="1"/>
  <c r="M8" i="1"/>
  <c r="K8" i="1"/>
  <c r="H8" i="1"/>
  <c r="O8" i="1" s="1"/>
  <c r="R8" i="1" s="1"/>
  <c r="K7" i="1"/>
  <c r="H7" i="1"/>
  <c r="O7" i="1" s="1"/>
  <c r="R7" i="1" s="1"/>
  <c r="G7" i="1"/>
  <c r="M6" i="1"/>
  <c r="F6" i="1"/>
  <c r="E6" i="1"/>
  <c r="C6" i="1"/>
  <c r="O6" i="1" s="1"/>
  <c r="R6" i="1" s="1"/>
  <c r="M5" i="1"/>
  <c r="M14" i="1" s="1"/>
  <c r="M27" i="1" s="1"/>
  <c r="L5" i="1"/>
  <c r="L14" i="1" s="1"/>
  <c r="L27" i="1" s="1"/>
  <c r="K5" i="1"/>
  <c r="K14" i="1" s="1"/>
  <c r="K27" i="1" s="1"/>
  <c r="J5" i="1"/>
  <c r="J14" i="1" s="1"/>
  <c r="J27" i="1" s="1"/>
  <c r="I5" i="1"/>
  <c r="I14" i="1" s="1"/>
  <c r="I27" i="1" s="1"/>
  <c r="H5" i="1"/>
  <c r="H14" i="1" s="1"/>
  <c r="H27" i="1" s="1"/>
  <c r="G5" i="1"/>
  <c r="G14" i="1" s="1"/>
  <c r="G27" i="1" s="1"/>
  <c r="F5" i="1"/>
  <c r="F14" i="1" s="1"/>
  <c r="F27" i="1" s="1"/>
  <c r="E5" i="1"/>
  <c r="E14" i="1" s="1"/>
  <c r="E27" i="1" s="1"/>
  <c r="D5" i="1"/>
  <c r="D14" i="1" s="1"/>
  <c r="D27" i="1" s="1"/>
  <c r="C5" i="1"/>
  <c r="C14" i="1" s="1"/>
  <c r="C27" i="1" l="1"/>
  <c r="O14" i="1"/>
  <c r="O26" i="1"/>
  <c r="R26" i="1" s="1"/>
  <c r="O5" i="1"/>
  <c r="R5" i="1" s="1"/>
  <c r="O16" i="1"/>
  <c r="R16" i="1" s="1"/>
  <c r="O17" i="1"/>
  <c r="R17" i="1" s="1"/>
  <c r="O27" i="1" l="1"/>
  <c r="R14" i="1"/>
</calcChain>
</file>

<file path=xl/sharedStrings.xml><?xml version="1.0" encoding="utf-8"?>
<sst xmlns="http://schemas.openxmlformats.org/spreadsheetml/2006/main" count="65" uniqueCount="65">
  <si>
    <t>Előirányzat-felhasználási terv
2017 évre</t>
  </si>
  <si>
    <t>Forintban !</t>
  </si>
  <si>
    <t>Sor-szám</t>
  </si>
  <si>
    <t>Megnevezés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</si>
  <si>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</si>
  <si>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</si>
  <si>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</si>
  <si>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</si>
  <si>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</si>
  <si>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</si>
  <si>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</si>
  <si>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</si>
  <si>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</si>
  <si>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</si>
  <si>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</si>
  <si>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</si>
  <si>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Összesen:</t>
  </si>
  <si>
    <t>1.</t>
  </si>
  <si>
    <t>Bevételek</t>
  </si>
  <si>
    <t>2.</t>
  </si>
  <si>
    <t>Önkormányzatok működési támogatásai</t>
  </si>
  <si>
    <t>3.</t>
  </si>
  <si>
    <t>Működési célú támogatások ÁH-on belül</t>
  </si>
  <si>
    <t>4.</t>
  </si>
  <si>
    <t>Felhalmozási célú támogatások ÁH-on belül</t>
  </si>
  <si>
    <t>5.</t>
  </si>
  <si>
    <t>Közhatalmi bevételek</t>
  </si>
  <si>
    <t>6.</t>
  </si>
  <si>
    <t>Működési bevételek</t>
  </si>
  <si>
    <t>7.</t>
  </si>
  <si>
    <t>Felhalmozási bevételek</t>
  </si>
  <si>
    <t>8.</t>
  </si>
  <si>
    <t>Működési célú átvett pénzeszközök</t>
  </si>
  <si>
    <t>9.</t>
  </si>
  <si>
    <t>Felhalmozási célú átvett pénzeszközök</t>
  </si>
  <si>
    <t>10.</t>
  </si>
  <si>
    <t>Finanszírozási bevételek</t>
  </si>
  <si>
    <t>11.</t>
  </si>
  <si>
    <t>Bevételek összesen:</t>
  </si>
  <si>
    <t>12.</t>
  </si>
  <si>
    <t>Kiadások</t>
  </si>
  <si>
    <t>13.</t>
  </si>
  <si>
    <t>Személyi juttatások</t>
  </si>
  <si>
    <t>14.</t>
  </si>
  <si>
    <t>Munkaadókat terhelő járulékok és szociális hozzájárulási adó</t>
  </si>
  <si>
    <t>15.</t>
  </si>
  <si>
    <t>Dologi  kiadások</t>
  </si>
  <si>
    <t>16.</t>
  </si>
  <si>
    <t>Ellátottak pénzbeli juttatásai</t>
  </si>
  <si>
    <t>17.</t>
  </si>
  <si>
    <t xml:space="preserve"> Egyéb működési célú kiadások</t>
  </si>
  <si>
    <t>18.</t>
  </si>
  <si>
    <t>Beruházások</t>
  </si>
  <si>
    <t>19.</t>
  </si>
  <si>
    <t>Felújítások</t>
  </si>
  <si>
    <t>20.</t>
  </si>
  <si>
    <t>Egyéb felhalmozási kiadások</t>
  </si>
  <si>
    <t>21.</t>
  </si>
  <si>
    <t>Tartalékok</t>
  </si>
  <si>
    <t>22.</t>
  </si>
  <si>
    <t>Finanszírozási kiadások</t>
  </si>
  <si>
    <t>23.</t>
  </si>
  <si>
    <t>Kiadások összesen:</t>
  </si>
  <si>
    <t>24.</t>
  </si>
  <si>
    <t>Egyenleg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</si>
</sst>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#"/>
    <numFmt numFmtId="165" formatCode="_-* #,##0.00\ _F_t_-;\-* #,##0.00\ _F_t_-;_-* &quot;-&quot;??\ _F_t_-;_-@_-"/>
  </numFmts>
  <fonts count="21" x14ac:knownFonts="1">
    <font>
      <sz val="10"/>
      <name val="Times New Roman CE"/>
      <charset val="238"/>
    </font>
    <font>
      <sz val="12"/>
      <name val="Times New Roman CE"/>
      <charset val="238"/>
    </font>
    <font>
      <b/>
      <sz val="12"/>
      <name val="Times New Roman CE"/>
      <charset val="238"/>
    </font>
    <font>
      <sz val="8"/>
      <name val="Times New Roman CE"/>
      <charset val="238"/>
    </font>
    <font>
      <sz val="10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charset val="238"/>
    </font>
    <font>
      <sz val="8"/>
      <name val="Times New Roman CE"/>
      <family val="1"/>
      <charset val="238"/>
    </font>
    <font>
      <b/>
      <i/>
      <sz val="9"/>
      <name val="Times New Roman CE"/>
      <family val="1"/>
      <charset val="238"/>
    </font>
    <font>
      <b/>
      <sz val="8"/>
      <name val="Times New Roman CE"/>
      <charset val="238"/>
    </font>
    <font>
      <b/>
      <sz val="8"/>
      <color rgb="FFFF0000"/>
      <name val="Times New Roman CE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10"/>
      <name val="Times New Roman CE"/>
      <family val="1"/>
      <charset val="238"/>
    </font>
    <font>
      <b/>
      <sz val="11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0">
    <xf numFmtId="0" fontId="0" fillId="0" borderId="0"/>
    <xf numFmtId="0" fontId="1" fillId="0" borderId="0"/>
    <xf numFmtId="0" fontId="15" fillId="2" borderId="0" applyNumberFormat="0" applyBorder="0" applyAlignment="0" applyProtection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2" borderId="0" applyNumberFormat="0" applyBorder="0" applyAlignment="0" applyProtection="0"/>
    <xf numFmtId="0" fontId="15" fillId="6" borderId="0" applyNumberFormat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17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16" fillId="0" borderId="0"/>
    <xf numFmtId="0" fontId="16" fillId="0" borderId="0"/>
    <xf numFmtId="0" fontId="16" fillId="0" borderId="0"/>
  </cellStyleXfs>
  <cellXfs count="66">
    <xf numFmtId="0" fontId="0" fillId="0" borderId="0" xfId="0"/>
    <xf numFmtId="0" fontId="2" fillId="0" borderId="0" xfId="1" applyFont="1" applyFill="1" applyAlignment="1" applyProtection="1">
      <alignment horizontal="center" wrapText="1"/>
    </xf>
    <xf numFmtId="0" fontId="2" fillId="0" borderId="0" xfId="1" applyFont="1" applyFill="1" applyAlignment="1" applyProtection="1">
      <alignment horizontal="center"/>
    </xf>
    <xf numFmtId="0" fontId="2" fillId="0" borderId="0" xfId="1" applyFont="1" applyFill="1" applyBorder="1" applyAlignment="1" applyProtection="1">
      <alignment horizontal="center"/>
    </xf>
    <xf numFmtId="3" fontId="3" fillId="0" borderId="0" xfId="1" applyNumberFormat="1" applyFont="1" applyFill="1" applyProtection="1">
      <protection locked="0"/>
    </xf>
    <xf numFmtId="0" fontId="1" fillId="0" borderId="0" xfId="1" applyFill="1" applyProtection="1">
      <protection locked="0"/>
    </xf>
    <xf numFmtId="0" fontId="1" fillId="0" borderId="0" xfId="1" applyFill="1" applyProtection="1"/>
    <xf numFmtId="0" fontId="5" fillId="0" borderId="0" xfId="0" applyFont="1" applyFill="1" applyAlignment="1">
      <alignment horizontal="right"/>
    </xf>
    <xf numFmtId="0" fontId="5" fillId="0" borderId="0" xfId="0" applyFont="1" applyFill="1" applyBorder="1" applyAlignment="1">
      <alignment horizontal="right"/>
    </xf>
    <xf numFmtId="0" fontId="6" fillId="0" borderId="1" xfId="1" applyFont="1" applyFill="1" applyBorder="1" applyAlignment="1" applyProtection="1">
      <alignment horizontal="center" vertical="center" wrapText="1"/>
      <protection locked="0"/>
    </xf>
    <xf numFmtId="0" fontId="6" fillId="0" borderId="2" xfId="1" applyFont="1" applyFill="1" applyBorder="1" applyAlignment="1" applyProtection="1">
      <alignment horizontal="center" vertical="center"/>
      <protection locked="0"/>
    </xf>
    <xf numFmtId="0" fontId="6" fillId="0" borderId="3" xfId="1" applyFont="1" applyFill="1" applyBorder="1" applyAlignment="1" applyProtection="1">
      <alignment horizontal="center" vertical="center"/>
      <protection locked="0"/>
    </xf>
    <xf numFmtId="0" fontId="6" fillId="0" borderId="0" xfId="1" applyFont="1" applyFill="1" applyBorder="1" applyAlignment="1" applyProtection="1">
      <alignment horizontal="center" vertical="center"/>
      <protection locked="0"/>
    </xf>
    <xf numFmtId="0" fontId="7" fillId="0" borderId="4" xfId="1" applyFont="1" applyFill="1" applyBorder="1" applyAlignment="1" applyProtection="1">
      <alignment horizontal="left" vertical="center" indent="1"/>
    </xf>
    <xf numFmtId="0" fontId="8" fillId="0" borderId="5" xfId="1" applyFont="1" applyFill="1" applyBorder="1" applyAlignment="1" applyProtection="1">
      <alignment horizontal="left" vertical="center" indent="1"/>
    </xf>
    <xf numFmtId="0" fontId="8" fillId="0" borderId="6" xfId="1" applyFont="1" applyFill="1" applyBorder="1" applyAlignment="1" applyProtection="1">
      <alignment horizontal="left" vertical="center" indent="1"/>
    </xf>
    <xf numFmtId="0" fontId="8" fillId="0" borderId="7" xfId="1" applyFont="1" applyFill="1" applyBorder="1" applyAlignment="1" applyProtection="1">
      <alignment horizontal="left" vertical="center" indent="1"/>
    </xf>
    <xf numFmtId="0" fontId="8" fillId="0" borderId="0" xfId="1" applyFont="1" applyFill="1" applyBorder="1" applyAlignment="1" applyProtection="1">
      <alignment horizontal="left" vertical="center" indent="1"/>
    </xf>
    <xf numFmtId="3" fontId="3" fillId="0" borderId="0" xfId="1" applyNumberFormat="1" applyFont="1" applyFill="1" applyAlignment="1" applyProtection="1">
      <alignment vertical="center"/>
    </xf>
    <xf numFmtId="0" fontId="1" fillId="0" borderId="0" xfId="1" applyFill="1" applyAlignment="1" applyProtection="1">
      <alignment vertical="center"/>
    </xf>
    <xf numFmtId="0" fontId="7" fillId="0" borderId="8" xfId="1" applyFont="1" applyFill="1" applyBorder="1" applyAlignment="1" applyProtection="1">
      <alignment horizontal="left" vertical="center" indent="1"/>
    </xf>
    <xf numFmtId="0" fontId="7" fillId="0" borderId="9" xfId="1" applyFont="1" applyFill="1" applyBorder="1" applyAlignment="1" applyProtection="1">
      <alignment horizontal="left" vertical="center" wrapText="1" indent="1"/>
    </xf>
    <xf numFmtId="164" fontId="3" fillId="0" borderId="9" xfId="1" applyNumberFormat="1" applyFont="1" applyFill="1" applyBorder="1" applyAlignment="1" applyProtection="1">
      <alignment vertical="center"/>
      <protection locked="0"/>
    </xf>
    <xf numFmtId="164" fontId="9" fillId="0" borderId="10" xfId="1" applyNumberFormat="1" applyFont="1" applyFill="1" applyBorder="1" applyAlignment="1" applyProtection="1">
      <alignment vertical="center"/>
    </xf>
    <xf numFmtId="164" fontId="10" fillId="0" borderId="0" xfId="1" applyNumberFormat="1" applyFont="1" applyFill="1" applyBorder="1" applyAlignment="1" applyProtection="1">
      <alignment vertical="center"/>
    </xf>
    <xf numFmtId="3" fontId="3" fillId="0" borderId="11" xfId="1" applyNumberFormat="1" applyFont="1" applyFill="1" applyBorder="1" applyAlignment="1" applyProtection="1">
      <alignment vertical="center"/>
    </xf>
    <xf numFmtId="3" fontId="3" fillId="0" borderId="12" xfId="1" applyNumberFormat="1" applyFont="1" applyFill="1" applyBorder="1" applyAlignment="1" applyProtection="1">
      <alignment vertical="center"/>
      <protection locked="0"/>
    </xf>
    <xf numFmtId="0" fontId="7" fillId="0" borderId="13" xfId="1" applyFont="1" applyFill="1" applyBorder="1" applyAlignment="1" applyProtection="1">
      <alignment horizontal="left" vertical="center" indent="1"/>
    </xf>
    <xf numFmtId="0" fontId="7" fillId="0" borderId="14" xfId="1" applyFont="1" applyFill="1" applyBorder="1" applyAlignment="1" applyProtection="1">
      <alignment horizontal="left" vertical="center" wrapText="1" indent="1"/>
    </xf>
    <xf numFmtId="164" fontId="3" fillId="0" borderId="14" xfId="1" applyNumberFormat="1" applyFont="1" applyFill="1" applyBorder="1" applyAlignment="1" applyProtection="1">
      <alignment vertical="center"/>
      <protection locked="0"/>
    </xf>
    <xf numFmtId="164" fontId="9" fillId="0" borderId="15" xfId="1" applyNumberFormat="1" applyFont="1" applyFill="1" applyBorder="1" applyAlignment="1" applyProtection="1">
      <alignment vertical="center"/>
    </xf>
    <xf numFmtId="3" fontId="3" fillId="0" borderId="13" xfId="1" applyNumberFormat="1" applyFont="1" applyFill="1" applyBorder="1" applyAlignment="1" applyProtection="1">
      <alignment vertical="center"/>
      <protection locked="0"/>
    </xf>
    <xf numFmtId="3" fontId="3" fillId="0" borderId="15" xfId="1" applyNumberFormat="1" applyFont="1" applyFill="1" applyBorder="1" applyAlignment="1" applyProtection="1">
      <alignment vertical="center"/>
      <protection locked="0"/>
    </xf>
    <xf numFmtId="0" fontId="1" fillId="0" borderId="0" xfId="1" applyFill="1" applyAlignment="1" applyProtection="1">
      <alignment vertical="center"/>
      <protection locked="0"/>
    </xf>
    <xf numFmtId="0" fontId="7" fillId="0" borderId="16" xfId="1" applyFont="1" applyFill="1" applyBorder="1" applyAlignment="1" applyProtection="1">
      <alignment horizontal="left" vertical="center" wrapText="1" indent="1"/>
    </xf>
    <xf numFmtId="164" fontId="3" fillId="0" borderId="16" xfId="1" applyNumberFormat="1" applyFont="1" applyFill="1" applyBorder="1" applyAlignment="1" applyProtection="1">
      <alignment vertical="center"/>
      <protection locked="0"/>
    </xf>
    <xf numFmtId="164" fontId="9" fillId="0" borderId="0" xfId="1" applyNumberFormat="1" applyFont="1" applyFill="1" applyBorder="1" applyAlignment="1" applyProtection="1">
      <alignment vertical="center"/>
    </xf>
    <xf numFmtId="0" fontId="7" fillId="0" borderId="14" xfId="1" applyFont="1" applyFill="1" applyBorder="1" applyAlignment="1" applyProtection="1">
      <alignment horizontal="left" vertical="center" indent="1"/>
    </xf>
    <xf numFmtId="164" fontId="3" fillId="0" borderId="15" xfId="1" applyNumberFormat="1" applyFont="1" applyFill="1" applyBorder="1" applyAlignment="1" applyProtection="1">
      <alignment vertical="center"/>
    </xf>
    <xf numFmtId="164" fontId="3" fillId="0" borderId="0" xfId="1" applyNumberFormat="1" applyFont="1" applyFill="1" applyBorder="1" applyAlignment="1" applyProtection="1">
      <alignment vertical="center"/>
    </xf>
    <xf numFmtId="164" fontId="7" fillId="0" borderId="14" xfId="1" applyNumberFormat="1" applyFont="1" applyFill="1" applyBorder="1" applyAlignment="1" applyProtection="1">
      <alignment vertical="center"/>
      <protection locked="0"/>
    </xf>
    <xf numFmtId="3" fontId="3" fillId="0" borderId="17" xfId="1" applyNumberFormat="1" applyFont="1" applyFill="1" applyBorder="1" applyAlignment="1" applyProtection="1">
      <alignment vertical="center"/>
      <protection locked="0"/>
    </xf>
    <xf numFmtId="3" fontId="3" fillId="0" borderId="18" xfId="1" applyNumberFormat="1" applyFont="1" applyFill="1" applyBorder="1" applyAlignment="1" applyProtection="1">
      <alignment vertical="center"/>
      <protection locked="0"/>
    </xf>
    <xf numFmtId="0" fontId="11" fillId="0" borderId="19" xfId="1" applyFont="1" applyFill="1" applyBorder="1" applyAlignment="1" applyProtection="1">
      <alignment horizontal="left" vertical="center" indent="1"/>
    </xf>
    <xf numFmtId="164" fontId="12" fillId="0" borderId="19" xfId="1" applyNumberFormat="1" applyFont="1" applyFill="1" applyBorder="1" applyAlignment="1" applyProtection="1">
      <alignment vertical="center"/>
    </xf>
    <xf numFmtId="164" fontId="12" fillId="0" borderId="20" xfId="1" applyNumberFormat="1" applyFont="1" applyFill="1" applyBorder="1" applyAlignment="1" applyProtection="1">
      <alignment vertical="center"/>
    </xf>
    <xf numFmtId="164" fontId="12" fillId="0" borderId="0" xfId="1" applyNumberFormat="1" applyFont="1" applyFill="1" applyBorder="1" applyAlignment="1" applyProtection="1">
      <alignment vertical="center"/>
    </xf>
    <xf numFmtId="3" fontId="3" fillId="0" borderId="21" xfId="1" applyNumberFormat="1" applyFont="1" applyFill="1" applyBorder="1" applyAlignment="1" applyProtection="1">
      <alignment vertical="center"/>
    </xf>
    <xf numFmtId="3" fontId="3" fillId="0" borderId="21" xfId="1" applyNumberFormat="1" applyFont="1" applyFill="1" applyBorder="1" applyAlignment="1" applyProtection="1">
      <alignment vertical="center"/>
      <protection locked="0"/>
    </xf>
    <xf numFmtId="3" fontId="3" fillId="0" borderId="0" xfId="1" applyNumberFormat="1" applyFont="1" applyFill="1" applyAlignment="1" applyProtection="1">
      <alignment vertical="center"/>
      <protection locked="0"/>
    </xf>
    <xf numFmtId="0" fontId="7" fillId="0" borderId="11" xfId="1" applyFont="1" applyFill="1" applyBorder="1" applyAlignment="1" applyProtection="1">
      <alignment horizontal="left" vertical="center" indent="1"/>
    </xf>
    <xf numFmtId="0" fontId="7" fillId="0" borderId="22" xfId="1" applyFont="1" applyFill="1" applyBorder="1" applyAlignment="1" applyProtection="1">
      <alignment horizontal="left" vertical="center" indent="1"/>
    </xf>
    <xf numFmtId="164" fontId="3" fillId="0" borderId="22" xfId="1" applyNumberFormat="1" applyFont="1" applyFill="1" applyBorder="1" applyAlignment="1" applyProtection="1">
      <alignment vertical="center"/>
      <protection locked="0"/>
    </xf>
    <xf numFmtId="164" fontId="9" fillId="0" borderId="12" xfId="1" applyNumberFormat="1" applyFont="1" applyFill="1" applyBorder="1" applyAlignment="1" applyProtection="1">
      <alignment vertical="center"/>
    </xf>
    <xf numFmtId="3" fontId="3" fillId="0" borderId="11" xfId="1" applyNumberFormat="1" applyFont="1" applyFill="1" applyBorder="1" applyAlignment="1" applyProtection="1">
      <alignment vertical="center"/>
      <protection locked="0"/>
    </xf>
    <xf numFmtId="3" fontId="9" fillId="0" borderId="13" xfId="1" applyNumberFormat="1" applyFont="1" applyFill="1" applyBorder="1" applyAlignment="1" applyProtection="1">
      <alignment vertical="center"/>
      <protection locked="0"/>
    </xf>
    <xf numFmtId="0" fontId="12" fillId="0" borderId="4" xfId="1" applyFont="1" applyFill="1" applyBorder="1" applyAlignment="1" applyProtection="1">
      <alignment horizontal="left" vertical="center" indent="1"/>
    </xf>
    <xf numFmtId="0" fontId="11" fillId="0" borderId="19" xfId="1" applyFont="1" applyFill="1" applyBorder="1" applyAlignment="1" applyProtection="1">
      <alignment horizontal="left" indent="1"/>
    </xf>
    <xf numFmtId="164" fontId="12" fillId="0" borderId="19" xfId="1" applyNumberFormat="1" applyFont="1" applyFill="1" applyBorder="1" applyProtection="1"/>
    <xf numFmtId="164" fontId="12" fillId="0" borderId="20" xfId="1" applyNumberFormat="1" applyFont="1" applyFill="1" applyBorder="1" applyProtection="1"/>
    <xf numFmtId="164" fontId="12" fillId="0" borderId="0" xfId="1" applyNumberFormat="1" applyFont="1" applyFill="1" applyBorder="1" applyProtection="1"/>
    <xf numFmtId="0" fontId="13" fillId="0" borderId="0" xfId="1" applyFont="1" applyFill="1" applyProtection="1"/>
    <xf numFmtId="0" fontId="1" fillId="0" borderId="0" xfId="1" applyFill="1" applyBorder="1" applyProtection="1"/>
    <xf numFmtId="0" fontId="14" fillId="0" borderId="0" xfId="1" applyFont="1" applyFill="1" applyProtection="1">
      <protection locked="0"/>
    </xf>
    <xf numFmtId="0" fontId="2" fillId="0" borderId="0" xfId="1" applyFont="1" applyFill="1" applyProtection="1">
      <protection locked="0"/>
    </xf>
    <xf numFmtId="0" fontId="1" fillId="0" borderId="0" xfId="1" applyFill="1" applyBorder="1" applyProtection="1">
      <protection locked="0"/>
    </xf>
  </cellXfs>
  <cellStyles count="20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3" xfId="9"/>
    <cellStyle name="Ezres 4" xfId="10"/>
    <cellStyle name="Ezres 4 2" xfId="11"/>
    <cellStyle name="Ezres 4 2 2" xfId="12"/>
    <cellStyle name="hetmál kút" xfId="13"/>
    <cellStyle name="Hiperhivatkozás" xfId="14"/>
    <cellStyle name="Már látott hiperhivatkozás" xfId="15"/>
    <cellStyle name="Normál" xfId="0" builtinId="0"/>
    <cellStyle name="Normál 2" xfId="16"/>
    <cellStyle name="Normál 3" xfId="17"/>
    <cellStyle name="Normál 3 2" xfId="18"/>
    <cellStyle name="Normál 3 2 2" xfId="19"/>
    <cellStyle name="Normál_SEGEDLETEK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0">
    <tabColor rgb="FF92D050"/>
  </sheetPr>
  <dimension ref="A1:R82"/>
  <sheetViews>
    <sheetView tabSelected="1" view="pageLayout" topLeftCell="C1" zoomScaleNormal="100" workbookViewId="0">
      <selection sqref="A1:O1"/>
    </sheetView>
  </sheetViews>
  <sheetFormatPr defaultRowHeight="15.75" x14ac:dyDescent="0.25"/>
  <cols>
    <col min="1" max="1" width="4.83203125" style="6" customWidth="1"/>
    <col min="2" max="2" width="31.1640625" style="5" customWidth="1"/>
    <col min="3" max="8" width="11.1640625" style="5" bestFit="1" customWidth="1"/>
    <col min="9" max="9" width="11.83203125" style="5" bestFit="1" customWidth="1"/>
    <col min="10" max="10" width="11.1640625" style="5" bestFit="1" customWidth="1"/>
    <col min="11" max="11" width="12.6640625" style="5" bestFit="1" customWidth="1"/>
    <col min="12" max="12" width="11.83203125" style="5" bestFit="1" customWidth="1"/>
    <col min="13" max="13" width="11.1640625" style="5" bestFit="1" customWidth="1"/>
    <col min="14" max="14" width="11.83203125" style="5" bestFit="1" customWidth="1"/>
    <col min="15" max="15" width="12.6640625" style="6" customWidth="1"/>
    <col min="16" max="16" width="5.83203125" style="62" customWidth="1"/>
    <col min="17" max="17" width="14.6640625" style="4" hidden="1" customWidth="1"/>
    <col min="18" max="18" width="16.6640625" style="4" hidden="1" customWidth="1"/>
    <col min="19" max="16384" width="9.33203125" style="5"/>
  </cols>
  <sheetData>
    <row r="1" spans="1:18" ht="31.5" customHeight="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"/>
    </row>
    <row r="2" spans="1:18" ht="16.5" thickBot="1" x14ac:dyDescent="0.3">
      <c r="O2" s="7" t="s">
        <v>1</v>
      </c>
      <c r="P2" s="8"/>
    </row>
    <row r="3" spans="1:18" ht="35.25" customHeight="1" thickBot="1" x14ac:dyDescent="0.3">
      <c r="A3" s="9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0" t="s">
        <v>11</v>
      </c>
      <c r="K3" s="10" t="s">
        <v>12</v>
      </c>
      <c r="L3" s="10" t="s">
        <v>13</v>
      </c>
      <c r="M3" s="10" t="s">
        <v>14</v>
      </c>
      <c r="N3" s="10" t="s">
        <v>15</v>
      </c>
      <c r="O3" s="11" t="s">
        <v>16</v>
      </c>
      <c r="P3" s="12"/>
    </row>
    <row r="4" spans="1:18" s="19" customFormat="1" ht="15" customHeight="1" thickBot="1" x14ac:dyDescent="0.25">
      <c r="A4" s="13" t="s">
        <v>17</v>
      </c>
      <c r="B4" s="14" t="s">
        <v>18</v>
      </c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6"/>
      <c r="P4" s="17"/>
      <c r="Q4" s="18"/>
      <c r="R4" s="18"/>
    </row>
    <row r="5" spans="1:18" s="19" customFormat="1" ht="22.5" x14ac:dyDescent="0.2">
      <c r="A5" s="20" t="s">
        <v>19</v>
      </c>
      <c r="B5" s="21" t="s">
        <v>20</v>
      </c>
      <c r="C5" s="22">
        <f>89000000-286000</f>
        <v>88714000</v>
      </c>
      <c r="D5" s="22">
        <f>89128000-280000</f>
        <v>88848000</v>
      </c>
      <c r="E5" s="22">
        <f>89000000-285000+5359522</f>
        <v>94074522</v>
      </c>
      <c r="F5" s="22">
        <f>89000000-285000+10461768+5359522</f>
        <v>104536290</v>
      </c>
      <c r="G5" s="22">
        <f>104000000-283192+5359522</f>
        <v>109076330</v>
      </c>
      <c r="H5" s="22">
        <f>109000000-283000+5359522</f>
        <v>114076522</v>
      </c>
      <c r="I5" s="22">
        <f>115000000-1280000+5359522-18683734</f>
        <v>100395788</v>
      </c>
      <c r="J5" s="22">
        <f>110000000-1280000+5359522</f>
        <v>114079522</v>
      </c>
      <c r="K5" s="22">
        <f>100000000-1280000+5359522-5893230</f>
        <v>98186292</v>
      </c>
      <c r="L5" s="22">
        <f>96000000-1280000+5359522</f>
        <v>100079522</v>
      </c>
      <c r="M5" s="22">
        <f>97000000-1280000+5359522</f>
        <v>101079522</v>
      </c>
      <c r="N5" s="22">
        <v>101420585</v>
      </c>
      <c r="O5" s="23">
        <f t="shared" ref="O5:O14" si="0">SUM(C5:N5)</f>
        <v>1214566895</v>
      </c>
      <c r="P5" s="24"/>
      <c r="Q5" s="25">
        <v>1214566895</v>
      </c>
      <c r="R5" s="26">
        <f t="shared" ref="R5:R8" si="1">O5-Q5</f>
        <v>0</v>
      </c>
    </row>
    <row r="6" spans="1:18" s="33" customFormat="1" ht="22.5" x14ac:dyDescent="0.2">
      <c r="A6" s="27" t="s">
        <v>21</v>
      </c>
      <c r="B6" s="28" t="s">
        <v>22</v>
      </c>
      <c r="C6" s="29">
        <f>40000000+3000000</f>
        <v>43000000</v>
      </c>
      <c r="D6" s="29">
        <v>43000000</v>
      </c>
      <c r="E6" s="29">
        <f>38000000+40000000</f>
        <v>78000000</v>
      </c>
      <c r="F6" s="29">
        <f>30000000+40000000+362000+30000000</f>
        <v>100362000</v>
      </c>
      <c r="G6" s="29">
        <v>8000000</v>
      </c>
      <c r="H6" s="29">
        <v>8500000</v>
      </c>
      <c r="I6" s="29">
        <v>9000000</v>
      </c>
      <c r="J6" s="29">
        <v>8500000</v>
      </c>
      <c r="K6" s="29">
        <v>9000000</v>
      </c>
      <c r="L6" s="29">
        <v>8000000</v>
      </c>
      <c r="M6" s="29">
        <f>8500000+1987323</f>
        <v>10487323</v>
      </c>
      <c r="N6" s="29">
        <v>10000000</v>
      </c>
      <c r="O6" s="30">
        <f t="shared" si="0"/>
        <v>335849323</v>
      </c>
      <c r="P6" s="24"/>
      <c r="Q6" s="31">
        <v>335849323</v>
      </c>
      <c r="R6" s="32">
        <f t="shared" si="1"/>
        <v>0</v>
      </c>
    </row>
    <row r="7" spans="1:18" s="33" customFormat="1" ht="22.5" x14ac:dyDescent="0.2">
      <c r="A7" s="27" t="s">
        <v>23</v>
      </c>
      <c r="B7" s="34" t="s">
        <v>24</v>
      </c>
      <c r="C7" s="35"/>
      <c r="D7" s="35"/>
      <c r="E7" s="35">
        <v>500000</v>
      </c>
      <c r="F7" s="35">
        <v>5000000</v>
      </c>
      <c r="G7" s="35">
        <f>3797300+3679276</f>
        <v>7476576</v>
      </c>
      <c r="H7" s="35">
        <f>6000000+71809476+2160000</f>
        <v>79969476</v>
      </c>
      <c r="I7" s="35">
        <v>15956160</v>
      </c>
      <c r="J7" s="35"/>
      <c r="K7" s="35">
        <f>232607039+202150930-15179276</f>
        <v>419578693</v>
      </c>
      <c r="L7" s="35">
        <v>3779393</v>
      </c>
      <c r="M7" s="35"/>
      <c r="N7" s="35"/>
      <c r="O7" s="30">
        <f t="shared" si="0"/>
        <v>532260298</v>
      </c>
      <c r="P7" s="36"/>
      <c r="Q7" s="31">
        <v>532260298</v>
      </c>
      <c r="R7" s="32">
        <f t="shared" si="1"/>
        <v>0</v>
      </c>
    </row>
    <row r="8" spans="1:18" s="33" customFormat="1" ht="14.1" customHeight="1" x14ac:dyDescent="0.2">
      <c r="A8" s="27" t="s">
        <v>25</v>
      </c>
      <c r="B8" s="37" t="s">
        <v>26</v>
      </c>
      <c r="C8" s="29">
        <v>5000000</v>
      </c>
      <c r="D8" s="29">
        <v>5000000</v>
      </c>
      <c r="E8" s="29">
        <v>120000000</v>
      </c>
      <c r="F8" s="29">
        <v>8390000</v>
      </c>
      <c r="G8" s="29">
        <v>5000000</v>
      </c>
      <c r="H8" s="29">
        <f>3000000</f>
        <v>3000000</v>
      </c>
      <c r="I8" s="29">
        <v>3000000</v>
      </c>
      <c r="J8" s="29">
        <v>3000000</v>
      </c>
      <c r="K8" s="29">
        <f>120000000+20000000</f>
        <v>140000000</v>
      </c>
      <c r="L8" s="29">
        <v>10000000</v>
      </c>
      <c r="M8" s="29">
        <f>7000000+2100000</f>
        <v>9100000</v>
      </c>
      <c r="N8" s="29">
        <f>30000000+15000000</f>
        <v>45000000</v>
      </c>
      <c r="O8" s="38">
        <f t="shared" si="0"/>
        <v>356490000</v>
      </c>
      <c r="P8" s="39"/>
      <c r="Q8" s="31">
        <v>356490000</v>
      </c>
      <c r="R8" s="32">
        <f t="shared" si="1"/>
        <v>0</v>
      </c>
    </row>
    <row r="9" spans="1:18" s="33" customFormat="1" ht="14.1" customHeight="1" x14ac:dyDescent="0.2">
      <c r="A9" s="27" t="s">
        <v>27</v>
      </c>
      <c r="B9" s="37" t="s">
        <v>28</v>
      </c>
      <c r="C9" s="29">
        <v>37000000</v>
      </c>
      <c r="D9" s="29">
        <v>37000000</v>
      </c>
      <c r="E9" s="29">
        <v>37000000</v>
      </c>
      <c r="F9" s="29">
        <v>37000000</v>
      </c>
      <c r="G9" s="29">
        <v>37000000</v>
      </c>
      <c r="H9" s="29">
        <f>37000000+270000</f>
        <v>37270000</v>
      </c>
      <c r="I9" s="29">
        <f>37000000+4327496+3500000+100000</f>
        <v>44927496</v>
      </c>
      <c r="J9" s="29">
        <f>37000000+100000</f>
        <v>37100000</v>
      </c>
      <c r="K9" s="29">
        <f>39000000+100000+2000000</f>
        <v>41100000</v>
      </c>
      <c r="L9" s="29">
        <f>39000000+6985000+100000-2000000+2000000</f>
        <v>46085000</v>
      </c>
      <c r="M9" s="29">
        <f>37054678+100000-3000000+2000000+2540052</f>
        <v>38694730</v>
      </c>
      <c r="N9" s="29">
        <f>37000000+555000+110437-2652270+1520700+2540052</f>
        <v>39073919</v>
      </c>
      <c r="O9" s="30">
        <f t="shared" si="0"/>
        <v>469251145</v>
      </c>
      <c r="P9" s="36"/>
      <c r="Q9" s="31">
        <v>469251145</v>
      </c>
      <c r="R9" s="32">
        <f>O9-Q9</f>
        <v>0</v>
      </c>
    </row>
    <row r="10" spans="1:18" s="33" customFormat="1" ht="14.1" customHeight="1" x14ac:dyDescent="0.2">
      <c r="A10" s="27" t="s">
        <v>29</v>
      </c>
      <c r="B10" s="37" t="s">
        <v>30</v>
      </c>
      <c r="C10" s="29">
        <v>1920000</v>
      </c>
      <c r="D10" s="29">
        <v>3500000</v>
      </c>
      <c r="E10" s="29">
        <v>250000</v>
      </c>
      <c r="F10" s="29"/>
      <c r="G10" s="29">
        <v>19759000</v>
      </c>
      <c r="H10" s="29">
        <v>1000000</v>
      </c>
      <c r="I10" s="29">
        <v>11000000</v>
      </c>
      <c r="J10" s="29">
        <v>10000000</v>
      </c>
      <c r="K10" s="29"/>
      <c r="L10" s="29"/>
      <c r="M10" s="29"/>
      <c r="N10" s="29"/>
      <c r="O10" s="38">
        <f t="shared" si="0"/>
        <v>47429000</v>
      </c>
      <c r="P10" s="39"/>
      <c r="Q10" s="31">
        <v>47429000</v>
      </c>
      <c r="R10" s="32">
        <f t="shared" ref="R10:R26" si="2">O10-Q10</f>
        <v>0</v>
      </c>
    </row>
    <row r="11" spans="1:18" s="33" customFormat="1" ht="14.1" customHeight="1" x14ac:dyDescent="0.2">
      <c r="A11" s="27" t="s">
        <v>31</v>
      </c>
      <c r="B11" s="37" t="s">
        <v>32</v>
      </c>
      <c r="C11" s="29">
        <v>500000</v>
      </c>
      <c r="D11" s="29">
        <v>500000</v>
      </c>
      <c r="E11" s="29">
        <v>550000</v>
      </c>
      <c r="F11" s="29">
        <v>442000</v>
      </c>
      <c r="G11" s="29">
        <v>450000</v>
      </c>
      <c r="H11" s="29">
        <v>450000</v>
      </c>
      <c r="I11" s="29">
        <v>400000</v>
      </c>
      <c r="J11" s="29">
        <v>300000</v>
      </c>
      <c r="K11" s="29">
        <f>300000+80000</f>
        <v>380000</v>
      </c>
      <c r="L11" s="29">
        <f>1666000+140433</f>
        <v>1806433</v>
      </c>
      <c r="M11" s="29">
        <v>300000</v>
      </c>
      <c r="N11" s="29">
        <f>166000+18000000</f>
        <v>18166000</v>
      </c>
      <c r="O11" s="30">
        <f t="shared" si="0"/>
        <v>24244433</v>
      </c>
      <c r="P11" s="36"/>
      <c r="Q11" s="31">
        <v>24244433</v>
      </c>
      <c r="R11" s="32">
        <f t="shared" si="2"/>
        <v>0</v>
      </c>
    </row>
    <row r="12" spans="1:18" s="33" customFormat="1" ht="22.5" x14ac:dyDescent="0.2">
      <c r="A12" s="27" t="s">
        <v>33</v>
      </c>
      <c r="B12" s="28" t="s">
        <v>34</v>
      </c>
      <c r="C12" s="29"/>
      <c r="D12" s="29"/>
      <c r="E12" s="29"/>
      <c r="F12" s="29"/>
      <c r="G12" s="29"/>
      <c r="H12" s="29"/>
      <c r="I12" s="29">
        <v>1200000</v>
      </c>
      <c r="J12" s="29"/>
      <c r="K12" s="29"/>
      <c r="L12" s="29"/>
      <c r="M12" s="29"/>
      <c r="N12" s="29">
        <v>200000</v>
      </c>
      <c r="O12" s="38">
        <f t="shared" si="0"/>
        <v>1400000</v>
      </c>
      <c r="P12" s="39"/>
      <c r="Q12" s="31">
        <v>1400000</v>
      </c>
      <c r="R12" s="32">
        <f t="shared" si="2"/>
        <v>0</v>
      </c>
    </row>
    <row r="13" spans="1:18" s="33" customFormat="1" ht="14.1" customHeight="1" thickBot="1" x14ac:dyDescent="0.25">
      <c r="A13" s="27" t="s">
        <v>35</v>
      </c>
      <c r="B13" s="37" t="s">
        <v>36</v>
      </c>
      <c r="C13" s="40">
        <v>292999415</v>
      </c>
      <c r="D13" s="40"/>
      <c r="E13" s="40">
        <v>10000000</v>
      </c>
      <c r="F13" s="40"/>
      <c r="G13" s="40"/>
      <c r="H13" s="40">
        <v>20000000</v>
      </c>
      <c r="I13" s="40">
        <v>64100000</v>
      </c>
      <c r="J13" s="40">
        <v>20000000</v>
      </c>
      <c r="K13" s="29">
        <v>10000000</v>
      </c>
      <c r="L13" s="29"/>
      <c r="M13" s="29">
        <f>20000000+37900000+5500000</f>
        <v>63400000</v>
      </c>
      <c r="N13" s="29"/>
      <c r="O13" s="38">
        <f t="shared" si="0"/>
        <v>480499415</v>
      </c>
      <c r="P13" s="39"/>
      <c r="Q13" s="41">
        <v>480499415</v>
      </c>
      <c r="R13" s="42">
        <f t="shared" si="2"/>
        <v>0</v>
      </c>
    </row>
    <row r="14" spans="1:18" s="19" customFormat="1" ht="15.95" customHeight="1" thickBot="1" x14ac:dyDescent="0.25">
      <c r="A14" s="13" t="s">
        <v>37</v>
      </c>
      <c r="B14" s="43" t="s">
        <v>38</v>
      </c>
      <c r="C14" s="44">
        <f t="shared" ref="C14:N14" si="3">SUM(C5:C13)</f>
        <v>469133415</v>
      </c>
      <c r="D14" s="44">
        <f t="shared" si="3"/>
        <v>177848000</v>
      </c>
      <c r="E14" s="44">
        <f t="shared" si="3"/>
        <v>340374522</v>
      </c>
      <c r="F14" s="44">
        <f t="shared" si="3"/>
        <v>255730290</v>
      </c>
      <c r="G14" s="44">
        <f t="shared" si="3"/>
        <v>186761906</v>
      </c>
      <c r="H14" s="44">
        <f t="shared" si="3"/>
        <v>264265998</v>
      </c>
      <c r="I14" s="44">
        <f t="shared" si="3"/>
        <v>249979444</v>
      </c>
      <c r="J14" s="44">
        <f t="shared" si="3"/>
        <v>192979522</v>
      </c>
      <c r="K14" s="44">
        <f t="shared" si="3"/>
        <v>718244985</v>
      </c>
      <c r="L14" s="44">
        <f t="shared" si="3"/>
        <v>169750348</v>
      </c>
      <c r="M14" s="44">
        <f t="shared" si="3"/>
        <v>223061575</v>
      </c>
      <c r="N14" s="44">
        <f t="shared" si="3"/>
        <v>213860504</v>
      </c>
      <c r="O14" s="45">
        <f t="shared" si="0"/>
        <v>3461990509</v>
      </c>
      <c r="P14" s="46"/>
      <c r="Q14" s="47">
        <f>SUM(Q5:Q13)</f>
        <v>3461990509</v>
      </c>
      <c r="R14" s="48">
        <f t="shared" si="2"/>
        <v>0</v>
      </c>
    </row>
    <row r="15" spans="1:18" s="19" customFormat="1" ht="15" customHeight="1" thickBot="1" x14ac:dyDescent="0.25">
      <c r="A15" s="13" t="s">
        <v>39</v>
      </c>
      <c r="B15" s="14" t="s">
        <v>40</v>
      </c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6"/>
      <c r="P15" s="17"/>
      <c r="Q15" s="18"/>
      <c r="R15" s="49">
        <f t="shared" si="2"/>
        <v>0</v>
      </c>
    </row>
    <row r="16" spans="1:18" s="33" customFormat="1" ht="14.1" customHeight="1" x14ac:dyDescent="0.2">
      <c r="A16" s="50" t="s">
        <v>41</v>
      </c>
      <c r="B16" s="51" t="s">
        <v>42</v>
      </c>
      <c r="C16" s="52">
        <v>83000000</v>
      </c>
      <c r="D16" s="52">
        <v>83105000</v>
      </c>
      <c r="E16" s="52">
        <f>83000000+31471300</f>
        <v>114471300</v>
      </c>
      <c r="F16" s="52">
        <f>81000000+31471300+326126+3025822</f>
        <v>115823248</v>
      </c>
      <c r="G16" s="52">
        <f>81000000+31471300+12214480+3025822-34000000</f>
        <v>93711602</v>
      </c>
      <c r="H16" s="52">
        <f>82000000+31471300+12214480+3025821-199044+76000+1000000-34500000</f>
        <v>95088557</v>
      </c>
      <c r="I16" s="52">
        <f>81000000+31471300+12214480+3025822-199044+15000+622444-34000000</f>
        <v>94150002</v>
      </c>
      <c r="J16" s="52">
        <f>81000000+31471300+12214480+3025822-199044+1275000+622444-34500000</f>
        <v>94910002</v>
      </c>
      <c r="K16" s="52">
        <f>81000000+31471300+12214480+3025822-199044+15000+1275000+622443-34500000</f>
        <v>94925001</v>
      </c>
      <c r="L16" s="52">
        <f>81205571+31471295+12214480+3025821-199044+622443+1903000+5000000-34000000</f>
        <v>101243566</v>
      </c>
      <c r="M16" s="52">
        <f>81000000+12214480-5+3025822-199044+622444+1904000+4000000-34000000+83400</f>
        <v>68651097</v>
      </c>
      <c r="N16" s="52">
        <f>81000000+3025822-199044+20000+622444+1903000+1096+3960546-35533584+83400</f>
        <v>54883680</v>
      </c>
      <c r="O16" s="53">
        <f t="shared" ref="O16:O26" si="4">SUM(C16:N16)</f>
        <v>1093963055</v>
      </c>
      <c r="P16" s="36"/>
      <c r="Q16" s="54">
        <v>1093963055</v>
      </c>
      <c r="R16" s="26">
        <f t="shared" si="2"/>
        <v>0</v>
      </c>
    </row>
    <row r="17" spans="1:18" s="33" customFormat="1" ht="27" customHeight="1" x14ac:dyDescent="0.2">
      <c r="A17" s="27" t="s">
        <v>43</v>
      </c>
      <c r="B17" s="28" t="s">
        <v>44</v>
      </c>
      <c r="C17" s="29">
        <f>17840000+340000</f>
        <v>18180000</v>
      </c>
      <c r="D17" s="29">
        <f>17863000+335000</f>
        <v>18198000</v>
      </c>
      <c r="E17" s="29">
        <f>17840000+3461842+407211</f>
        <v>21709053</v>
      </c>
      <c r="F17" s="29">
        <f>17400000+3461842+35874+644474</f>
        <v>21542190</v>
      </c>
      <c r="G17" s="29">
        <f>17400000+364361+3461842+1343593+644475-3500000</f>
        <v>19714271</v>
      </c>
      <c r="H17" s="29">
        <f>17620000+3461842+1343593+644474-40055+37984+220000-3000000</f>
        <v>20287838</v>
      </c>
      <c r="I17" s="29">
        <f>17400000+3461842+1343593+644475-40054+6000+112959-3500000</f>
        <v>19428815</v>
      </c>
      <c r="J17" s="29">
        <f>17400000+3461842+1343593+644474-40055+280500+112959-3000000</f>
        <v>20203313</v>
      </c>
      <c r="K17" s="29">
        <f>17400000+3461842+1343593+644475-40055+6000+280500+112959-3500000</f>
        <v>19709314</v>
      </c>
      <c r="L17" s="29">
        <f>17440000+3461842+1343593+644474-40054+112959+418000+60000+1200000-3500000</f>
        <v>21140814</v>
      </c>
      <c r="M17" s="29">
        <f>17400000+1343593-2+644475-40055+112959+419000+60000+950000-3000000+87824</f>
        <v>17977794</v>
      </c>
      <c r="N17" s="29">
        <f>17400000+644475-40054+9830+112959+420000+61961+863037-5480392+87824</f>
        <v>14079640</v>
      </c>
      <c r="O17" s="30">
        <f t="shared" si="4"/>
        <v>232171042</v>
      </c>
      <c r="P17" s="36"/>
      <c r="Q17" s="31">
        <v>232171042</v>
      </c>
      <c r="R17" s="32">
        <f t="shared" si="2"/>
        <v>0</v>
      </c>
    </row>
    <row r="18" spans="1:18" s="33" customFormat="1" ht="14.1" customHeight="1" x14ac:dyDescent="0.2">
      <c r="A18" s="27" t="s">
        <v>45</v>
      </c>
      <c r="B18" s="37" t="s">
        <v>46</v>
      </c>
      <c r="C18" s="29">
        <v>84000000</v>
      </c>
      <c r="D18" s="29">
        <v>84000000</v>
      </c>
      <c r="E18" s="29">
        <f>84000000+4158000</f>
        <v>88158000</v>
      </c>
      <c r="F18" s="29">
        <f>75000000+4158000</f>
        <v>79158000</v>
      </c>
      <c r="G18" s="29">
        <f>74000000+4158000+200000+3939600+3519761-2400000</f>
        <v>83417361</v>
      </c>
      <c r="H18" s="29">
        <f>52397442+4158000+200000+270000+3800000+3519761+3000000-2500000</f>
        <v>64845203</v>
      </c>
      <c r="I18" s="29">
        <f>60000000+4158000+200000+3800000+3519761+3000000+2000000-2500000</f>
        <v>74177761</v>
      </c>
      <c r="J18" s="29">
        <f>60000000+4158000+200000+3800000+3519761+1000000+2000000+2000000-2400000</f>
        <v>74277761</v>
      </c>
      <c r="K18" s="29">
        <f>55000000+4158000+200000+3800000+3519761+2295882+3000000+2000000-2500000</f>
        <v>71473643</v>
      </c>
      <c r="L18" s="29">
        <f>65000000+4158000+200000+3800000+3519761+3000000+1384339+2000000+1300000-2500000</f>
        <v>81862100</v>
      </c>
      <c r="M18" s="29">
        <f>75000000+4158000+200000+3800000+3519761+1500000+2000000+1429458-2500000+10273654</f>
        <v>99380873</v>
      </c>
      <c r="N18" s="29">
        <f>84000000+4158000-96+200000-8488680+3800000+3519761+1500000+565807+1300000-2400000-20295+10273654</f>
        <v>98408151</v>
      </c>
      <c r="O18" s="30">
        <f t="shared" si="4"/>
        <v>983158853</v>
      </c>
      <c r="P18" s="36"/>
      <c r="Q18" s="31">
        <v>983158853</v>
      </c>
      <c r="R18" s="32">
        <f t="shared" si="2"/>
        <v>0</v>
      </c>
    </row>
    <row r="19" spans="1:18" s="33" customFormat="1" ht="14.1" customHeight="1" x14ac:dyDescent="0.2">
      <c r="A19" s="27" t="s">
        <v>47</v>
      </c>
      <c r="B19" s="37" t="s">
        <v>48</v>
      </c>
      <c r="C19" s="29">
        <v>4000000</v>
      </c>
      <c r="D19" s="29">
        <v>4000000</v>
      </c>
      <c r="E19" s="29">
        <v>5000000</v>
      </c>
      <c r="F19" s="29">
        <v>4000000</v>
      </c>
      <c r="G19" s="29">
        <v>5000000</v>
      </c>
      <c r="H19" s="29">
        <v>5000000</v>
      </c>
      <c r="I19" s="29">
        <v>4000000</v>
      </c>
      <c r="J19" s="29">
        <v>17000000</v>
      </c>
      <c r="K19" s="29">
        <v>5000000</v>
      </c>
      <c r="L19" s="29">
        <f>4230000-2901260</f>
        <v>1328740</v>
      </c>
      <c r="M19" s="29">
        <f>17000000-2000000-5080000-4000000</f>
        <v>5920000</v>
      </c>
      <c r="N19" s="29">
        <f>21000000-2000000</f>
        <v>19000000</v>
      </c>
      <c r="O19" s="30">
        <f t="shared" si="4"/>
        <v>79248740</v>
      </c>
      <c r="P19" s="36"/>
      <c r="Q19" s="31">
        <v>79248740</v>
      </c>
      <c r="R19" s="32">
        <f t="shared" si="2"/>
        <v>0</v>
      </c>
    </row>
    <row r="20" spans="1:18" s="33" customFormat="1" ht="14.1" customHeight="1" x14ac:dyDescent="0.2">
      <c r="A20" s="27" t="s">
        <v>49</v>
      </c>
      <c r="B20" s="37" t="s">
        <v>50</v>
      </c>
      <c r="C20" s="29">
        <v>1500</v>
      </c>
      <c r="D20" s="29"/>
      <c r="E20" s="29">
        <f>8000000+3500000</f>
        <v>11500000</v>
      </c>
      <c r="F20" s="29">
        <v>2000000</v>
      </c>
      <c r="G20" s="29">
        <f>2000000+6600000+7242044+60754+2000000</f>
        <v>17902798</v>
      </c>
      <c r="H20" s="29">
        <v>10000000</v>
      </c>
      <c r="I20" s="29">
        <f>1165000+7351000</f>
        <v>8516000</v>
      </c>
      <c r="J20" s="29">
        <v>1000000</v>
      </c>
      <c r="K20" s="29">
        <f>8000000+4000000+3000000</f>
        <v>15000000</v>
      </c>
      <c r="L20" s="29">
        <f>2000000+3017500+6407504</f>
        <v>11425004</v>
      </c>
      <c r="M20" s="29">
        <f>2000000+4784709</f>
        <v>6784709</v>
      </c>
      <c r="N20" s="29">
        <f>1000000</f>
        <v>1000000</v>
      </c>
      <c r="O20" s="30">
        <f t="shared" si="4"/>
        <v>85130011</v>
      </c>
      <c r="P20" s="36"/>
      <c r="Q20" s="31">
        <v>88130011</v>
      </c>
      <c r="R20" s="32">
        <f t="shared" si="2"/>
        <v>-3000000</v>
      </c>
    </row>
    <row r="21" spans="1:18" s="33" customFormat="1" ht="14.1" customHeight="1" x14ac:dyDescent="0.2">
      <c r="A21" s="27" t="s">
        <v>51</v>
      </c>
      <c r="B21" s="37" t="s">
        <v>52</v>
      </c>
      <c r="C21" s="29">
        <v>2000000</v>
      </c>
      <c r="D21" s="29">
        <v>2000000</v>
      </c>
      <c r="E21" s="29">
        <v>2500000</v>
      </c>
      <c r="F21" s="29">
        <f>4500000+979170</f>
        <v>5479170</v>
      </c>
      <c r="G21" s="29">
        <f>8000000-265000</f>
        <v>7735000</v>
      </c>
      <c r="H21" s="29">
        <f>8500000+63976</f>
        <v>8563976</v>
      </c>
      <c r="I21" s="29">
        <f>2500000+18116187+2239176+988736+1000000</f>
        <v>24844099</v>
      </c>
      <c r="J21" s="29">
        <f>3000000+1000000-2000000</f>
        <v>2000000</v>
      </c>
      <c r="K21" s="29">
        <f>2000000+1000000-1000000</f>
        <v>2000000</v>
      </c>
      <c r="L21" s="29">
        <f>2000000+70000000+1000000+8904148-4000000</f>
        <v>77904148</v>
      </c>
      <c r="M21" s="29">
        <f>3000000+16000000+1000000-2000000</f>
        <v>18000000</v>
      </c>
      <c r="N21" s="29">
        <f>2000000+7000000+214128350+937364-9155486-1752617</f>
        <v>213157611</v>
      </c>
      <c r="O21" s="30">
        <f t="shared" si="4"/>
        <v>366184004</v>
      </c>
      <c r="P21" s="36"/>
      <c r="Q21" s="55">
        <v>366184004</v>
      </c>
      <c r="R21" s="32">
        <f t="shared" si="2"/>
        <v>0</v>
      </c>
    </row>
    <row r="22" spans="1:18" s="33" customFormat="1" x14ac:dyDescent="0.2">
      <c r="A22" s="27" t="s">
        <v>53</v>
      </c>
      <c r="B22" s="28" t="s">
        <v>54</v>
      </c>
      <c r="C22" s="29"/>
      <c r="D22" s="29"/>
      <c r="E22" s="29">
        <v>365393</v>
      </c>
      <c r="F22" s="29">
        <v>1794600</v>
      </c>
      <c r="G22" s="29">
        <f>2158000+578000+157000</f>
        <v>2893000</v>
      </c>
      <c r="H22" s="29">
        <f>2000000+1000000+239841</f>
        <v>3239841</v>
      </c>
      <c r="I22" s="29">
        <f>70000000+600000+200000</f>
        <v>70800000</v>
      </c>
      <c r="J22" s="29">
        <f>3000000+2866987+5566352+5929+3795044+2330000</f>
        <v>17564312</v>
      </c>
      <c r="K22" s="29"/>
      <c r="L22" s="29">
        <f>2500000+5714910+18700651+2330000</f>
        <v>29245561</v>
      </c>
      <c r="M22" s="29">
        <f>18459450+2330000</f>
        <v>20789450</v>
      </c>
      <c r="N22" s="29">
        <f>188498728+2343667</f>
        <v>190842395</v>
      </c>
      <c r="O22" s="30">
        <f t="shared" si="4"/>
        <v>337534552</v>
      </c>
      <c r="P22" s="36"/>
      <c r="Q22" s="31">
        <v>337534552</v>
      </c>
      <c r="R22" s="32">
        <f t="shared" si="2"/>
        <v>0</v>
      </c>
    </row>
    <row r="23" spans="1:18" s="33" customFormat="1" ht="14.1" customHeight="1" x14ac:dyDescent="0.2">
      <c r="A23" s="27" t="s">
        <v>55</v>
      </c>
      <c r="B23" s="37" t="s">
        <v>56</v>
      </c>
      <c r="C23" s="29"/>
      <c r="D23" s="29"/>
      <c r="E23" s="29"/>
      <c r="F23" s="29">
        <v>2400000</v>
      </c>
      <c r="G23" s="29">
        <v>1348000</v>
      </c>
      <c r="H23" s="29">
        <v>600000</v>
      </c>
      <c r="I23" s="29">
        <v>42072000</v>
      </c>
      <c r="J23" s="29"/>
      <c r="K23" s="29"/>
      <c r="L23" s="29">
        <v>1079500</v>
      </c>
      <c r="M23" s="29">
        <v>500000</v>
      </c>
      <c r="N23" s="29">
        <f>5000+500000</f>
        <v>505000</v>
      </c>
      <c r="O23" s="30">
        <f t="shared" si="4"/>
        <v>48504500</v>
      </c>
      <c r="P23" s="36"/>
      <c r="Q23" s="31">
        <v>48504500</v>
      </c>
      <c r="R23" s="32">
        <f t="shared" si="2"/>
        <v>0</v>
      </c>
    </row>
    <row r="24" spans="1:18" s="33" customFormat="1" ht="14.1" customHeight="1" x14ac:dyDescent="0.2">
      <c r="A24" s="27" t="s">
        <v>57</v>
      </c>
      <c r="B24" s="37" t="s">
        <v>58</v>
      </c>
      <c r="C24" s="29"/>
      <c r="D24" s="29"/>
      <c r="E24" s="29">
        <v>500000</v>
      </c>
      <c r="F24" s="29">
        <f>14000000-1700000-1600000-8539600</f>
        <v>2160400</v>
      </c>
      <c r="G24" s="29">
        <f>14000000-1700000+2396232-7948000</f>
        <v>6748232</v>
      </c>
      <c r="H24" s="29">
        <f>15000000-1700000-1000000-7343244+30115784-15000000</f>
        <v>20072540</v>
      </c>
      <c r="I24" s="29">
        <f>15000000-1700000-1000000-3912914</f>
        <v>8387086</v>
      </c>
      <c r="J24" s="29">
        <f>15000000-1700000-1000000-3000000</f>
        <v>9300000</v>
      </c>
      <c r="K24" s="29">
        <f>14613300-1700000-1010722-3000000</f>
        <v>8902578</v>
      </c>
      <c r="L24" s="29">
        <f>14500000-1700000-3000000+2000000-1604492</f>
        <v>10195508</v>
      </c>
      <c r="M24" s="29">
        <f>14000000-1700000-3000000+2000000+4000000</f>
        <v>15300000</v>
      </c>
      <c r="N24" s="29">
        <f>14000000-1700000-1745643-3000000+1897490+3751629+3000000</f>
        <v>16203476</v>
      </c>
      <c r="O24" s="30">
        <f t="shared" si="4"/>
        <v>97769820</v>
      </c>
      <c r="P24" s="36"/>
      <c r="Q24" s="31">
        <v>94769820</v>
      </c>
      <c r="R24" s="32">
        <f t="shared" si="2"/>
        <v>3000000</v>
      </c>
    </row>
    <row r="25" spans="1:18" s="33" customFormat="1" ht="14.1" customHeight="1" thickBot="1" x14ac:dyDescent="0.25">
      <c r="A25" s="27" t="s">
        <v>59</v>
      </c>
      <c r="B25" s="37" t="s">
        <v>60</v>
      </c>
      <c r="C25" s="40">
        <v>35164932</v>
      </c>
      <c r="D25" s="40"/>
      <c r="E25" s="40">
        <v>790000</v>
      </c>
      <c r="F25" s="29"/>
      <c r="G25" s="40"/>
      <c r="H25" s="29">
        <v>790000</v>
      </c>
      <c r="I25" s="29"/>
      <c r="J25" s="29"/>
      <c r="K25" s="29">
        <v>791000</v>
      </c>
      <c r="L25" s="29">
        <v>70000000</v>
      </c>
      <c r="M25" s="29"/>
      <c r="N25" s="29">
        <v>30790000</v>
      </c>
      <c r="O25" s="38">
        <f t="shared" si="4"/>
        <v>138325932</v>
      </c>
      <c r="P25" s="39"/>
      <c r="Q25" s="41">
        <v>138325932</v>
      </c>
      <c r="R25" s="42">
        <f t="shared" si="2"/>
        <v>0</v>
      </c>
    </row>
    <row r="26" spans="1:18" s="19" customFormat="1" ht="15.95" customHeight="1" thickBot="1" x14ac:dyDescent="0.25">
      <c r="A26" s="56" t="s">
        <v>61</v>
      </c>
      <c r="B26" s="43" t="s">
        <v>62</v>
      </c>
      <c r="C26" s="44">
        <f t="shared" ref="C26:N26" si="5">SUM(C16:C25)</f>
        <v>226346432</v>
      </c>
      <c r="D26" s="44">
        <f t="shared" si="5"/>
        <v>191303000</v>
      </c>
      <c r="E26" s="44">
        <f t="shared" si="5"/>
        <v>244993746</v>
      </c>
      <c r="F26" s="44">
        <f t="shared" si="5"/>
        <v>234357608</v>
      </c>
      <c r="G26" s="44">
        <f t="shared" si="5"/>
        <v>238470264</v>
      </c>
      <c r="H26" s="44">
        <f t="shared" si="5"/>
        <v>228487955</v>
      </c>
      <c r="I26" s="44">
        <f t="shared" si="5"/>
        <v>346375763</v>
      </c>
      <c r="J26" s="44">
        <f t="shared" si="5"/>
        <v>236255388</v>
      </c>
      <c r="K26" s="44">
        <f t="shared" si="5"/>
        <v>217801536</v>
      </c>
      <c r="L26" s="44">
        <f t="shared" si="5"/>
        <v>405424941</v>
      </c>
      <c r="M26" s="44">
        <f t="shared" si="5"/>
        <v>253303923</v>
      </c>
      <c r="N26" s="44">
        <f t="shared" si="5"/>
        <v>638869953</v>
      </c>
      <c r="O26" s="45">
        <f t="shared" si="4"/>
        <v>3461990509</v>
      </c>
      <c r="P26" s="46"/>
      <c r="Q26" s="47">
        <f>SUM(Q16:Q25)</f>
        <v>3461990509</v>
      </c>
      <c r="R26" s="48">
        <f t="shared" si="2"/>
        <v>0</v>
      </c>
    </row>
    <row r="27" spans="1:18" ht="16.5" thickBot="1" x14ac:dyDescent="0.3">
      <c r="A27" s="56" t="s">
        <v>63</v>
      </c>
      <c r="B27" s="57" t="s">
        <v>64</v>
      </c>
      <c r="C27" s="58">
        <f t="shared" ref="C27:O27" si="6">C14-C26</f>
        <v>242786983</v>
      </c>
      <c r="D27" s="58">
        <f t="shared" si="6"/>
        <v>-13455000</v>
      </c>
      <c r="E27" s="58">
        <f t="shared" si="6"/>
        <v>95380776</v>
      </c>
      <c r="F27" s="58">
        <f t="shared" si="6"/>
        <v>21372682</v>
      </c>
      <c r="G27" s="58">
        <f t="shared" si="6"/>
        <v>-51708358</v>
      </c>
      <c r="H27" s="58">
        <f t="shared" si="6"/>
        <v>35778043</v>
      </c>
      <c r="I27" s="58">
        <f t="shared" si="6"/>
        <v>-96396319</v>
      </c>
      <c r="J27" s="58">
        <f t="shared" si="6"/>
        <v>-43275866</v>
      </c>
      <c r="K27" s="58">
        <f t="shared" si="6"/>
        <v>500443449</v>
      </c>
      <c r="L27" s="58">
        <f t="shared" si="6"/>
        <v>-235674593</v>
      </c>
      <c r="M27" s="58">
        <f t="shared" si="6"/>
        <v>-30242348</v>
      </c>
      <c r="N27" s="58">
        <f t="shared" si="6"/>
        <v>-425009449</v>
      </c>
      <c r="O27" s="59">
        <f t="shared" si="6"/>
        <v>0</v>
      </c>
      <c r="P27" s="60"/>
    </row>
    <row r="28" spans="1:18" x14ac:dyDescent="0.25">
      <c r="A28" s="61"/>
    </row>
    <row r="29" spans="1:18" x14ac:dyDescent="0.25">
      <c r="B29" s="63"/>
      <c r="C29" s="64"/>
      <c r="D29" s="64"/>
      <c r="O29" s="5"/>
      <c r="P29" s="65"/>
    </row>
    <row r="30" spans="1:18" x14ac:dyDescent="0.25">
      <c r="O30" s="5"/>
      <c r="P30" s="65"/>
    </row>
    <row r="31" spans="1:18" x14ac:dyDescent="0.25">
      <c r="O31" s="5"/>
      <c r="P31" s="65"/>
    </row>
    <row r="32" spans="1:18" x14ac:dyDescent="0.25">
      <c r="O32" s="5"/>
      <c r="P32" s="65"/>
    </row>
    <row r="33" spans="15:16" x14ac:dyDescent="0.25">
      <c r="O33" s="5"/>
      <c r="P33" s="65"/>
    </row>
    <row r="34" spans="15:16" x14ac:dyDescent="0.25">
      <c r="O34" s="5"/>
      <c r="P34" s="65"/>
    </row>
    <row r="35" spans="15:16" x14ac:dyDescent="0.25">
      <c r="O35" s="5"/>
      <c r="P35" s="65"/>
    </row>
    <row r="36" spans="15:16" x14ac:dyDescent="0.25">
      <c r="O36" s="5"/>
      <c r="P36" s="65"/>
    </row>
    <row r="37" spans="15:16" x14ac:dyDescent="0.25">
      <c r="O37" s="5"/>
      <c r="P37" s="65"/>
    </row>
    <row r="38" spans="15:16" x14ac:dyDescent="0.25">
      <c r="O38" s="5"/>
      <c r="P38" s="65"/>
    </row>
    <row r="39" spans="15:16" x14ac:dyDescent="0.25">
      <c r="O39" s="5"/>
      <c r="P39" s="65"/>
    </row>
    <row r="40" spans="15:16" x14ac:dyDescent="0.25">
      <c r="O40" s="5"/>
      <c r="P40" s="65"/>
    </row>
    <row r="41" spans="15:16" x14ac:dyDescent="0.25">
      <c r="O41" s="5"/>
      <c r="P41" s="65"/>
    </row>
    <row r="42" spans="15:16" x14ac:dyDescent="0.25">
      <c r="O42" s="5"/>
      <c r="P42" s="65"/>
    </row>
    <row r="43" spans="15:16" x14ac:dyDescent="0.25">
      <c r="O43" s="5"/>
      <c r="P43" s="65"/>
    </row>
    <row r="44" spans="15:16" x14ac:dyDescent="0.25">
      <c r="O44" s="5"/>
      <c r="P44" s="65"/>
    </row>
    <row r="45" spans="15:16" x14ac:dyDescent="0.25">
      <c r="O45" s="5"/>
      <c r="P45" s="65"/>
    </row>
    <row r="46" spans="15:16" x14ac:dyDescent="0.25">
      <c r="O46" s="5"/>
      <c r="P46" s="65"/>
    </row>
    <row r="47" spans="15:16" x14ac:dyDescent="0.25">
      <c r="O47" s="5"/>
      <c r="P47" s="65"/>
    </row>
    <row r="48" spans="15:16" x14ac:dyDescent="0.25">
      <c r="O48" s="5"/>
      <c r="P48" s="65"/>
    </row>
    <row r="49" spans="15:16" x14ac:dyDescent="0.25">
      <c r="O49" s="5"/>
      <c r="P49" s="65"/>
    </row>
    <row r="50" spans="15:16" x14ac:dyDescent="0.25">
      <c r="O50" s="5"/>
      <c r="P50" s="65"/>
    </row>
    <row r="51" spans="15:16" x14ac:dyDescent="0.25">
      <c r="O51" s="5"/>
      <c r="P51" s="65"/>
    </row>
    <row r="52" spans="15:16" x14ac:dyDescent="0.25">
      <c r="O52" s="5"/>
      <c r="P52" s="65"/>
    </row>
    <row r="53" spans="15:16" x14ac:dyDescent="0.25">
      <c r="O53" s="5"/>
      <c r="P53" s="65"/>
    </row>
    <row r="54" spans="15:16" x14ac:dyDescent="0.25">
      <c r="O54" s="5"/>
      <c r="P54" s="65"/>
    </row>
    <row r="55" spans="15:16" x14ac:dyDescent="0.25">
      <c r="O55" s="5"/>
      <c r="P55" s="65"/>
    </row>
    <row r="56" spans="15:16" x14ac:dyDescent="0.25">
      <c r="O56" s="5"/>
      <c r="P56" s="65"/>
    </row>
    <row r="57" spans="15:16" x14ac:dyDescent="0.25">
      <c r="O57" s="5"/>
      <c r="P57" s="65"/>
    </row>
    <row r="58" spans="15:16" x14ac:dyDescent="0.25">
      <c r="O58" s="5"/>
      <c r="P58" s="65"/>
    </row>
    <row r="59" spans="15:16" x14ac:dyDescent="0.25">
      <c r="O59" s="5"/>
      <c r="P59" s="65"/>
    </row>
    <row r="60" spans="15:16" x14ac:dyDescent="0.25">
      <c r="O60" s="5"/>
      <c r="P60" s="65"/>
    </row>
    <row r="61" spans="15:16" x14ac:dyDescent="0.25">
      <c r="O61" s="5"/>
      <c r="P61" s="65"/>
    </row>
    <row r="62" spans="15:16" x14ac:dyDescent="0.25">
      <c r="O62" s="5"/>
      <c r="P62" s="65"/>
    </row>
    <row r="63" spans="15:16" x14ac:dyDescent="0.25">
      <c r="O63" s="5"/>
      <c r="P63" s="65"/>
    </row>
    <row r="64" spans="15:16" x14ac:dyDescent="0.25">
      <c r="O64" s="5"/>
      <c r="P64" s="65"/>
    </row>
    <row r="65" spans="15:16" x14ac:dyDescent="0.25">
      <c r="O65" s="5"/>
      <c r="P65" s="65"/>
    </row>
    <row r="66" spans="15:16" x14ac:dyDescent="0.25">
      <c r="O66" s="5"/>
      <c r="P66" s="65"/>
    </row>
    <row r="67" spans="15:16" x14ac:dyDescent="0.25">
      <c r="O67" s="5"/>
      <c r="P67" s="65"/>
    </row>
    <row r="68" spans="15:16" x14ac:dyDescent="0.25">
      <c r="O68" s="5"/>
      <c r="P68" s="65"/>
    </row>
    <row r="69" spans="15:16" x14ac:dyDescent="0.25">
      <c r="O69" s="5"/>
      <c r="P69" s="65"/>
    </row>
    <row r="70" spans="15:16" x14ac:dyDescent="0.25">
      <c r="O70" s="5"/>
      <c r="P70" s="65"/>
    </row>
    <row r="71" spans="15:16" x14ac:dyDescent="0.25">
      <c r="O71" s="5"/>
      <c r="P71" s="65"/>
    </row>
    <row r="72" spans="15:16" x14ac:dyDescent="0.25">
      <c r="O72" s="5"/>
      <c r="P72" s="65"/>
    </row>
    <row r="73" spans="15:16" x14ac:dyDescent="0.25">
      <c r="O73" s="5"/>
      <c r="P73" s="65"/>
    </row>
    <row r="74" spans="15:16" x14ac:dyDescent="0.25">
      <c r="O74" s="5"/>
      <c r="P74" s="65"/>
    </row>
    <row r="75" spans="15:16" x14ac:dyDescent="0.25">
      <c r="O75" s="5"/>
      <c r="P75" s="65"/>
    </row>
    <row r="76" spans="15:16" x14ac:dyDescent="0.25">
      <c r="O76" s="5"/>
      <c r="P76" s="65"/>
    </row>
    <row r="77" spans="15:16" x14ac:dyDescent="0.25">
      <c r="O77" s="5"/>
      <c r="P77" s="65"/>
    </row>
    <row r="78" spans="15:16" x14ac:dyDescent="0.25">
      <c r="O78" s="5"/>
      <c r="P78" s="65"/>
    </row>
    <row r="79" spans="15:16" x14ac:dyDescent="0.25">
      <c r="O79" s="5"/>
      <c r="P79" s="65"/>
    </row>
    <row r="80" spans="15:16" x14ac:dyDescent="0.25">
      <c r="O80" s="5"/>
      <c r="P80" s="65"/>
    </row>
    <row r="81" spans="15:16" x14ac:dyDescent="0.25">
      <c r="O81" s="5"/>
      <c r="P81" s="65"/>
    </row>
    <row r="82" spans="15:16" x14ac:dyDescent="0.25">
      <c r="O82" s="5"/>
      <c r="P82" s="65"/>
    </row>
  </sheetData>
  <mergeCells count="3">
    <mergeCell ref="A1:O1"/>
    <mergeCell ref="B4:O4"/>
    <mergeCell ref="B15:O15"/>
  </mergeCells>
  <printOptions horizontalCentered="1"/>
  <pageMargins left="0.78740157480314965" right="0.78740157480314965" top="1.0687500000000001" bottom="0.98425196850393704" header="0.78740157480314965" footer="0.78740157480314965"/>
  <pageSetup paperSize="9" scale="77" orientation="landscape" r:id="rId1"/>
  <headerFooter alignWithMargins="0">
    <oddHeader>&amp;R&amp;"Times New Roman CE,Dőlt"&amp;11 30. melléklet a  30/2017.(XI.30.) önkormányzati rendelethez
TÁJÉKOZTATÓ TÁBLA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4.sz tájékoztató t 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2017-12-04T10:58:16Z</dcterms:created>
  <dcterms:modified xsi:type="dcterms:W3CDTF">2017-12-04T10:58:17Z</dcterms:modified>
</cp:coreProperties>
</file>