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49" i="1"/>
  <c r="C48"/>
  <c r="E47"/>
  <c r="D47"/>
  <c r="D50" s="1"/>
  <c r="C46"/>
  <c r="C45"/>
  <c r="C44"/>
  <c r="C43"/>
  <c r="O42"/>
  <c r="O47" s="1"/>
  <c r="N42"/>
  <c r="N47" s="1"/>
  <c r="N50" s="1"/>
  <c r="M42"/>
  <c r="M47" s="1"/>
  <c r="L42"/>
  <c r="L47" s="1"/>
  <c r="L50" s="1"/>
  <c r="K42"/>
  <c r="J42"/>
  <c r="J47" s="1"/>
  <c r="J50" s="1"/>
  <c r="I42"/>
  <c r="I47" s="1"/>
  <c r="H42"/>
  <c r="H47" s="1"/>
  <c r="H50" s="1"/>
  <c r="G42"/>
  <c r="G47" s="1"/>
  <c r="F42"/>
  <c r="F47" s="1"/>
  <c r="F50" s="1"/>
  <c r="K41"/>
  <c r="K47" s="1"/>
  <c r="C39"/>
  <c r="C38"/>
  <c r="O37"/>
  <c r="N37"/>
  <c r="M37"/>
  <c r="L37"/>
  <c r="K37"/>
  <c r="J37"/>
  <c r="I37"/>
  <c r="H37"/>
  <c r="G37"/>
  <c r="F37"/>
  <c r="E37"/>
  <c r="D37"/>
  <c r="C37" s="1"/>
  <c r="O36"/>
  <c r="N36"/>
  <c r="M36"/>
  <c r="L36"/>
  <c r="K36"/>
  <c r="J36"/>
  <c r="I36"/>
  <c r="H36"/>
  <c r="G36"/>
  <c r="F36"/>
  <c r="E36"/>
  <c r="D36"/>
  <c r="C36"/>
  <c r="O35"/>
  <c r="N35"/>
  <c r="M35"/>
  <c r="L35"/>
  <c r="K35"/>
  <c r="J35"/>
  <c r="I35"/>
  <c r="H35"/>
  <c r="G35"/>
  <c r="F35"/>
  <c r="E35"/>
  <c r="D35"/>
  <c r="C35" s="1"/>
  <c r="O34"/>
  <c r="N34"/>
  <c r="L34"/>
  <c r="K34"/>
  <c r="J34"/>
  <c r="I34"/>
  <c r="G34"/>
  <c r="F34"/>
  <c r="E34"/>
  <c r="D34"/>
  <c r="C34"/>
  <c r="O33"/>
  <c r="N33"/>
  <c r="M33"/>
  <c r="L33"/>
  <c r="K33"/>
  <c r="J33"/>
  <c r="I33"/>
  <c r="H33"/>
  <c r="G33"/>
  <c r="F33"/>
  <c r="E33"/>
  <c r="D33"/>
  <c r="C33" s="1"/>
  <c r="O32"/>
  <c r="O40" s="1"/>
  <c r="N32"/>
  <c r="N40" s="1"/>
  <c r="M32"/>
  <c r="M40" s="1"/>
  <c r="L32"/>
  <c r="L40" s="1"/>
  <c r="K32"/>
  <c r="K40" s="1"/>
  <c r="J32"/>
  <c r="J40" s="1"/>
  <c r="I32"/>
  <c r="I40" s="1"/>
  <c r="H32"/>
  <c r="H40" s="1"/>
  <c r="G32"/>
  <c r="G40" s="1"/>
  <c r="F32"/>
  <c r="F40" s="1"/>
  <c r="E32"/>
  <c r="E40" s="1"/>
  <c r="D32"/>
  <c r="D40" s="1"/>
  <c r="C32"/>
  <c r="C40" s="1"/>
  <c r="C22"/>
  <c r="C21"/>
  <c r="O20"/>
  <c r="N20"/>
  <c r="M20"/>
  <c r="L20"/>
  <c r="K20"/>
  <c r="J20"/>
  <c r="I20"/>
  <c r="H20"/>
  <c r="G20"/>
  <c r="F20"/>
  <c r="E20"/>
  <c r="D20"/>
  <c r="C19"/>
  <c r="C18"/>
  <c r="C17"/>
  <c r="C16"/>
  <c r="C20" s="1"/>
  <c r="C13"/>
  <c r="C12"/>
  <c r="C11"/>
  <c r="O10"/>
  <c r="N10"/>
  <c r="M10"/>
  <c r="L10"/>
  <c r="K10"/>
  <c r="J10"/>
  <c r="I10"/>
  <c r="H10"/>
  <c r="G10"/>
  <c r="F10"/>
  <c r="E10"/>
  <c r="D10"/>
  <c r="C10" s="1"/>
  <c r="O9"/>
  <c r="N9"/>
  <c r="M9"/>
  <c r="L9"/>
  <c r="K9"/>
  <c r="J9"/>
  <c r="I9"/>
  <c r="H9"/>
  <c r="G9"/>
  <c r="F9"/>
  <c r="E9"/>
  <c r="D9"/>
  <c r="C9"/>
  <c r="O8"/>
  <c r="O14" s="1"/>
  <c r="O23" s="1"/>
  <c r="N8"/>
  <c r="N14" s="1"/>
  <c r="N23" s="1"/>
  <c r="M8"/>
  <c r="M14" s="1"/>
  <c r="M23" s="1"/>
  <c r="L8"/>
  <c r="L14" s="1"/>
  <c r="L23" s="1"/>
  <c r="K8"/>
  <c r="K14" s="1"/>
  <c r="K23" s="1"/>
  <c r="J8"/>
  <c r="J14" s="1"/>
  <c r="J23" s="1"/>
  <c r="I8"/>
  <c r="I14" s="1"/>
  <c r="I23" s="1"/>
  <c r="H8"/>
  <c r="H14" s="1"/>
  <c r="H23" s="1"/>
  <c r="G8"/>
  <c r="G14" s="1"/>
  <c r="G23" s="1"/>
  <c r="F8"/>
  <c r="F14" s="1"/>
  <c r="F23" s="1"/>
  <c r="E8"/>
  <c r="E14" s="1"/>
  <c r="E23" s="1"/>
  <c r="D8"/>
  <c r="D14" s="1"/>
  <c r="D23" s="1"/>
  <c r="K50" l="1"/>
  <c r="G50"/>
  <c r="I50"/>
  <c r="M50"/>
  <c r="O50"/>
  <c r="E50"/>
  <c r="C8"/>
  <c r="C14" s="1"/>
  <c r="C23" s="1"/>
  <c r="C41"/>
  <c r="C47" s="1"/>
  <c r="C50" s="1"/>
  <c r="C42"/>
</calcChain>
</file>

<file path=xl/sharedStrings.xml><?xml version="1.0" encoding="utf-8"?>
<sst xmlns="http://schemas.openxmlformats.org/spreadsheetml/2006/main" count="102" uniqueCount="85">
  <si>
    <t xml:space="preserve">  Önkormányzat</t>
  </si>
  <si>
    <t>2018. évi várható bevételi előirányzatainak teljesüléséről</t>
  </si>
  <si>
    <t xml:space="preserve">Előirányzat-felhasználási ütemterv </t>
  </si>
  <si>
    <t>Ft</t>
  </si>
  <si>
    <t>Bevételek</t>
  </si>
  <si>
    <t>2018. évi terv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</si>
  <si>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</si>
  <si>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</si>
  <si>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</si>
  <si>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</si>
  <si>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</si>
  <si>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</si>
  <si>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</si>
  <si>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</si>
  <si>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</si>
  <si>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</si>
  <si>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</si>
  <si>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</si>
  <si>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1.</t>
  </si>
  <si>
    <t>Működési  bevételek</t>
  </si>
  <si>
    <t>2.</t>
  </si>
  <si>
    <t>Közhatalmi bevételek</t>
  </si>
  <si>
    <t>Önkormányzatok működési támogatása</t>
  </si>
  <si>
    <t>4.</t>
  </si>
  <si>
    <t>Egyéb működési célú támogatás ÁHT-n belülről</t>
  </si>
  <si>
    <t>5.</t>
  </si>
  <si>
    <t>Működési célú visszatérítendő támogatások</t>
  </si>
  <si>
    <t>6.</t>
  </si>
  <si>
    <t>Elvonások és befizetések bevételei</t>
  </si>
  <si>
    <t>7.</t>
  </si>
  <si>
    <t xml:space="preserve">Működési bevételek </t>
  </si>
  <si>
    <t>8.</t>
  </si>
  <si>
    <t xml:space="preserve">Felhalmozási bevételek    </t>
  </si>
  <si>
    <t>9.</t>
  </si>
  <si>
    <t>Felhalmozási célú kölcsönök visszatér. ÁHT-n kívülről</t>
  </si>
  <si>
    <t>10.</t>
  </si>
  <si>
    <t>Egyéb felhalmozási célú tám. bevételei ÁHT-n belülről</t>
  </si>
  <si>
    <t>11.</t>
  </si>
  <si>
    <t xml:space="preserve">Egyéb felhalmozási célú átvett pénzeszköz </t>
  </si>
  <si>
    <t>12.</t>
  </si>
  <si>
    <t>13.</t>
  </si>
  <si>
    <t>Hitelek, kölcsönök bevételei</t>
  </si>
  <si>
    <t>14.</t>
  </si>
  <si>
    <t>Finanszírozási bevételek</t>
  </si>
  <si>
    <t>15.</t>
  </si>
  <si>
    <t xml:space="preserve">Összes bevétel </t>
  </si>
  <si>
    <t xml:space="preserve"> </t>
  </si>
  <si>
    <t>2018. évi várható kiadási előirányzatainak teljesüléséről</t>
  </si>
  <si>
    <t>Kiadások</t>
  </si>
  <si>
    <t>16.</t>
  </si>
  <si>
    <t>Személyi juttatások</t>
  </si>
  <si>
    <t>17.</t>
  </si>
  <si>
    <t>Munkaadókat terhelő járulékok és szoc hozzájárulási adó</t>
  </si>
  <si>
    <t>18.</t>
  </si>
  <si>
    <t>Dologi kiadások</t>
  </si>
  <si>
    <t>19.</t>
  </si>
  <si>
    <t>Egyéb működési célú tám. ÁHT-n belülre</t>
  </si>
  <si>
    <t>20.</t>
  </si>
  <si>
    <t>Egyéb működési célú támogatás Áht-n kívülre</t>
  </si>
  <si>
    <t>21.</t>
  </si>
  <si>
    <t>Ellátottak pénzbeli juttatásai</t>
  </si>
  <si>
    <t>22.</t>
  </si>
  <si>
    <t>23.</t>
  </si>
  <si>
    <t>Tartalékok</t>
  </si>
  <si>
    <t>24.</t>
  </si>
  <si>
    <t xml:space="preserve">Működési kiadások </t>
  </si>
  <si>
    <t>25.</t>
  </si>
  <si>
    <t>Felújítások</t>
  </si>
  <si>
    <t>26.</t>
  </si>
  <si>
    <t>Beruházások</t>
  </si>
  <si>
    <t>Részesedések bszerzése</t>
  </si>
  <si>
    <t>27.</t>
  </si>
  <si>
    <t>Egyéb felhalmozási célú tám.ÁHT-n belülre</t>
  </si>
  <si>
    <t>28.</t>
  </si>
  <si>
    <t>Felhalmozási célú visszatérítendőkölcsön ÁHT-n kívülre</t>
  </si>
  <si>
    <t>29.</t>
  </si>
  <si>
    <t>Egyéb felhalmozási célú tám.ÁHT-n kívülre</t>
  </si>
  <si>
    <t>30.</t>
  </si>
  <si>
    <t xml:space="preserve">Felhalmozási kiadások összesen </t>
  </si>
  <si>
    <t>31.</t>
  </si>
  <si>
    <t>Hitelelek, kölcsönök tőkeösszegének törlesztése</t>
  </si>
  <si>
    <t>32.</t>
  </si>
  <si>
    <t>Finanszírozási kiadások</t>
  </si>
  <si>
    <t>33.</t>
  </si>
  <si>
    <t xml:space="preserve">Összes kiadás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</si>
</sst>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6"/>
      <name val="Cambria"/>
      <family val="1"/>
      <charset val="238"/>
    </font>
    <font>
      <sz val="16"/>
      <name val="Cambria"/>
      <family val="1"/>
      <charset val="238"/>
    </font>
    <font>
      <b/>
      <sz val="10"/>
      <name val="Cambria"/>
      <family val="1"/>
      <charset val="238"/>
    </font>
    <font>
      <sz val="10"/>
      <name val="Cambria"/>
      <family val="1"/>
      <charset val="238"/>
    </font>
    <font>
      <b/>
      <sz val="11"/>
      <name val="Cambria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3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Continuous"/>
    </xf>
    <xf numFmtId="0" fontId="3" fillId="0" borderId="0" xfId="0" applyFont="1" applyFill="1" applyAlignment="1">
      <alignment horizontal="centerContinuous" wrapText="1"/>
    </xf>
    <xf numFmtId="3" fontId="3" fillId="0" borderId="0" xfId="0" applyNumberFormat="1" applyFont="1" applyFill="1" applyAlignment="1">
      <alignment horizontal="centerContinuous"/>
    </xf>
    <xf numFmtId="3" fontId="3" fillId="0" borderId="0" xfId="0" applyNumberFormat="1" applyFont="1" applyFill="1" applyAlignment="1">
      <alignment horizontal="centerContinuous" shrinkToFit="1"/>
    </xf>
    <xf numFmtId="0" fontId="4" fillId="0" borderId="0" xfId="0" applyFont="1" applyFill="1"/>
    <xf numFmtId="0" fontId="4" fillId="0" borderId="0" xfId="0" applyFont="1" applyFill="1" applyAlignment="1">
      <alignment wrapText="1"/>
    </xf>
    <xf numFmtId="3" fontId="4" fillId="0" borderId="0" xfId="0" applyNumberFormat="1" applyFont="1" applyFill="1"/>
    <xf numFmtId="3" fontId="4" fillId="0" borderId="0" xfId="0" applyNumberFormat="1" applyFont="1" applyFill="1" applyAlignment="1">
      <alignment shrinkToFit="1"/>
    </xf>
    <xf numFmtId="3" fontId="3" fillId="0" borderId="0" xfId="0" applyNumberFormat="1" applyFont="1" applyFill="1" applyAlignment="1">
      <alignment horizontal="right"/>
    </xf>
    <xf numFmtId="0" fontId="5" fillId="2" borderId="1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 shrinkToFit="1"/>
    </xf>
    <xf numFmtId="3" fontId="5" fillId="2" borderId="3" xfId="0" applyNumberFormat="1" applyFont="1" applyFill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3" fontId="3" fillId="0" borderId="6" xfId="0" applyNumberFormat="1" applyFont="1" applyFill="1" applyBorder="1" applyAlignment="1">
      <alignment vertical="center" wrapText="1"/>
    </xf>
    <xf numFmtId="3" fontId="4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3" fontId="3" fillId="0" borderId="8" xfId="0" applyNumberFormat="1" applyFont="1" applyFill="1" applyBorder="1" applyAlignment="1">
      <alignment vertical="center" wrapText="1"/>
    </xf>
    <xf numFmtId="3" fontId="4" fillId="0" borderId="9" xfId="0" applyNumberFormat="1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left" vertical="center"/>
    </xf>
    <xf numFmtId="3" fontId="4" fillId="0" borderId="10" xfId="0" applyNumberFormat="1" applyFont="1" applyFill="1" applyBorder="1" applyAlignment="1">
      <alignment vertical="center" wrapText="1"/>
    </xf>
    <xf numFmtId="3" fontId="4" fillId="0" borderId="11" xfId="0" applyNumberFormat="1" applyFont="1" applyFill="1" applyBorder="1" applyAlignment="1">
      <alignment vertical="center" wrapText="1"/>
    </xf>
    <xf numFmtId="0" fontId="4" fillId="3" borderId="12" xfId="0" applyFont="1" applyFill="1" applyBorder="1" applyAlignment="1">
      <alignment horizontal="left" vertical="center" wrapText="1"/>
    </xf>
    <xf numFmtId="3" fontId="4" fillId="0" borderId="10" xfId="0" applyNumberFormat="1" applyFont="1" applyFill="1" applyBorder="1" applyAlignment="1">
      <alignment vertical="center" wrapText="1" shrinkToFit="1"/>
    </xf>
    <xf numFmtId="0" fontId="3" fillId="2" borderId="1" xfId="0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vertical="center" wrapText="1"/>
    </xf>
    <xf numFmtId="3" fontId="3" fillId="2" borderId="2" xfId="0" applyNumberFormat="1" applyFont="1" applyFill="1" applyBorder="1" applyAlignment="1">
      <alignment vertical="center" wrapText="1"/>
    </xf>
    <xf numFmtId="3" fontId="4" fillId="0" borderId="5" xfId="0" applyNumberFormat="1" applyFont="1" applyFill="1" applyBorder="1" applyAlignment="1">
      <alignment vertical="center" wrapText="1"/>
    </xf>
    <xf numFmtId="3" fontId="4" fillId="0" borderId="13" xfId="0" applyNumberFormat="1" applyFont="1" applyFill="1" applyBorder="1" applyAlignment="1">
      <alignment vertical="center" wrapText="1" shrinkToFit="1"/>
    </xf>
    <xf numFmtId="3" fontId="3" fillId="0" borderId="13" xfId="0" applyNumberFormat="1" applyFont="1" applyFill="1" applyBorder="1" applyAlignment="1">
      <alignment vertical="center" wrapText="1"/>
    </xf>
    <xf numFmtId="3" fontId="4" fillId="0" borderId="13" xfId="0" applyNumberFormat="1" applyFont="1" applyFill="1" applyBorder="1" applyAlignment="1">
      <alignment vertical="center" wrapText="1"/>
    </xf>
    <xf numFmtId="3" fontId="4" fillId="0" borderId="14" xfId="0" applyNumberFormat="1" applyFont="1" applyFill="1" applyBorder="1" applyAlignment="1">
      <alignment vertical="center" wrapText="1"/>
    </xf>
    <xf numFmtId="0" fontId="4" fillId="3" borderId="12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vertical="center" wrapText="1"/>
    </xf>
    <xf numFmtId="3" fontId="4" fillId="0" borderId="15" xfId="0" applyNumberFormat="1" applyFont="1" applyFill="1" applyBorder="1" applyAlignment="1">
      <alignment vertical="center" wrapText="1"/>
    </xf>
    <xf numFmtId="3" fontId="4" fillId="0" borderId="16" xfId="0" applyNumberFormat="1" applyFont="1" applyFill="1" applyBorder="1" applyAlignment="1">
      <alignment vertical="center" wrapText="1" shrinkToFit="1"/>
    </xf>
    <xf numFmtId="3" fontId="4" fillId="0" borderId="16" xfId="0" applyNumberFormat="1" applyFont="1" applyFill="1" applyBorder="1" applyAlignment="1">
      <alignment vertical="center" wrapText="1"/>
    </xf>
    <xf numFmtId="3" fontId="4" fillId="0" borderId="17" xfId="0" applyNumberFormat="1" applyFont="1" applyFill="1" applyBorder="1" applyAlignment="1">
      <alignment vertical="center" wrapText="1"/>
    </xf>
    <xf numFmtId="0" fontId="4" fillId="0" borderId="18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3" fontId="3" fillId="4" borderId="1" xfId="0" applyNumberFormat="1" applyFont="1" applyFill="1" applyBorder="1" applyAlignment="1">
      <alignment vertical="center" wrapText="1"/>
    </xf>
    <xf numFmtId="3" fontId="3" fillId="4" borderId="2" xfId="0" applyNumberFormat="1" applyFont="1" applyFill="1" applyBorder="1" applyAlignment="1">
      <alignment vertical="center" wrapText="1"/>
    </xf>
    <xf numFmtId="3" fontId="3" fillId="4" borderId="3" xfId="0" applyNumberFormat="1" applyFont="1" applyFill="1" applyBorder="1" applyAlignment="1">
      <alignment vertical="center"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wrapText="1"/>
    </xf>
    <xf numFmtId="3" fontId="4" fillId="0" borderId="0" xfId="0" applyNumberFormat="1" applyFont="1" applyFill="1" applyBorder="1"/>
    <xf numFmtId="0" fontId="5" fillId="2" borderId="19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right" vertical="center" wrapText="1"/>
    </xf>
    <xf numFmtId="0" fontId="4" fillId="0" borderId="20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vertical="center" wrapText="1"/>
    </xf>
    <xf numFmtId="0" fontId="4" fillId="0" borderId="22" xfId="0" applyFont="1" applyFill="1" applyBorder="1" applyAlignment="1">
      <alignment vertical="center" wrapText="1"/>
    </xf>
    <xf numFmtId="3" fontId="0" fillId="0" borderId="0" xfId="0" applyNumberFormat="1"/>
    <xf numFmtId="49" fontId="4" fillId="0" borderId="8" xfId="0" applyNumberFormat="1" applyFont="1" applyBorder="1" applyAlignment="1">
      <alignment horizontal="left" vertical="center" wrapText="1"/>
    </xf>
    <xf numFmtId="49" fontId="4" fillId="0" borderId="21" xfId="0" applyNumberFormat="1" applyFont="1" applyBorder="1" applyAlignment="1">
      <alignment horizontal="left" vertical="center" wrapText="1"/>
    </xf>
    <xf numFmtId="3" fontId="4" fillId="0" borderId="23" xfId="0" applyNumberFormat="1" applyFont="1" applyFill="1" applyBorder="1" applyAlignment="1">
      <alignment vertical="center" wrapText="1"/>
    </xf>
    <xf numFmtId="0" fontId="4" fillId="0" borderId="24" xfId="0" applyFont="1" applyFill="1" applyBorder="1" applyAlignment="1">
      <alignment vertical="center" wrapText="1"/>
    </xf>
    <xf numFmtId="3" fontId="4" fillId="0" borderId="25" xfId="0" applyNumberFormat="1" applyFont="1" applyFill="1" applyBorder="1" applyAlignment="1">
      <alignment vertical="center" wrapText="1"/>
    </xf>
    <xf numFmtId="3" fontId="4" fillId="0" borderId="26" xfId="0" applyNumberFormat="1" applyFont="1" applyFill="1" applyBorder="1" applyAlignment="1">
      <alignment vertical="center" wrapText="1"/>
    </xf>
    <xf numFmtId="3" fontId="4" fillId="0" borderId="27" xfId="0" applyNumberFormat="1" applyFont="1" applyFill="1" applyBorder="1" applyAlignment="1">
      <alignment vertical="center" wrapText="1"/>
    </xf>
    <xf numFmtId="0" fontId="3" fillId="2" borderId="19" xfId="0" applyFont="1" applyFill="1" applyBorder="1" applyAlignment="1">
      <alignment vertical="center" wrapText="1"/>
    </xf>
    <xf numFmtId="0" fontId="3" fillId="2" borderId="19" xfId="0" applyFont="1" applyFill="1" applyBorder="1" applyAlignment="1">
      <alignment horizontal="left" vertical="center" wrapText="1"/>
    </xf>
    <xf numFmtId="3" fontId="3" fillId="2" borderId="28" xfId="0" applyNumberFormat="1" applyFont="1" applyFill="1" applyBorder="1" applyAlignment="1">
      <alignment vertical="center" wrapText="1"/>
    </xf>
    <xf numFmtId="3" fontId="3" fillId="2" borderId="29" xfId="0" applyNumberFormat="1" applyFont="1" applyFill="1" applyBorder="1" applyAlignment="1">
      <alignment vertical="center" wrapText="1"/>
    </xf>
    <xf numFmtId="0" fontId="4" fillId="0" borderId="30" xfId="0" applyFont="1" applyFill="1" applyBorder="1" applyAlignment="1">
      <alignment vertical="center" wrapText="1"/>
    </xf>
    <xf numFmtId="0" fontId="4" fillId="0" borderId="31" xfId="0" applyFont="1" applyFill="1" applyBorder="1" applyAlignment="1">
      <alignment vertical="center" wrapText="1"/>
    </xf>
    <xf numFmtId="3" fontId="3" fillId="0" borderId="18" xfId="0" applyNumberFormat="1" applyFont="1" applyFill="1" applyBorder="1" applyAlignment="1">
      <alignment vertical="center" wrapText="1"/>
    </xf>
    <xf numFmtId="0" fontId="3" fillId="4" borderId="19" xfId="0" applyFont="1" applyFill="1" applyBorder="1" applyAlignment="1">
      <alignment vertical="center" wrapText="1"/>
    </xf>
    <xf numFmtId="3" fontId="3" fillId="4" borderId="32" xfId="0" applyNumberFormat="1" applyFont="1" applyFill="1" applyBorder="1" applyAlignment="1">
      <alignment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52"/>
  <sheetViews>
    <sheetView tabSelected="1" topLeftCell="C1" workbookViewId="0">
      <selection sqref="A1:P53"/>
    </sheetView>
  </sheetViews>
  <sheetFormatPr defaultRowHeight="15"/>
  <cols>
    <col min="2" max="2" width="16" customWidth="1"/>
    <col min="3" max="3" width="15.28515625" customWidth="1"/>
    <col min="4" max="4" width="15.42578125" customWidth="1"/>
    <col min="5" max="5" width="13.7109375" customWidth="1"/>
    <col min="6" max="6" width="14.85546875" customWidth="1"/>
    <col min="7" max="7" width="12.5703125" customWidth="1"/>
    <col min="8" max="8" width="12.85546875" customWidth="1"/>
    <col min="9" max="9" width="12.140625" customWidth="1"/>
    <col min="10" max="10" width="11.7109375" customWidth="1"/>
    <col min="11" max="11" width="13.85546875" customWidth="1"/>
    <col min="12" max="12" width="12.42578125" customWidth="1"/>
    <col min="13" max="13" width="12.28515625" customWidth="1"/>
    <col min="14" max="14" width="11.28515625" customWidth="1"/>
    <col min="15" max="15" width="13.140625" customWidth="1"/>
  </cols>
  <sheetData>
    <row r="1" spans="1:15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20.25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20.25">
      <c r="A3" s="2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>
      <c r="A4" s="4"/>
      <c r="B4" s="5"/>
      <c r="C4" s="6"/>
      <c r="D4" s="6"/>
      <c r="E4" s="7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ht="15.75" thickBot="1">
      <c r="A5" s="8"/>
      <c r="B5" s="9"/>
      <c r="C5" s="10"/>
      <c r="D5" s="10"/>
      <c r="E5" s="11"/>
      <c r="F5" s="10"/>
      <c r="G5" s="10"/>
      <c r="H5" s="10"/>
      <c r="I5" s="10"/>
      <c r="J5" s="10"/>
      <c r="K5" s="10"/>
      <c r="L5" s="10"/>
      <c r="M5" s="10"/>
      <c r="N5" s="10"/>
      <c r="O5" s="12" t="s">
        <v>3</v>
      </c>
    </row>
    <row r="6" spans="1:15" ht="29.25" thickBot="1">
      <c r="A6" s="13"/>
      <c r="B6" s="13" t="s">
        <v>4</v>
      </c>
      <c r="C6" s="14" t="s">
        <v>5</v>
      </c>
      <c r="D6" s="15" t="s">
        <v>6</v>
      </c>
      <c r="E6" s="16" t="s">
        <v>7</v>
      </c>
      <c r="F6" s="17" t="s">
        <v>8</v>
      </c>
      <c r="G6" s="17" t="s">
        <v>9</v>
      </c>
      <c r="H6" s="17" t="s">
        <v>10</v>
      </c>
      <c r="I6" s="17" t="s">
        <v>11</v>
      </c>
      <c r="J6" s="17" t="s">
        <v>12</v>
      </c>
      <c r="K6" s="17" t="s">
        <v>13</v>
      </c>
      <c r="L6" s="17" t="s">
        <v>14</v>
      </c>
      <c r="M6" s="17" t="s">
        <v>15</v>
      </c>
      <c r="N6" s="17" t="s">
        <v>16</v>
      </c>
      <c r="O6" s="18" t="s">
        <v>17</v>
      </c>
    </row>
    <row r="7" spans="1:15" ht="15.75" thickBot="1">
      <c r="A7" s="13">
        <v>1</v>
      </c>
      <c r="B7" s="13">
        <v>2</v>
      </c>
      <c r="C7" s="14">
        <v>3</v>
      </c>
      <c r="D7" s="15">
        <v>4</v>
      </c>
      <c r="E7" s="16">
        <v>5</v>
      </c>
      <c r="F7" s="17">
        <v>6</v>
      </c>
      <c r="G7" s="17">
        <v>7</v>
      </c>
      <c r="H7" s="17">
        <v>8</v>
      </c>
      <c r="I7" s="17">
        <v>9</v>
      </c>
      <c r="J7" s="17">
        <v>10</v>
      </c>
      <c r="K7" s="17">
        <v>11</v>
      </c>
      <c r="L7" s="17">
        <v>12</v>
      </c>
      <c r="M7" s="17">
        <v>13</v>
      </c>
      <c r="N7" s="17">
        <v>14</v>
      </c>
      <c r="O7" s="18">
        <v>15</v>
      </c>
    </row>
    <row r="8" spans="1:15" ht="25.5">
      <c r="A8" s="19" t="s">
        <v>18</v>
      </c>
      <c r="B8" s="20" t="s">
        <v>19</v>
      </c>
      <c r="C8" s="21">
        <f t="shared" ref="C8:C13" si="0">SUM(D8:O8)</f>
        <v>142858500</v>
      </c>
      <c r="D8" s="22">
        <f>142858500/12</f>
        <v>11904875</v>
      </c>
      <c r="E8" s="22">
        <f t="shared" ref="E8:O8" si="1">142858500/12</f>
        <v>11904875</v>
      </c>
      <c r="F8" s="22">
        <f t="shared" si="1"/>
        <v>11904875</v>
      </c>
      <c r="G8" s="22">
        <f t="shared" si="1"/>
        <v>11904875</v>
      </c>
      <c r="H8" s="22">
        <f t="shared" si="1"/>
        <v>11904875</v>
      </c>
      <c r="I8" s="22">
        <f t="shared" si="1"/>
        <v>11904875</v>
      </c>
      <c r="J8" s="22">
        <f t="shared" si="1"/>
        <v>11904875</v>
      </c>
      <c r="K8" s="22">
        <f t="shared" si="1"/>
        <v>11904875</v>
      </c>
      <c r="L8" s="22">
        <f t="shared" si="1"/>
        <v>11904875</v>
      </c>
      <c r="M8" s="22">
        <f t="shared" si="1"/>
        <v>11904875</v>
      </c>
      <c r="N8" s="22">
        <f t="shared" si="1"/>
        <v>11904875</v>
      </c>
      <c r="O8" s="22">
        <f t="shared" si="1"/>
        <v>11904875</v>
      </c>
    </row>
    <row r="9" spans="1:15" ht="38.25">
      <c r="A9" s="23" t="s">
        <v>20</v>
      </c>
      <c r="B9" s="24" t="s">
        <v>21</v>
      </c>
      <c r="C9" s="25">
        <f t="shared" si="0"/>
        <v>454000000</v>
      </c>
      <c r="D9" s="26">
        <f>118000000/12-1000000</f>
        <v>8833333.333333334</v>
      </c>
      <c r="E9" s="26">
        <f>118000000/12+2000000</f>
        <v>11833333.333333334</v>
      </c>
      <c r="F9" s="26">
        <f>118000000/12+166500000</f>
        <v>176333333.33333334</v>
      </c>
      <c r="G9" s="26">
        <f>118000000/12+1000000</f>
        <v>10833333.333333334</v>
      </c>
      <c r="H9" s="26">
        <f>118000000/12</f>
        <v>9833333.333333334</v>
      </c>
      <c r="I9" s="26">
        <f>118000000/12</f>
        <v>9833333.333333334</v>
      </c>
      <c r="J9" s="26">
        <f>118000000/12</f>
        <v>9833333.333333334</v>
      </c>
      <c r="K9" s="26">
        <f>118000000/12+2000000</f>
        <v>11833333.333333334</v>
      </c>
      <c r="L9" s="26">
        <f>118000000/12+166500000</f>
        <v>176333333.33333334</v>
      </c>
      <c r="M9" s="26">
        <f>118000000/12+1000000</f>
        <v>10833333.333333334</v>
      </c>
      <c r="N9" s="26">
        <f>118000000/12-1000000</f>
        <v>8833333.333333334</v>
      </c>
      <c r="O9" s="26">
        <f>118000000/12-1000000</f>
        <v>8833333.333333334</v>
      </c>
    </row>
    <row r="10" spans="1:15" ht="63.75">
      <c r="A10" s="23">
        <v>3</v>
      </c>
      <c r="B10" s="24" t="s">
        <v>22</v>
      </c>
      <c r="C10" s="25">
        <f t="shared" si="0"/>
        <v>401517287.00000006</v>
      </c>
      <c r="D10" s="26">
        <f>401517287/12</f>
        <v>33459773.916666668</v>
      </c>
      <c r="E10" s="26">
        <f t="shared" ref="E10:O10" si="2">401517287/12</f>
        <v>33459773.916666668</v>
      </c>
      <c r="F10" s="26">
        <f t="shared" si="2"/>
        <v>33459773.916666668</v>
      </c>
      <c r="G10" s="26">
        <f t="shared" si="2"/>
        <v>33459773.916666668</v>
      </c>
      <c r="H10" s="26">
        <f t="shared" si="2"/>
        <v>33459773.916666668</v>
      </c>
      <c r="I10" s="26">
        <f t="shared" si="2"/>
        <v>33459773.916666668</v>
      </c>
      <c r="J10" s="26">
        <f t="shared" si="2"/>
        <v>33459773.916666668</v>
      </c>
      <c r="K10" s="26">
        <f t="shared" si="2"/>
        <v>33459773.916666668</v>
      </c>
      <c r="L10" s="26">
        <f t="shared" si="2"/>
        <v>33459773.916666668</v>
      </c>
      <c r="M10" s="26">
        <f t="shared" si="2"/>
        <v>33459773.916666668</v>
      </c>
      <c r="N10" s="26">
        <f t="shared" si="2"/>
        <v>33459773.916666668</v>
      </c>
      <c r="O10" s="26">
        <f t="shared" si="2"/>
        <v>33459773.916666668</v>
      </c>
    </row>
    <row r="11" spans="1:15">
      <c r="A11" s="23" t="s">
        <v>23</v>
      </c>
      <c r="B11" s="27" t="s">
        <v>24</v>
      </c>
      <c r="C11" s="25">
        <f t="shared" si="0"/>
        <v>814936159</v>
      </c>
      <c r="D11" s="26"/>
      <c r="E11" s="28"/>
      <c r="F11" s="28">
        <v>350000000</v>
      </c>
      <c r="G11" s="28"/>
      <c r="H11" s="28"/>
      <c r="I11" s="28"/>
      <c r="J11" s="28">
        <v>264000000</v>
      </c>
      <c r="K11" s="28"/>
      <c r="L11" s="28"/>
      <c r="M11" s="28"/>
      <c r="N11" s="28">
        <v>200936159</v>
      </c>
      <c r="O11" s="29"/>
    </row>
    <row r="12" spans="1:15" ht="76.5">
      <c r="A12" s="23" t="s">
        <v>25</v>
      </c>
      <c r="B12" s="30" t="s">
        <v>26</v>
      </c>
      <c r="C12" s="25">
        <f t="shared" si="0"/>
        <v>2000000</v>
      </c>
      <c r="D12" s="26"/>
      <c r="E12" s="26"/>
      <c r="F12" s="26">
        <v>2000000</v>
      </c>
      <c r="G12" s="26"/>
      <c r="H12" s="26"/>
      <c r="I12" s="26"/>
      <c r="J12" s="26"/>
      <c r="K12" s="26"/>
      <c r="L12" s="26"/>
      <c r="M12" s="26"/>
      <c r="N12" s="26"/>
      <c r="O12" s="29"/>
    </row>
    <row r="13" spans="1:15" ht="64.5" thickBot="1">
      <c r="A13" s="23" t="s">
        <v>27</v>
      </c>
      <c r="B13" s="24" t="s">
        <v>28</v>
      </c>
      <c r="C13" s="25">
        <f t="shared" si="0"/>
        <v>0</v>
      </c>
      <c r="D13" s="26"/>
      <c r="E13" s="31"/>
      <c r="F13" s="28"/>
      <c r="G13" s="28"/>
      <c r="H13" s="28"/>
      <c r="I13" s="28"/>
      <c r="J13" s="28"/>
      <c r="K13" s="28"/>
      <c r="L13" s="28"/>
      <c r="M13" s="28"/>
      <c r="N13" s="28"/>
      <c r="O13" s="29"/>
    </row>
    <row r="14" spans="1:15" ht="51.75" thickBot="1">
      <c r="A14" s="23" t="s">
        <v>29</v>
      </c>
      <c r="B14" s="32" t="s">
        <v>30</v>
      </c>
      <c r="C14" s="33">
        <f t="shared" ref="C14:O14" si="3">SUM(C8:C13)</f>
        <v>1815311946</v>
      </c>
      <c r="D14" s="34">
        <f t="shared" si="3"/>
        <v>54197982.25</v>
      </c>
      <c r="E14" s="34">
        <f t="shared" si="3"/>
        <v>57197982.25</v>
      </c>
      <c r="F14" s="34">
        <f t="shared" si="3"/>
        <v>573697982.25</v>
      </c>
      <c r="G14" s="34">
        <f t="shared" si="3"/>
        <v>56197982.25</v>
      </c>
      <c r="H14" s="34">
        <f t="shared" si="3"/>
        <v>55197982.25</v>
      </c>
      <c r="I14" s="34">
        <f t="shared" si="3"/>
        <v>55197982.25</v>
      </c>
      <c r="J14" s="34">
        <f t="shared" si="3"/>
        <v>319197982.25</v>
      </c>
      <c r="K14" s="34">
        <f t="shared" si="3"/>
        <v>57197982.25</v>
      </c>
      <c r="L14" s="34">
        <f t="shared" si="3"/>
        <v>221697982.25</v>
      </c>
      <c r="M14" s="34">
        <f t="shared" si="3"/>
        <v>56197982.25</v>
      </c>
      <c r="N14" s="34">
        <f t="shared" si="3"/>
        <v>255134141.25</v>
      </c>
      <c r="O14" s="34">
        <f t="shared" si="3"/>
        <v>54197982.25</v>
      </c>
    </row>
    <row r="15" spans="1:15">
      <c r="A15" s="23"/>
      <c r="B15" s="20"/>
      <c r="C15" s="35"/>
      <c r="D15" s="22"/>
      <c r="E15" s="36"/>
      <c r="F15" s="37"/>
      <c r="G15" s="10"/>
      <c r="H15" s="10"/>
      <c r="I15" s="10"/>
      <c r="J15" s="10"/>
      <c r="K15" s="10"/>
      <c r="L15" s="10"/>
      <c r="M15" s="38"/>
      <c r="N15" s="38"/>
      <c r="O15" s="39"/>
    </row>
    <row r="16" spans="1:15">
      <c r="A16" s="23" t="s">
        <v>31</v>
      </c>
      <c r="B16" s="27" t="s">
        <v>32</v>
      </c>
      <c r="C16" s="25">
        <f>SUM(D16:O16)</f>
        <v>104775000</v>
      </c>
      <c r="D16" s="26">
        <v>4775000</v>
      </c>
      <c r="E16" s="26"/>
      <c r="F16" s="26"/>
      <c r="G16" s="26"/>
      <c r="H16" s="26"/>
      <c r="I16" s="26">
        <v>100000000</v>
      </c>
      <c r="J16" s="26"/>
      <c r="K16" s="26"/>
      <c r="L16" s="26"/>
      <c r="M16" s="26"/>
      <c r="N16" s="26"/>
      <c r="O16" s="29"/>
    </row>
    <row r="17" spans="1:15">
      <c r="A17" s="23" t="s">
        <v>33</v>
      </c>
      <c r="B17" s="27" t="s">
        <v>34</v>
      </c>
      <c r="C17" s="25">
        <f>SUM(D17:O17)</f>
        <v>0</v>
      </c>
      <c r="D17" s="26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9"/>
    </row>
    <row r="18" spans="1:15">
      <c r="A18" s="23" t="s">
        <v>35</v>
      </c>
      <c r="B18" s="27" t="s">
        <v>36</v>
      </c>
      <c r="C18" s="25">
        <f>SUM(D18:O18)</f>
        <v>1549850287</v>
      </c>
      <c r="D18" s="26">
        <v>1000000000</v>
      </c>
      <c r="E18" s="31"/>
      <c r="F18" s="28">
        <v>183283429</v>
      </c>
      <c r="G18" s="28"/>
      <c r="H18" s="28"/>
      <c r="I18" s="28"/>
      <c r="J18" s="28">
        <v>183283429</v>
      </c>
      <c r="K18" s="28"/>
      <c r="L18" s="28"/>
      <c r="M18" s="28"/>
      <c r="N18" s="28">
        <v>183283429</v>
      </c>
      <c r="O18" s="29"/>
    </row>
    <row r="19" spans="1:15" ht="15.75" thickBot="1">
      <c r="A19" s="23" t="s">
        <v>37</v>
      </c>
      <c r="B19" s="40" t="s">
        <v>38</v>
      </c>
      <c r="C19" s="25">
        <f>SUM(D19:O19)</f>
        <v>0</v>
      </c>
      <c r="D19" s="26"/>
      <c r="E19" s="31"/>
      <c r="F19" s="28"/>
      <c r="G19" s="28"/>
      <c r="H19" s="28"/>
      <c r="I19" s="28"/>
      <c r="J19" s="28"/>
      <c r="K19" s="28"/>
      <c r="L19" s="28"/>
      <c r="M19" s="28"/>
      <c r="N19" s="28"/>
      <c r="O19" s="29"/>
    </row>
    <row r="20" spans="1:15" ht="51.75" thickBot="1">
      <c r="A20" s="23" t="s">
        <v>39</v>
      </c>
      <c r="B20" s="32" t="s">
        <v>32</v>
      </c>
      <c r="C20" s="33">
        <f t="shared" ref="C20:O20" si="4">SUM(C16:C19)</f>
        <v>1654625287</v>
      </c>
      <c r="D20" s="34">
        <f t="shared" si="4"/>
        <v>1004775000</v>
      </c>
      <c r="E20" s="34">
        <f t="shared" si="4"/>
        <v>0</v>
      </c>
      <c r="F20" s="34">
        <f t="shared" si="4"/>
        <v>183283429</v>
      </c>
      <c r="G20" s="34">
        <f t="shared" si="4"/>
        <v>0</v>
      </c>
      <c r="H20" s="34">
        <f t="shared" si="4"/>
        <v>0</v>
      </c>
      <c r="I20" s="34">
        <f t="shared" si="4"/>
        <v>100000000</v>
      </c>
      <c r="J20" s="34">
        <f t="shared" si="4"/>
        <v>183283429</v>
      </c>
      <c r="K20" s="34">
        <f t="shared" si="4"/>
        <v>0</v>
      </c>
      <c r="L20" s="34">
        <f t="shared" si="4"/>
        <v>0</v>
      </c>
      <c r="M20" s="34">
        <f t="shared" si="4"/>
        <v>0</v>
      </c>
      <c r="N20" s="34">
        <f t="shared" si="4"/>
        <v>183283429</v>
      </c>
      <c r="O20" s="34">
        <f t="shared" si="4"/>
        <v>0</v>
      </c>
    </row>
    <row r="21" spans="1:15" ht="51">
      <c r="A21" s="23" t="s">
        <v>40</v>
      </c>
      <c r="B21" s="41" t="s">
        <v>41</v>
      </c>
      <c r="C21" s="25">
        <f>SUM(D21:O21)</f>
        <v>0</v>
      </c>
      <c r="D21" s="42"/>
      <c r="E21" s="43"/>
      <c r="F21" s="44"/>
      <c r="G21" s="38"/>
      <c r="H21" s="38"/>
      <c r="I21" s="38"/>
      <c r="J21" s="38"/>
      <c r="K21" s="38"/>
      <c r="L21" s="38"/>
      <c r="M21" s="44"/>
      <c r="N21" s="44"/>
      <c r="O21" s="45"/>
    </row>
    <row r="22" spans="1:15" ht="39" thickBot="1">
      <c r="A22" s="23" t="s">
        <v>42</v>
      </c>
      <c r="B22" s="46" t="s">
        <v>43</v>
      </c>
      <c r="C22" s="25">
        <f>SUM(D22:O22)</f>
        <v>1160784359</v>
      </c>
      <c r="D22" s="42">
        <v>1160784359</v>
      </c>
      <c r="E22" s="43"/>
      <c r="F22" s="44"/>
      <c r="G22" s="44"/>
      <c r="H22" s="44"/>
      <c r="I22" s="44"/>
      <c r="J22" s="44"/>
      <c r="K22" s="44"/>
      <c r="L22" s="44"/>
      <c r="M22" s="44"/>
      <c r="N22" s="44"/>
      <c r="O22" s="45"/>
    </row>
    <row r="23" spans="1:15" ht="26.25" thickBot="1">
      <c r="A23" s="23" t="s">
        <v>44</v>
      </c>
      <c r="B23" s="47" t="s">
        <v>45</v>
      </c>
      <c r="C23" s="48">
        <f t="shared" ref="C23:O23" si="5">SUM(C14+C20+C21+C22)</f>
        <v>4630721592</v>
      </c>
      <c r="D23" s="49">
        <f t="shared" si="5"/>
        <v>2219757341.25</v>
      </c>
      <c r="E23" s="49">
        <f t="shared" si="5"/>
        <v>57197982.25</v>
      </c>
      <c r="F23" s="49">
        <f t="shared" si="5"/>
        <v>756981411.25</v>
      </c>
      <c r="G23" s="49">
        <f t="shared" ref="G23:M23" si="6">SUM(G14+G20+G21+G22)</f>
        <v>56197982.25</v>
      </c>
      <c r="H23" s="49">
        <f t="shared" si="6"/>
        <v>55197982.25</v>
      </c>
      <c r="I23" s="49">
        <f t="shared" si="6"/>
        <v>155197982.25</v>
      </c>
      <c r="J23" s="49">
        <f t="shared" si="6"/>
        <v>502481411.25</v>
      </c>
      <c r="K23" s="49">
        <f t="shared" si="6"/>
        <v>57197982.25</v>
      </c>
      <c r="L23" s="50">
        <f t="shared" si="6"/>
        <v>221697982.25</v>
      </c>
      <c r="M23" s="49">
        <f t="shared" si="6"/>
        <v>56197982.25</v>
      </c>
      <c r="N23" s="49">
        <f t="shared" si="5"/>
        <v>438417570.25</v>
      </c>
      <c r="O23" s="49">
        <f t="shared" si="5"/>
        <v>54197982.25</v>
      </c>
    </row>
    <row r="24" spans="1:15">
      <c r="A24" s="51"/>
      <c r="B24" s="52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</row>
    <row r="25" spans="1:15">
      <c r="A25" s="8"/>
      <c r="B25" s="9" t="s">
        <v>46</v>
      </c>
      <c r="C25" s="10"/>
      <c r="D25" s="10"/>
      <c r="E25" s="11"/>
      <c r="F25" s="10"/>
      <c r="G25" s="10"/>
      <c r="H25" s="10"/>
      <c r="I25" s="10"/>
      <c r="J25" s="10"/>
      <c r="K25" s="10"/>
      <c r="L25" s="53"/>
      <c r="M25" s="10"/>
      <c r="N25" s="10"/>
      <c r="O25" s="53"/>
    </row>
    <row r="26" spans="1:15" ht="20.25">
      <c r="A26" s="1" t="s">
        <v>0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ht="20.25">
      <c r="A27" s="2" t="s">
        <v>47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ht="20.25">
      <c r="A28" s="2" t="s">
        <v>2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ht="15.75" thickBot="1">
      <c r="A29" s="8"/>
      <c r="B29" s="9"/>
      <c r="C29" s="10"/>
      <c r="D29" s="10"/>
      <c r="E29" s="11"/>
      <c r="F29" s="10"/>
      <c r="G29" s="10"/>
      <c r="H29" s="10"/>
      <c r="I29" s="10"/>
      <c r="J29" s="10"/>
      <c r="K29" s="10"/>
      <c r="L29" s="10"/>
      <c r="M29" s="10"/>
      <c r="N29" s="10"/>
      <c r="O29" s="10"/>
    </row>
    <row r="30" spans="1:15" ht="29.25" thickBot="1">
      <c r="A30" s="13"/>
      <c r="B30" s="54" t="s">
        <v>48</v>
      </c>
      <c r="C30" s="14" t="s">
        <v>5</v>
      </c>
      <c r="D30" s="15" t="s">
        <v>6</v>
      </c>
      <c r="E30" s="16" t="s">
        <v>7</v>
      </c>
      <c r="F30" s="17" t="s">
        <v>8</v>
      </c>
      <c r="G30" s="17" t="s">
        <v>9</v>
      </c>
      <c r="H30" s="17" t="s">
        <v>10</v>
      </c>
      <c r="I30" s="17" t="s">
        <v>11</v>
      </c>
      <c r="J30" s="17" t="s">
        <v>12</v>
      </c>
      <c r="K30" s="17" t="s">
        <v>13</v>
      </c>
      <c r="L30" s="17" t="s">
        <v>14</v>
      </c>
      <c r="M30" s="17" t="s">
        <v>15</v>
      </c>
      <c r="N30" s="17" t="s">
        <v>16</v>
      </c>
      <c r="O30" s="18" t="s">
        <v>17</v>
      </c>
    </row>
    <row r="31" spans="1:15" ht="15.75" thickBot="1">
      <c r="A31" s="13">
        <v>1</v>
      </c>
      <c r="B31" s="54">
        <v>2</v>
      </c>
      <c r="C31" s="14">
        <v>3</v>
      </c>
      <c r="D31" s="15">
        <v>4</v>
      </c>
      <c r="E31" s="16">
        <v>5</v>
      </c>
      <c r="F31" s="17">
        <v>6</v>
      </c>
      <c r="G31" s="17">
        <v>7</v>
      </c>
      <c r="H31" s="17">
        <v>8</v>
      </c>
      <c r="I31" s="17">
        <v>9</v>
      </c>
      <c r="J31" s="17">
        <v>10</v>
      </c>
      <c r="K31" s="17">
        <v>11</v>
      </c>
      <c r="L31" s="17">
        <v>12</v>
      </c>
      <c r="M31" s="17">
        <v>13</v>
      </c>
      <c r="N31" s="17">
        <v>14</v>
      </c>
      <c r="O31" s="18">
        <v>15</v>
      </c>
    </row>
    <row r="32" spans="1:15" ht="25.5">
      <c r="A32" s="55" t="s">
        <v>49</v>
      </c>
      <c r="B32" s="56" t="s">
        <v>50</v>
      </c>
      <c r="C32" s="25">
        <f>SUM(D32:O32)</f>
        <v>432183537.00000006</v>
      </c>
      <c r="D32" s="22">
        <f>7000000+425183537/12</f>
        <v>42431961.416666664</v>
      </c>
      <c r="E32" s="22">
        <f>425183537/12</f>
        <v>35431961.416666664</v>
      </c>
      <c r="F32" s="22">
        <f t="shared" ref="F32:O32" si="7">425183537/12</f>
        <v>35431961.416666664</v>
      </c>
      <c r="G32" s="22">
        <f t="shared" si="7"/>
        <v>35431961.416666664</v>
      </c>
      <c r="H32" s="22">
        <f t="shared" si="7"/>
        <v>35431961.416666664</v>
      </c>
      <c r="I32" s="22">
        <f t="shared" si="7"/>
        <v>35431961.416666664</v>
      </c>
      <c r="J32" s="22">
        <f t="shared" si="7"/>
        <v>35431961.416666664</v>
      </c>
      <c r="K32" s="22">
        <f t="shared" si="7"/>
        <v>35431961.416666664</v>
      </c>
      <c r="L32" s="22">
        <f t="shared" si="7"/>
        <v>35431961.416666664</v>
      </c>
      <c r="M32" s="22">
        <f t="shared" si="7"/>
        <v>35431961.416666664</v>
      </c>
      <c r="N32" s="22">
        <f t="shared" si="7"/>
        <v>35431961.416666664</v>
      </c>
      <c r="O32" s="22">
        <f t="shared" si="7"/>
        <v>35431961.416666664</v>
      </c>
    </row>
    <row r="33" spans="1:16" ht="89.25">
      <c r="A33" s="55" t="s">
        <v>51</v>
      </c>
      <c r="B33" s="57" t="s">
        <v>52</v>
      </c>
      <c r="C33" s="25">
        <f>SUM(D33:O33)</f>
        <v>93020236</v>
      </c>
      <c r="D33" s="26">
        <f>1540000+91480236/12</f>
        <v>9163353</v>
      </c>
      <c r="E33" s="26">
        <f>91480236/12</f>
        <v>7623353</v>
      </c>
      <c r="F33" s="26">
        <f t="shared" ref="F33:O33" si="8">91480236/12</f>
        <v>7623353</v>
      </c>
      <c r="G33" s="26">
        <f t="shared" si="8"/>
        <v>7623353</v>
      </c>
      <c r="H33" s="26">
        <f t="shared" si="8"/>
        <v>7623353</v>
      </c>
      <c r="I33" s="26">
        <f t="shared" si="8"/>
        <v>7623353</v>
      </c>
      <c r="J33" s="26">
        <f t="shared" si="8"/>
        <v>7623353</v>
      </c>
      <c r="K33" s="26">
        <f t="shared" si="8"/>
        <v>7623353</v>
      </c>
      <c r="L33" s="26">
        <f t="shared" si="8"/>
        <v>7623353</v>
      </c>
      <c r="M33" s="26">
        <f t="shared" si="8"/>
        <v>7623353</v>
      </c>
      <c r="N33" s="26">
        <f t="shared" si="8"/>
        <v>7623353</v>
      </c>
      <c r="O33" s="26">
        <f t="shared" si="8"/>
        <v>7623353</v>
      </c>
    </row>
    <row r="34" spans="1:16" ht="25.5">
      <c r="A34" s="55" t="s">
        <v>53</v>
      </c>
      <c r="B34" s="57" t="s">
        <v>54</v>
      </c>
      <c r="C34" s="25">
        <f>SUM(D34:O34)</f>
        <v>1027084951.5</v>
      </c>
      <c r="D34" s="26">
        <f>313188990/12-3150000-1200000</f>
        <v>21749082.5</v>
      </c>
      <c r="E34" s="26">
        <f>313188990/12-1700000</f>
        <v>24399082.5</v>
      </c>
      <c r="F34" s="26">
        <f>25800500+285125650</f>
        <v>310926150</v>
      </c>
      <c r="G34" s="26">
        <f>24625800+126870500</f>
        <v>151496300</v>
      </c>
      <c r="H34" s="26">
        <v>25350500</v>
      </c>
      <c r="I34" s="26">
        <f>313188990/12+1500000</f>
        <v>27599082.5</v>
      </c>
      <c r="J34" s="26">
        <f>313188990/12+3500000+88560700</f>
        <v>118159782.5</v>
      </c>
      <c r="K34" s="26">
        <f>28629500+75258600</f>
        <v>103888100</v>
      </c>
      <c r="L34" s="26">
        <f>313188990/12+3549083+3000000</f>
        <v>32648165.5</v>
      </c>
      <c r="M34" s="26">
        <v>25087495</v>
      </c>
      <c r="N34" s="26">
        <f>23950700+78580012-1800000</f>
        <v>100730712</v>
      </c>
      <c r="O34" s="26">
        <f>22550000+62500499</f>
        <v>85050499</v>
      </c>
    </row>
    <row r="35" spans="1:16" ht="63.75">
      <c r="A35" s="55" t="s">
        <v>55</v>
      </c>
      <c r="B35" s="58" t="s">
        <v>56</v>
      </c>
      <c r="C35" s="25">
        <f t="shared" ref="C35:C41" si="9">SUM(D35:O35)</f>
        <v>179050594</v>
      </c>
      <c r="D35" s="26">
        <f>171279987/12</f>
        <v>14273332.25</v>
      </c>
      <c r="E35" s="26">
        <f t="shared" ref="E35:O35" si="10">171279987/12</f>
        <v>14273332.25</v>
      </c>
      <c r="F35" s="26">
        <f>171279987/12+3885303</f>
        <v>18158635.25</v>
      </c>
      <c r="G35" s="26">
        <f t="shared" si="10"/>
        <v>14273332.25</v>
      </c>
      <c r="H35" s="26">
        <f t="shared" si="10"/>
        <v>14273332.25</v>
      </c>
      <c r="I35" s="26">
        <f t="shared" si="10"/>
        <v>14273332.25</v>
      </c>
      <c r="J35" s="26">
        <f t="shared" si="10"/>
        <v>14273332.25</v>
      </c>
      <c r="K35" s="26">
        <f>171279987/12+3885304</f>
        <v>18158636.25</v>
      </c>
      <c r="L35" s="26">
        <f t="shared" si="10"/>
        <v>14273332.25</v>
      </c>
      <c r="M35" s="26">
        <f t="shared" si="10"/>
        <v>14273332.25</v>
      </c>
      <c r="N35" s="26">
        <f>171279987/12</f>
        <v>14273332.25</v>
      </c>
      <c r="O35" s="26">
        <f t="shared" si="10"/>
        <v>14273332.25</v>
      </c>
      <c r="P35" s="59"/>
    </row>
    <row r="36" spans="1:16" ht="76.5">
      <c r="A36" s="55" t="s">
        <v>57</v>
      </c>
      <c r="B36" s="60" t="s">
        <v>58</v>
      </c>
      <c r="C36" s="25">
        <f t="shared" si="9"/>
        <v>202236559.99999997</v>
      </c>
      <c r="D36" s="26">
        <f>138400000/12+31436560/12</f>
        <v>14153046.666666668</v>
      </c>
      <c r="E36" s="26">
        <f>138400000/12+31436560/12+9000000/6+1100000</f>
        <v>16753046.666666668</v>
      </c>
      <c r="F36" s="26">
        <f>138400000/12+31436560/12+4900000</f>
        <v>19053046.666666668</v>
      </c>
      <c r="G36" s="26">
        <f>138400000/12+31436560/12+9000000/6</f>
        <v>15653046.666666668</v>
      </c>
      <c r="H36" s="26">
        <f>138400000/12+31436560/12+1000000</f>
        <v>15153046.666666668</v>
      </c>
      <c r="I36" s="26">
        <f>138400000/12+31436560/12+9000000/6+100000</f>
        <v>15753046.666666668</v>
      </c>
      <c r="J36" s="26">
        <f>138400000/12+31436560/12</f>
        <v>14153046.666666668</v>
      </c>
      <c r="K36" s="26">
        <f>138400000/12+31436560/12+9000000/6+11000000</f>
        <v>26653046.666666668</v>
      </c>
      <c r="L36" s="26">
        <f>138400000/12+31436560/12+2000000</f>
        <v>16153046.666666668</v>
      </c>
      <c r="M36" s="26">
        <f>138400000/12+31436560/12+9000000/6</f>
        <v>15653046.666666668</v>
      </c>
      <c r="N36" s="26">
        <f>138400000/12+31436560/12+1500000+1800000</f>
        <v>17453046.666666668</v>
      </c>
      <c r="O36" s="26">
        <f>138400000/12+31436560/12+9000000/6</f>
        <v>15653046.666666668</v>
      </c>
    </row>
    <row r="37" spans="1:16" ht="38.25">
      <c r="A37" s="55" t="s">
        <v>59</v>
      </c>
      <c r="B37" s="61" t="s">
        <v>60</v>
      </c>
      <c r="C37" s="25">
        <f t="shared" si="9"/>
        <v>8550000</v>
      </c>
      <c r="D37" s="26">
        <f>5550000/12</f>
        <v>462500</v>
      </c>
      <c r="E37" s="26">
        <f t="shared" ref="E37:N37" si="11">5550000/12</f>
        <v>462500</v>
      </c>
      <c r="F37" s="26">
        <f t="shared" si="11"/>
        <v>462500</v>
      </c>
      <c r="G37" s="26">
        <f t="shared" si="11"/>
        <v>462500</v>
      </c>
      <c r="H37" s="26">
        <f t="shared" si="11"/>
        <v>462500</v>
      </c>
      <c r="I37" s="26">
        <f t="shared" si="11"/>
        <v>462500</v>
      </c>
      <c r="J37" s="26">
        <f t="shared" si="11"/>
        <v>462500</v>
      </c>
      <c r="K37" s="26">
        <f t="shared" si="11"/>
        <v>462500</v>
      </c>
      <c r="L37" s="26">
        <f t="shared" si="11"/>
        <v>462500</v>
      </c>
      <c r="M37" s="26">
        <f t="shared" si="11"/>
        <v>462500</v>
      </c>
      <c r="N37" s="26">
        <f t="shared" si="11"/>
        <v>462500</v>
      </c>
      <c r="O37" s="26">
        <f>5550000/12+3000000</f>
        <v>3462500</v>
      </c>
    </row>
    <row r="38" spans="1:16" ht="76.5">
      <c r="A38" s="55" t="s">
        <v>61</v>
      </c>
      <c r="B38" s="57" t="s">
        <v>26</v>
      </c>
      <c r="C38" s="25">
        <f t="shared" si="9"/>
        <v>2000000</v>
      </c>
      <c r="D38" s="62">
        <v>2000000</v>
      </c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9"/>
    </row>
    <row r="39" spans="1:16" ht="26.25" thickBot="1">
      <c r="A39" s="55" t="s">
        <v>62</v>
      </c>
      <c r="B39" s="63" t="s">
        <v>63</v>
      </c>
      <c r="C39" s="25">
        <f t="shared" si="9"/>
        <v>10000000</v>
      </c>
      <c r="D39" s="64">
        <v>10000000</v>
      </c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6"/>
    </row>
    <row r="40" spans="1:16" ht="39" thickBot="1">
      <c r="A40" s="55" t="s">
        <v>64</v>
      </c>
      <c r="B40" s="67" t="s">
        <v>65</v>
      </c>
      <c r="C40" s="33">
        <f t="shared" ref="C40:O40" si="12">SUM(C32:C39)</f>
        <v>1954125878.5</v>
      </c>
      <c r="D40" s="34">
        <f t="shared" si="12"/>
        <v>114233275.83333333</v>
      </c>
      <c r="E40" s="34">
        <f t="shared" si="12"/>
        <v>98943275.833333328</v>
      </c>
      <c r="F40" s="34">
        <f t="shared" si="12"/>
        <v>391655646.33333337</v>
      </c>
      <c r="G40" s="34">
        <f t="shared" si="12"/>
        <v>224940493.33333331</v>
      </c>
      <c r="H40" s="34">
        <f t="shared" si="12"/>
        <v>98294693.333333328</v>
      </c>
      <c r="I40" s="34">
        <f t="shared" si="12"/>
        <v>101143275.83333333</v>
      </c>
      <c r="J40" s="34">
        <f t="shared" si="12"/>
        <v>190103975.83333331</v>
      </c>
      <c r="K40" s="34">
        <f t="shared" si="12"/>
        <v>192217597.33333331</v>
      </c>
      <c r="L40" s="34">
        <f t="shared" si="12"/>
        <v>106592358.83333333</v>
      </c>
      <c r="M40" s="34">
        <f t="shared" si="12"/>
        <v>98531688.333333328</v>
      </c>
      <c r="N40" s="34">
        <f t="shared" si="12"/>
        <v>175974905.33333331</v>
      </c>
      <c r="O40" s="34">
        <f t="shared" si="12"/>
        <v>161494692.33333331</v>
      </c>
    </row>
    <row r="41" spans="1:16" ht="25.5">
      <c r="A41" s="55" t="s">
        <v>66</v>
      </c>
      <c r="B41" s="56" t="s">
        <v>67</v>
      </c>
      <c r="C41" s="25">
        <f t="shared" si="9"/>
        <v>507079666</v>
      </c>
      <c r="D41" s="22">
        <v>1200000</v>
      </c>
      <c r="E41" s="36">
        <v>35800450</v>
      </c>
      <c r="F41" s="38"/>
      <c r="G41" s="38">
        <v>73957800</v>
      </c>
      <c r="H41" s="38"/>
      <c r="I41" s="38">
        <v>45870300</v>
      </c>
      <c r="J41" s="38">
        <v>154129700</v>
      </c>
      <c r="K41" s="38">
        <f>345685900-223321965</f>
        <v>122363935</v>
      </c>
      <c r="L41" s="38">
        <v>26042200</v>
      </c>
      <c r="M41" s="38"/>
      <c r="N41" s="38">
        <v>47715281</v>
      </c>
      <c r="O41" s="39"/>
    </row>
    <row r="42" spans="1:16" ht="25.5">
      <c r="A42" s="55" t="s">
        <v>68</v>
      </c>
      <c r="B42" s="57" t="s">
        <v>69</v>
      </c>
      <c r="C42" s="25">
        <f>SUM(D42:O42)</f>
        <v>2151882190</v>
      </c>
      <c r="D42" s="26">
        <v>6784000</v>
      </c>
      <c r="E42" s="26">
        <v>4590500</v>
      </c>
      <c r="F42" s="26">
        <f>7150900</f>
        <v>7150900</v>
      </c>
      <c r="G42" s="26">
        <f>6870365+359500650</f>
        <v>366371015</v>
      </c>
      <c r="H42" s="26">
        <f>8741600+565890500</f>
        <v>574632100</v>
      </c>
      <c r="I42" s="26">
        <f>10850740</f>
        <v>10850740</v>
      </c>
      <c r="J42" s="26">
        <f>10630500+397800450</f>
        <v>408430950</v>
      </c>
      <c r="K42" s="26">
        <f>6120800+223321965</f>
        <v>229442765</v>
      </c>
      <c r="L42" s="10">
        <f>55000000+1701945</f>
        <v>56701945</v>
      </c>
      <c r="M42" s="28">
        <f>8500750+100546125</f>
        <v>109046875</v>
      </c>
      <c r="N42" s="26">
        <f>6907000+100000000</f>
        <v>106907000</v>
      </c>
      <c r="O42" s="29">
        <f>3560900+267412500</f>
        <v>270973400</v>
      </c>
    </row>
    <row r="43" spans="1:16" ht="38.25">
      <c r="A43" s="55"/>
      <c r="B43" s="57" t="s">
        <v>70</v>
      </c>
      <c r="C43" s="25">
        <f>SUM(D43:O43)</f>
        <v>0</v>
      </c>
      <c r="D43" s="26"/>
      <c r="E43" s="26"/>
      <c r="F43" s="26"/>
      <c r="G43" s="26"/>
      <c r="H43" s="26"/>
      <c r="I43" s="26"/>
      <c r="J43" s="26"/>
      <c r="K43" s="26"/>
      <c r="L43" s="10"/>
      <c r="M43" s="28"/>
      <c r="N43" s="26"/>
      <c r="O43" s="29"/>
    </row>
    <row r="44" spans="1:16" ht="63.75">
      <c r="A44" s="55" t="s">
        <v>71</v>
      </c>
      <c r="B44" s="61" t="s">
        <v>72</v>
      </c>
      <c r="C44" s="25">
        <f>SUM(D44:O44)</f>
        <v>0</v>
      </c>
      <c r="D44" s="26"/>
      <c r="E44" s="31"/>
      <c r="F44" s="28"/>
      <c r="G44" s="28"/>
      <c r="H44" s="28"/>
      <c r="I44" s="28"/>
      <c r="J44" s="28"/>
      <c r="K44" s="28"/>
      <c r="L44" s="28"/>
      <c r="M44" s="28"/>
      <c r="N44" s="28"/>
      <c r="O44" s="29"/>
    </row>
    <row r="45" spans="1:16" ht="76.5">
      <c r="A45" s="55" t="s">
        <v>73</v>
      </c>
      <c r="B45" s="61" t="s">
        <v>74</v>
      </c>
      <c r="C45" s="25">
        <f>SUM(D45:O45)</f>
        <v>0</v>
      </c>
      <c r="D45" s="26"/>
      <c r="E45" s="31"/>
      <c r="F45" s="28"/>
      <c r="G45" s="28"/>
      <c r="H45" s="28"/>
      <c r="I45" s="28"/>
      <c r="J45" s="28"/>
      <c r="K45" s="28"/>
      <c r="L45" s="28"/>
      <c r="M45" s="28"/>
      <c r="N45" s="28"/>
      <c r="O45" s="29"/>
    </row>
    <row r="46" spans="1:16" ht="64.5" thickBot="1">
      <c r="A46" s="55" t="s">
        <v>75</v>
      </c>
      <c r="B46" s="61" t="s">
        <v>76</v>
      </c>
      <c r="C46" s="25">
        <f>SUM(D46:O46)</f>
        <v>3060000</v>
      </c>
      <c r="D46" s="26"/>
      <c r="E46" s="31"/>
      <c r="F46" s="28">
        <v>3060000</v>
      </c>
      <c r="G46" s="28"/>
      <c r="H46" s="28"/>
      <c r="I46" s="28"/>
      <c r="J46" s="28"/>
      <c r="K46" s="28"/>
      <c r="L46" s="28"/>
      <c r="M46" s="28"/>
      <c r="N46" s="28"/>
      <c r="O46" s="29"/>
    </row>
    <row r="47" spans="1:16" ht="51.75" thickBot="1">
      <c r="A47" s="55" t="s">
        <v>77</v>
      </c>
      <c r="B47" s="68" t="s">
        <v>78</v>
      </c>
      <c r="C47" s="33">
        <f t="shared" ref="C47:O47" si="13">SUM(C41:C46)</f>
        <v>2662021856</v>
      </c>
      <c r="D47" s="69">
        <f t="shared" si="13"/>
        <v>7984000</v>
      </c>
      <c r="E47" s="69">
        <f t="shared" si="13"/>
        <v>40390950</v>
      </c>
      <c r="F47" s="69">
        <f t="shared" si="13"/>
        <v>10210900</v>
      </c>
      <c r="G47" s="69">
        <f t="shared" si="13"/>
        <v>440328815</v>
      </c>
      <c r="H47" s="69">
        <f t="shared" si="13"/>
        <v>574632100</v>
      </c>
      <c r="I47" s="69">
        <f t="shared" si="13"/>
        <v>56721040</v>
      </c>
      <c r="J47" s="69">
        <f t="shared" si="13"/>
        <v>562560650</v>
      </c>
      <c r="K47" s="69">
        <f t="shared" si="13"/>
        <v>351806700</v>
      </c>
      <c r="L47" s="69">
        <f t="shared" si="13"/>
        <v>82744145</v>
      </c>
      <c r="M47" s="69">
        <f t="shared" si="13"/>
        <v>109046875</v>
      </c>
      <c r="N47" s="69">
        <f t="shared" si="13"/>
        <v>154622281</v>
      </c>
      <c r="O47" s="70">
        <f t="shared" si="13"/>
        <v>270973400</v>
      </c>
    </row>
    <row r="48" spans="1:16" ht="89.25">
      <c r="A48" s="55" t="s">
        <v>79</v>
      </c>
      <c r="B48" s="71" t="s">
        <v>80</v>
      </c>
      <c r="C48" s="21">
        <f>SUM(D48:O48)</f>
        <v>0</v>
      </c>
      <c r="D48" s="26"/>
      <c r="E48" s="31"/>
      <c r="F48" s="28"/>
      <c r="G48" s="28"/>
      <c r="H48" s="28"/>
      <c r="I48" s="28"/>
      <c r="J48" s="28"/>
      <c r="K48" s="28"/>
      <c r="L48" s="28"/>
      <c r="M48" s="28"/>
      <c r="N48" s="28"/>
      <c r="O48" s="29"/>
    </row>
    <row r="49" spans="1:15" ht="39" thickBot="1">
      <c r="A49" s="55" t="s">
        <v>81</v>
      </c>
      <c r="B49" s="72" t="s">
        <v>82</v>
      </c>
      <c r="C49" s="73">
        <f>SUM(D49:O49)</f>
        <v>14573857</v>
      </c>
      <c r="D49" s="26">
        <v>14573857</v>
      </c>
      <c r="E49" s="31"/>
      <c r="F49" s="28"/>
      <c r="G49" s="28"/>
      <c r="H49" s="28"/>
      <c r="I49" s="28"/>
      <c r="J49" s="28"/>
      <c r="K49" s="28"/>
      <c r="L49" s="28"/>
      <c r="M49" s="28"/>
      <c r="N49" s="28"/>
      <c r="O49" s="29"/>
    </row>
    <row r="50" spans="1:15" ht="26.25" thickBot="1">
      <c r="A50" s="55" t="s">
        <v>83</v>
      </c>
      <c r="B50" s="74" t="s">
        <v>84</v>
      </c>
      <c r="C50" s="48">
        <f>C47+C48+C40+C49</f>
        <v>4630721591.5</v>
      </c>
      <c r="D50" s="75">
        <f t="shared" ref="D50:O50" si="14">D47+D48+D40+D49</f>
        <v>136791132.83333331</v>
      </c>
      <c r="E50" s="75">
        <f t="shared" si="14"/>
        <v>139334225.83333331</v>
      </c>
      <c r="F50" s="75">
        <f t="shared" si="14"/>
        <v>401866546.33333337</v>
      </c>
      <c r="G50" s="75">
        <f t="shared" si="14"/>
        <v>665269308.33333325</v>
      </c>
      <c r="H50" s="75">
        <f t="shared" si="14"/>
        <v>672926793.33333337</v>
      </c>
      <c r="I50" s="75">
        <f t="shared" si="14"/>
        <v>157864315.83333331</v>
      </c>
      <c r="J50" s="75">
        <f t="shared" si="14"/>
        <v>752664625.83333325</v>
      </c>
      <c r="K50" s="75">
        <f t="shared" si="14"/>
        <v>544024297.33333325</v>
      </c>
      <c r="L50" s="75">
        <f t="shared" si="14"/>
        <v>189336503.83333331</v>
      </c>
      <c r="M50" s="75">
        <f t="shared" si="14"/>
        <v>207578563.33333331</v>
      </c>
      <c r="N50" s="75">
        <f t="shared" si="14"/>
        <v>330597186.33333331</v>
      </c>
      <c r="O50" s="75">
        <f t="shared" si="14"/>
        <v>432468092.33333331</v>
      </c>
    </row>
    <row r="51" spans="1:15">
      <c r="A51" s="8"/>
      <c r="B51" s="52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</row>
    <row r="52" spans="1:15"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</row>
  </sheetData>
  <mergeCells count="6">
    <mergeCell ref="A1:O1"/>
    <mergeCell ref="A2:O2"/>
    <mergeCell ref="A3:O3"/>
    <mergeCell ref="A26:O26"/>
    <mergeCell ref="A27:O27"/>
    <mergeCell ref="A28:O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2018-02-21T07:58:16Z</dcterms:created>
  <dcterms:modified xsi:type="dcterms:W3CDTF">2018-02-21T07:58:44Z</dcterms:modified>
</cp:coreProperties>
</file>