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241" windowWidth="20490" windowHeight="700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8" sheetId="7" r:id="rId7"/>
    <sheet name="9" sheetId="8" r:id="rId8"/>
    <sheet name="10" sheetId="9" r:id="rId9"/>
    <sheet name="11" sheetId="10" r:id="rId10"/>
  </sheets>
  <externalReferences>
    <externalReference r:id="rId13"/>
  </externalReferences>
  <definedNames>
    <definedName name="_xlnm.Print_Titles" localSheetId="0">'1'!$A:$B,'1'!$1:$4</definedName>
    <definedName name="_xlnm.Print_Titles" localSheetId="1">'2'!$A:$B,'2'!$1:$4</definedName>
    <definedName name="_xlnm.Print_Titles" localSheetId="3">'4'!$1:$7</definedName>
    <definedName name="_xlnm.Print_Titles" localSheetId="6">'8'!$A:$B</definedName>
    <definedName name="_xlnm.Print_Area" localSheetId="0">'1'!$A$1:$AR$17</definedName>
    <definedName name="_xlnm.Print_Area" localSheetId="8">'10'!$A$2:$O$27</definedName>
    <definedName name="_xlnm.Print_Area" localSheetId="1">'2'!$A$1:$AR$17</definedName>
    <definedName name="_xlnm.Print_Area" localSheetId="2">'3'!$A$1:$E$34</definedName>
    <definedName name="_xlnm.Print_Area" localSheetId="3">'4'!$A$1:$L$80</definedName>
    <definedName name="_xlnm.Print_Area" localSheetId="4">'5'!$A$1:$G$57</definedName>
    <definedName name="_xlnm.Print_Area" localSheetId="6">'8'!$A$1:$Z$18</definedName>
    <definedName name="_xlnm.Print_Area" localSheetId="7">'9'!$A$1:$F$36</definedName>
  </definedNames>
  <calcPr calcMode="manual" fullCalcOnLoad="1"/>
</workbook>
</file>

<file path=xl/sharedStrings.xml><?xml version="1.0" encoding="utf-8"?>
<sst xmlns="http://schemas.openxmlformats.org/spreadsheetml/2006/main" count="1140" uniqueCount="412">
  <si>
    <t>A</t>
  </si>
  <si>
    <t>B</t>
  </si>
  <si>
    <t>C</t>
  </si>
  <si>
    <t>D</t>
  </si>
  <si>
    <t>E</t>
  </si>
  <si>
    <t>F</t>
  </si>
  <si>
    <t>H</t>
  </si>
  <si>
    <t>I</t>
  </si>
  <si>
    <t>K</t>
  </si>
  <si>
    <t>N</t>
  </si>
  <si>
    <t>1.</t>
  </si>
  <si>
    <t>Megnevezés</t>
  </si>
  <si>
    <t>Működési bevételek</t>
  </si>
  <si>
    <t>Felhalmozási bevételek</t>
  </si>
  <si>
    <t>Bevételek összesen</t>
  </si>
  <si>
    <t>2.</t>
  </si>
  <si>
    <t>Intézményi működési bevételek</t>
  </si>
  <si>
    <t>Közhatalmi bevételek</t>
  </si>
  <si>
    <t>Kapott támogatás</t>
  </si>
  <si>
    <t>Működési célú átvett pénzeszköz</t>
  </si>
  <si>
    <t>Felhalmozási célú átvett pénzeszköz</t>
  </si>
  <si>
    <t>Felhalmozási és tőkejellegű bevételek</t>
  </si>
  <si>
    <t>3.</t>
  </si>
  <si>
    <t>4.</t>
  </si>
  <si>
    <t>8.</t>
  </si>
  <si>
    <t>Kecskeméti Gábor Kulturális Központ</t>
  </si>
  <si>
    <t>9.</t>
  </si>
  <si>
    <t>Jantyik Mátyás Múzeum</t>
  </si>
  <si>
    <t>10.</t>
  </si>
  <si>
    <t>Püski Sándor Könyvtár</t>
  </si>
  <si>
    <t>Költségvetési szervek összesen:</t>
  </si>
  <si>
    <t>11.</t>
  </si>
  <si>
    <t>Polgármesteri Hivatal</t>
  </si>
  <si>
    <t>13.</t>
  </si>
  <si>
    <t xml:space="preserve">Önkormányzat </t>
  </si>
  <si>
    <t>14.</t>
  </si>
  <si>
    <t>Békés Város mindösszesen:</t>
  </si>
  <si>
    <t>Működési kiadások</t>
  </si>
  <si>
    <t>Felhalmozási kiadások</t>
  </si>
  <si>
    <t>J</t>
  </si>
  <si>
    <t>M</t>
  </si>
  <si>
    <t>Kiadások összesen</t>
  </si>
  <si>
    <t>Személyi juttatások</t>
  </si>
  <si>
    <t>Dologi és egyéb folyó kiadások</t>
  </si>
  <si>
    <t>Szociális ellátások és egyéb juttatások</t>
  </si>
  <si>
    <t>Működési célú tartalékok</t>
  </si>
  <si>
    <t>Beruházások, felújítások</t>
  </si>
  <si>
    <t>Fejlesztési célú tartalékok</t>
  </si>
  <si>
    <t>7.</t>
  </si>
  <si>
    <t>12.</t>
  </si>
  <si>
    <t xml:space="preserve"> Önkormányzat </t>
  </si>
  <si>
    <t>Kiemelt előirányzat</t>
  </si>
  <si>
    <t>5.</t>
  </si>
  <si>
    <t>Munkaadókat terhelő járulékok</t>
  </si>
  <si>
    <t>6.</t>
  </si>
  <si>
    <t>Tartalékok, működési célú</t>
  </si>
  <si>
    <t>Működési kiadások összesen</t>
  </si>
  <si>
    <t>Működési költségvetés egyenlege (Bevétel-Kiadás)</t>
  </si>
  <si>
    <t>I.Működési költségvetés egyenlege (Bevétel-Kiadás)</t>
  </si>
  <si>
    <t>15.</t>
  </si>
  <si>
    <t>16.</t>
  </si>
  <si>
    <t>17.</t>
  </si>
  <si>
    <t>18.</t>
  </si>
  <si>
    <t>19.</t>
  </si>
  <si>
    <t>20.</t>
  </si>
  <si>
    <t>21.</t>
  </si>
  <si>
    <t>22.</t>
  </si>
  <si>
    <t>Tartalékok, felhalmozási célú</t>
  </si>
  <si>
    <t>23.</t>
  </si>
  <si>
    <t>Fehalmozási bevételek összesen</t>
  </si>
  <si>
    <t>Felhalmozási kiadások összesen</t>
  </si>
  <si>
    <t>24.</t>
  </si>
  <si>
    <t>Felhalmozási költségvetés egyenlege (Bevétel-Kiadás)</t>
  </si>
  <si>
    <t>25.</t>
  </si>
  <si>
    <t>Fejlesztési célú pénzmaradvány igénybevétel a hiány belső finanszírozására</t>
  </si>
  <si>
    <t>26.</t>
  </si>
  <si>
    <t>II. Felhalmozási költségvetés egyenlege (Bevétel-Kiadás)</t>
  </si>
  <si>
    <t>27.</t>
  </si>
  <si>
    <t>28.</t>
  </si>
  <si>
    <t>29.</t>
  </si>
  <si>
    <t>30.</t>
  </si>
  <si>
    <t>G</t>
  </si>
  <si>
    <t>feladatonkénti bontásban</t>
  </si>
  <si>
    <t>II.</t>
  </si>
  <si>
    <t>III.</t>
  </si>
  <si>
    <t>"Krízisalap"-ból nyújtott kölcsönök</t>
  </si>
  <si>
    <t>31.</t>
  </si>
  <si>
    <t>MEGNEVEZÉS</t>
  </si>
  <si>
    <t>Előirányzat</t>
  </si>
  <si>
    <t>I. Működési céltartalékok</t>
  </si>
  <si>
    <t>Az Önkormányzat költségvetésében</t>
  </si>
  <si>
    <t>II. Fejlesztési céltartalékok</t>
  </si>
  <si>
    <t>Tartalékok  mindösszesen:(I + II)</t>
  </si>
  <si>
    <t>Eredeti  terv</t>
  </si>
  <si>
    <t>L</t>
  </si>
  <si>
    <t>O</t>
  </si>
  <si>
    <t>Cím szám</t>
  </si>
  <si>
    <t>Alcím szám</t>
  </si>
  <si>
    <t>Módosított   terv</t>
  </si>
  <si>
    <t>Teljesítés</t>
  </si>
  <si>
    <t>Teljes munkidősök</t>
  </si>
  <si>
    <t>Részfoglalkoztatásúak</t>
  </si>
  <si>
    <t>Összesen</t>
  </si>
  <si>
    <t>Tejes munkaidősre átszámitott létszám</t>
  </si>
  <si>
    <t>Teljes munkaidősök</t>
  </si>
  <si>
    <t>Kulturális Központ</t>
  </si>
  <si>
    <t>Intézmények összesen:</t>
  </si>
  <si>
    <t>Önkormányzat</t>
  </si>
  <si>
    <t>Közfoglalkoztatottak létszámkerete</t>
  </si>
  <si>
    <t>Pénzeszközátadások és Egyéb működési célú kiadások</t>
  </si>
  <si>
    <t>Egyéb felhalmozási célú kiadások</t>
  </si>
  <si>
    <t>III. Működési  célú egyéb pénzeszök többletének igénybevétele a felhalmozási hiány belső finanszírozására</t>
  </si>
  <si>
    <t>VI. Költségvetési egyenleg (II. + III.)</t>
  </si>
  <si>
    <t>Békés Város Önkormányzata és intézményei</t>
  </si>
  <si>
    <t xml:space="preserve">Egyéb felhalmozási célú kiadások </t>
  </si>
  <si>
    <t>33.</t>
  </si>
  <si>
    <t>36.</t>
  </si>
  <si>
    <t>37.</t>
  </si>
  <si>
    <t>38.</t>
  </si>
  <si>
    <t>39.</t>
  </si>
  <si>
    <t>41.</t>
  </si>
  <si>
    <t>Működési  tartalékok összesen</t>
  </si>
  <si>
    <t>Fejlesztési céltartalék összesen:( 1+…5)</t>
  </si>
  <si>
    <t>Államigazgatási</t>
  </si>
  <si>
    <t>Kötelező</t>
  </si>
  <si>
    <t>Önként vállalt</t>
  </si>
  <si>
    <t xml:space="preserve">Mindösszesen </t>
  </si>
  <si>
    <t>TÁJÉKOZTATÓ</t>
  </si>
  <si>
    <t>BEVÉTELEK</t>
  </si>
  <si>
    <t>Bevételek</t>
  </si>
  <si>
    <t>Előirányzat összesen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</si>
  <si>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</si>
  <si>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</si>
  <si>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</si>
  <si>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</si>
  <si>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</si>
  <si>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</si>
  <si>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</si>
  <si>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</si>
  <si>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</si>
  <si>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</si>
  <si>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</si>
  <si>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</si>
  <si>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Önkormányzat költségvetési támogatása</t>
  </si>
  <si>
    <t>KIADÁSOK</t>
  </si>
  <si>
    <t>Kiadások</t>
  </si>
  <si>
    <t>Munkaadót terhelő járulékok</t>
  </si>
  <si>
    <t>Egyéb működési célú kiadások</t>
  </si>
  <si>
    <t>Felhalmozási kiadások, támogatások</t>
  </si>
  <si>
    <t>Tartalékok</t>
  </si>
  <si>
    <t>Kiadások összesen:</t>
  </si>
  <si>
    <t>Jogcím</t>
  </si>
  <si>
    <t>Állami támogatás</t>
  </si>
  <si>
    <t>Eredeti előirányzat</t>
  </si>
  <si>
    <t>Felhalmozási célú  támogatások és egyéb átvett pénzeszközök</t>
  </si>
  <si>
    <t>Dologi  kiadások</t>
  </si>
  <si>
    <t>A Kttv., Kjt., és  az Mt. hatálya alá tartozó munkavállalók</t>
  </si>
  <si>
    <t xml:space="preserve">Létszámkeret </t>
  </si>
  <si>
    <t xml:space="preserve">létszámkerete </t>
  </si>
  <si>
    <t>Működési bevételek összesen</t>
  </si>
  <si>
    <t>Átmeneti segély kölcsön</t>
  </si>
  <si>
    <t>Temetési segély kölcsön</t>
  </si>
  <si>
    <t>Otthoni szakápolás</t>
  </si>
  <si>
    <t>Kommunális adó támogatás</t>
  </si>
  <si>
    <t>Gyógyászati Központ és Gyógyfürdő</t>
  </si>
  <si>
    <t xml:space="preserve"> </t>
  </si>
  <si>
    <t>Finanszírozási kiadások</t>
  </si>
  <si>
    <t>Előző évtől áthúzódó feladatok:</t>
  </si>
  <si>
    <t>Új rendezési terv I. ütem</t>
  </si>
  <si>
    <t>Települési Önkormányzatok  szociális feladatainak támogatásával adható juttatások képviselő-testületi hatáskörben.</t>
  </si>
  <si>
    <t>Módosított előirányzat</t>
  </si>
  <si>
    <t>Önkormányzati  saját forrás</t>
  </si>
  <si>
    <t>Erdeti előirányzat</t>
  </si>
  <si>
    <t>Nevelési és tanévkezdési támogatás</t>
  </si>
  <si>
    <t>Működési célú  átvett pénzeszközök</t>
  </si>
  <si>
    <t>Ellátottak pénzbeli juttatásai</t>
  </si>
  <si>
    <t>Gyermekmedence kialakítása</t>
  </si>
  <si>
    <t>Települési támogatás ápolási díj</t>
  </si>
  <si>
    <t>Települési támogatás gyógyszerköltség támogatás</t>
  </si>
  <si>
    <t>Egyéb szociális pénzbeni és természetbeni juttatások</t>
  </si>
  <si>
    <t>Iskolabusz bérlet támogatás</t>
  </si>
  <si>
    <t>Életkezdési támogatás</t>
  </si>
  <si>
    <t xml:space="preserve"> Közművesítési támogatás</t>
  </si>
  <si>
    <t>Települési lakásfenntartási támogatás</t>
  </si>
  <si>
    <t>Települési adósságkezelési támogatás</t>
  </si>
  <si>
    <t>I. Egyéb nem intézményi ellátások K48-15</t>
  </si>
  <si>
    <t>II. Települési támogatás K48-17</t>
  </si>
  <si>
    <t>IV. Bursa Hungarica támogatás K506</t>
  </si>
  <si>
    <t>III. Köztemetés K48-16</t>
  </si>
  <si>
    <t>A) Támogatások összesen</t>
  </si>
  <si>
    <t>B) Kölcsönök összesen:</t>
  </si>
  <si>
    <t>Az önkormányzat szociális pénzeszközei összesen (A+B):</t>
  </si>
  <si>
    <t>Szociális helyzethez köthető kölcsönök K508-04</t>
  </si>
  <si>
    <t>Malomassszonykert járda építés</t>
  </si>
  <si>
    <t>Városi utak aszfaltozása</t>
  </si>
  <si>
    <t>gyalogátkelőhelyek kialakítása</t>
  </si>
  <si>
    <t>közvilágítás hálózat bővítés</t>
  </si>
  <si>
    <t>PH külső nyílászáró javíáts</t>
  </si>
  <si>
    <t>Petőfi u. 4. felújítás I. ütem</t>
  </si>
  <si>
    <t xml:space="preserve">Téli díszkivilágítás </t>
  </si>
  <si>
    <t xml:space="preserve">4. </t>
  </si>
  <si>
    <t>Békési Férfi Kéziladba Kft TAO pályázat önerő</t>
  </si>
  <si>
    <t>Ft</t>
  </si>
  <si>
    <t>Felhalmozási bevételek összesen</t>
  </si>
  <si>
    <t>Békési Gyógyászati Központ és Gyógyfürdő</t>
  </si>
  <si>
    <t>Pénzeszközátadások és egyéb támogatások</t>
  </si>
  <si>
    <t>Egyéb felhalmozási célú kiadások+ fizetett kamatok</t>
  </si>
  <si>
    <t xml:space="preserve">Beruházások, felújítások összesen (I.+II.) </t>
  </si>
  <si>
    <t>közművelődési feladatok</t>
  </si>
  <si>
    <t>ifjúsági feladatok</t>
  </si>
  <si>
    <t>ASP pályázat tartalék</t>
  </si>
  <si>
    <t>VP6-7.2.1. külterületi közutak pályázat önerő</t>
  </si>
  <si>
    <t>Az Önkormányzat feladatai bevételek</t>
  </si>
  <si>
    <t>Az Önkormányzat feladatai kiadások</t>
  </si>
  <si>
    <t>Maradvány igénybevétele (működési célra)</t>
  </si>
  <si>
    <t>Maradvány igénybevétele (felhalmozási célra)</t>
  </si>
  <si>
    <t>Belföldi finanszírozás bevételei</t>
  </si>
  <si>
    <t>Működési költségvetés 2019.</t>
  </si>
  <si>
    <t>Felhalmozási költségvetés 2019.</t>
  </si>
  <si>
    <t>városháza villamos hálózat felújítás I. ütem</t>
  </si>
  <si>
    <t>Rákóczi u. 16. akadálymentesítés</t>
  </si>
  <si>
    <t>Széchenyi tér 6. homlokzat felújítás</t>
  </si>
  <si>
    <t>lombzsák</t>
  </si>
  <si>
    <t>Fúró utcai gyaloghíd (vasalás bevédés)</t>
  </si>
  <si>
    <t>járda építés</t>
  </si>
  <si>
    <t>városi utak aszfaltozása</t>
  </si>
  <si>
    <t>új rendezési terv I. ütem</t>
  </si>
  <si>
    <t>helyi érték védelmi alap</t>
  </si>
  <si>
    <t xml:space="preserve">téli díszkivilágítás </t>
  </si>
  <si>
    <t>mérleg (Gyep mesteri telep)</t>
  </si>
  <si>
    <t>motor</t>
  </si>
  <si>
    <t>oktatási, közművelődési, ifjúsági feladatok</t>
  </si>
  <si>
    <t>lakosságnak nyújtott kamatmentes kölcsönök</t>
  </si>
  <si>
    <t>vállalkozóknak nyújtott kölcsönök</t>
  </si>
  <si>
    <t>fejlesztési hitel kamat</t>
  </si>
  <si>
    <t>2018 évi állami normatíva visszafizetésére</t>
  </si>
  <si>
    <t>adatok Ft-ban</t>
  </si>
  <si>
    <t>32.</t>
  </si>
  <si>
    <t>34.</t>
  </si>
  <si>
    <t>TOP 5.2.1-15-BS1-2016-00002 Együtt az intergációért</t>
  </si>
  <si>
    <t>EFOP-1.5.3-16-2017-00097 Településeinkért</t>
  </si>
  <si>
    <t>ZP-12017/2573 zártkerti földrészletek mg.hasznosítását segítő infr.hátterét biztosító fejlesztések</t>
  </si>
  <si>
    <t>166/2018 TSZ, Népi Építészeti Program Durkó u. 8 felújítás</t>
  </si>
  <si>
    <t>Verseny u. útburkolat</t>
  </si>
  <si>
    <t>EFOP-1.2.11-16-2017-00046 Esély otthon</t>
  </si>
  <si>
    <t>TOP-4.3.1-15-BS1-2016-00010 Leromlott városi területek rehabilitációja</t>
  </si>
  <si>
    <t>TOP-3.2.1-16-BS1-2017-00016 Épületenergetika 3. ütem</t>
  </si>
  <si>
    <t>TOP-2.1.3-16-BS1-2017-00011 Csapadék elvezetés 2. ütem</t>
  </si>
  <si>
    <t>TOP-2.1.2-16-BS1-2017-00007 Élhetőbb békési városközpont kialakítás</t>
  </si>
  <si>
    <t>TOP-3.2.1-16-BS1-2017-00019 Épületenergetika 2. ütem</t>
  </si>
  <si>
    <t>TOP-1.4.1-16-BS1-2017-00012 Korona u.tornaszoba kialakítása</t>
  </si>
  <si>
    <t>TOP-3.2.2-15-BS1-2016-00003 Napelem</t>
  </si>
  <si>
    <t>TOP-3.2.1-15-BS1-2016-00007 Energetika</t>
  </si>
  <si>
    <t>TOP-2.1.3-15-BS1-2016-00002 Csapadékvíz</t>
  </si>
  <si>
    <t>TOP-1.2.1-15-BS1-2016-00007 Dánfok</t>
  </si>
  <si>
    <t>TOP-1.1.1-15-BS1-2016-00004 Oncsa</t>
  </si>
  <si>
    <t>TOP-1.1.3-15-BS1-2016-00012 Piac</t>
  </si>
  <si>
    <t>ROHU Ft szla</t>
  </si>
  <si>
    <t>ROHU Euro szla</t>
  </si>
  <si>
    <t>Önerő / 166/2018 TSZ, Népi Építészeti Program Durkó u. 8 felújítás</t>
  </si>
  <si>
    <t>Önerő / Verseny u. útburkolat</t>
  </si>
  <si>
    <t>Önerő / HURO</t>
  </si>
  <si>
    <t>Önerő  /napelem</t>
  </si>
  <si>
    <t>Békési Kistérségi Társulás (várható pályázati önerő)</t>
  </si>
  <si>
    <t>35.</t>
  </si>
  <si>
    <t>40.</t>
  </si>
  <si>
    <t>42.</t>
  </si>
  <si>
    <t>Mindösszesen:</t>
  </si>
  <si>
    <t xml:space="preserve">Békés város Önkormányzata 2019 évi  feladatainak minősítése az Áht. 23.§ (2) bekezdés ab) pontja alapján </t>
  </si>
  <si>
    <t>Középiskolai ösztöndíj</t>
  </si>
  <si>
    <t>43.</t>
  </si>
  <si>
    <t>44.</t>
  </si>
  <si>
    <t>45.</t>
  </si>
  <si>
    <t>46.</t>
  </si>
  <si>
    <t>47.</t>
  </si>
  <si>
    <t>48.</t>
  </si>
  <si>
    <t>49.</t>
  </si>
  <si>
    <t>50.</t>
  </si>
  <si>
    <t>BKSZ Plusz kölcsön</t>
  </si>
  <si>
    <t>BKSZ KFT - tőkeleszállítás</t>
  </si>
  <si>
    <t>Békés Város Önkormányzata és Intézményei 2019. évi I. félévi kiemelt bevételi  előirányzatai és teljesítése</t>
  </si>
  <si>
    <t>1. melléklet a .../2019. (  ) önkormányzati rendelethez</t>
  </si>
  <si>
    <t xml:space="preserve">Békés Város Önkormányzata és intézményei  2019. évi I. félévi költségvetési mérlege </t>
  </si>
  <si>
    <t>2019. évben tervezett feladatok:</t>
  </si>
  <si>
    <t>B.)</t>
  </si>
  <si>
    <t>K63-00 informatikai eszközök beszerzése</t>
  </si>
  <si>
    <t>K64-00 egyéb tárgyi eszköz beszerzésé</t>
  </si>
  <si>
    <t>K67-00 Áfa</t>
  </si>
  <si>
    <t>Janytyik Mátyás Múzeum</t>
  </si>
  <si>
    <t>Püski Sándor Könyvtár összesen:</t>
  </si>
  <si>
    <t>Önkormányzat összesen:</t>
  </si>
  <si>
    <t>Költségvetésben nem tervezett felhalmozási kiadások összesen:</t>
  </si>
  <si>
    <t>51.</t>
  </si>
  <si>
    <t>52.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</si>
  <si>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</si>
  <si>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</si>
  <si>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</si>
  <si>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</si>
  <si>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</si>
  <si>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</si>
  <si>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</si>
  <si>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</si>
  <si>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</si>
  <si>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</si>
  <si>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</si>
  <si>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</si>
  <si>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</si>
  <si>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</si>
  <si>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</si>
  <si>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</si>
  <si>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2019. évi I. félévi felhalmozási előirányzata</t>
  </si>
  <si>
    <t>Nem saját forrásból megvalósuló beruházások</t>
  </si>
  <si>
    <t xml:space="preserve">II. </t>
  </si>
  <si>
    <t>K62-00 ingatlanok beszerzés, létesítése</t>
  </si>
  <si>
    <t>Békési Gyógyászati Központ és Gyógyfürdő összesen:</t>
  </si>
  <si>
    <t>Békés Városi Kecskeméti Gábor Kulturális Központ összesen:</t>
  </si>
  <si>
    <t>Békési Polgármesteri Hivatal összesen:</t>
  </si>
  <si>
    <t xml:space="preserve">Költségvetésben tervezett felhalmozási célú kiadások mindösszesen: </t>
  </si>
  <si>
    <t>A.)</t>
  </si>
  <si>
    <t>a.)</t>
  </si>
  <si>
    <t>b.)</t>
  </si>
  <si>
    <t>2019. I. féléves felhalmozási kiadások összesen: (A+B)</t>
  </si>
  <si>
    <t>Költségvetésben tervezett felhalmozási célú kiadások</t>
  </si>
  <si>
    <t>I. Saját forrásból megvalósuló beruházások, felújítások (a+b)</t>
  </si>
  <si>
    <t>Költségvetésben nem tervezett felhalmozási kiadások</t>
  </si>
  <si>
    <t>Békés Város Önkormányzata és intézményei 2019. évi I. félévi jóváhagyott és teljesített</t>
  </si>
  <si>
    <t>Békés Város Önkormányzata 2019. évi I. félévi előirányzat-felhasználási ütemterve</t>
  </si>
  <si>
    <t>-</t>
  </si>
  <si>
    <t>Intézményi működési bevételek (B4)</t>
  </si>
  <si>
    <t>Módosított előriányzat</t>
  </si>
  <si>
    <t>Közhatalmi bevételek (B3)</t>
  </si>
  <si>
    <t>Működési célú átvett pénzeszköz (B16, B6)</t>
  </si>
  <si>
    <t>Finanszírozási bevételek (B8)</t>
  </si>
  <si>
    <t>Maradványigénybevétel</t>
  </si>
  <si>
    <t>Kp-i irányítószervi támogatás</t>
  </si>
  <si>
    <t>Államháztartáson belüli megelőlegezések</t>
  </si>
  <si>
    <t xml:space="preserve">E 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</si>
  <si>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</si>
  <si>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</si>
  <si>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</si>
  <si>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</si>
  <si>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</si>
  <si>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</si>
  <si>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</si>
  <si>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</si>
  <si>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</si>
  <si>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</si>
  <si>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Felhalmozási és tőkejellegű bevételek (B5)</t>
  </si>
  <si>
    <t>Személyi juttatások (K1)</t>
  </si>
  <si>
    <t>Munkaadókat terhelő járulékokés szociális hozzájárulási adó (K2)</t>
  </si>
  <si>
    <t>Dologi és egyéb folyó kiadások (K3)</t>
  </si>
  <si>
    <t>Szociális ellátások és egyéb juttatások (K4)</t>
  </si>
  <si>
    <t>Békés Város Önkormányzata és Intézményei 2019. évi I. félévi kiemelt kiadási  előirányzatai és teljesítése</t>
  </si>
  <si>
    <t>Egyéb felhalmozási célú kiadások+ fizetett kamatok (K8)</t>
  </si>
  <si>
    <t>Beruházások, felújítások (K6, K7)</t>
  </si>
  <si>
    <t>Belföldi finanszírozás bevételei (hitel)</t>
  </si>
  <si>
    <t>Finanszírozási kiadások (állami megelőlegezés, folyószámla hitel)</t>
  </si>
  <si>
    <t>Felhalmozási célú átvett pénzeszköz (B2,B7)</t>
  </si>
  <si>
    <t>Hitel és kölcsönfelvétel pü.vállalkozástól (fejlesztési hitel)</t>
  </si>
  <si>
    <t>Ell.</t>
  </si>
  <si>
    <t xml:space="preserve"> Rekrációs támogatás </t>
  </si>
  <si>
    <t>Önkormányzati segély</t>
  </si>
  <si>
    <t>Állami támogatások (B1)</t>
  </si>
  <si>
    <t>Teljesítés %</t>
  </si>
  <si>
    <t>Költségvetési szervek összesen</t>
  </si>
  <si>
    <t>Működés</t>
  </si>
  <si>
    <t>Felhalmozás</t>
  </si>
  <si>
    <t>Államháztartáson belüli megelőlegezések + Likvid hitel</t>
  </si>
  <si>
    <t>Finanszírozási kiadások (K9)</t>
  </si>
  <si>
    <t>Maradványigénybevétel, folyószámla hitel, állami megelőlegezés</t>
  </si>
  <si>
    <t>Finanszírozási bevételek (maradvány, folyószámla hitel)</t>
  </si>
  <si>
    <t>Eredeti előriányzat</t>
  </si>
  <si>
    <t>K63 Informatikai eszközök beszerzése, létesítése</t>
  </si>
  <si>
    <t>K64 Egyéb tárgyi eszközök beszerzése, létesítése</t>
  </si>
  <si>
    <t>K67 Beruházási célú előzetesen felszámított áfa</t>
  </si>
  <si>
    <t>K64 Egyéb tárgyi eszköz beszerzés, létesítés</t>
  </si>
  <si>
    <t>K71 Ingatlanok felújítása, létesítése</t>
  </si>
  <si>
    <t>K74 Felújítási célú előzetesen felszámított áfa</t>
  </si>
  <si>
    <t>Békés város Önkormányzata 2019. évi I. félévi tervezett szociális pénzeszközeinek felhasználása</t>
  </si>
  <si>
    <t>12.000 Ft-ot nem raktam bele.</t>
  </si>
  <si>
    <t>Tűzoltóságnak nyújtott kölcsön</t>
  </si>
  <si>
    <t>Kulturális Illetmény pótlék</t>
  </si>
  <si>
    <t>Autómentesnap pályázat</t>
  </si>
  <si>
    <t>2018 évi pénzmaradvány elszámolás (pályázatok megelőlegezésével csökkentve)</t>
  </si>
  <si>
    <t>Önerő / TOP-3.2.1-15 (KT. 372/2018 IX.06.) Energetika</t>
  </si>
  <si>
    <t>Önerő / TOP-1.1.3-15 (KT. 372/218 IX.06.) Piac</t>
  </si>
  <si>
    <t>intézmény felújítási alap (Petőfi 24. felújítás)</t>
  </si>
  <si>
    <t>Í</t>
  </si>
  <si>
    <t>Bevétel</t>
  </si>
  <si>
    <t>Intézmények összesen</t>
  </si>
  <si>
    <t xml:space="preserve">H </t>
  </si>
  <si>
    <t xml:space="preserve">M </t>
  </si>
  <si>
    <t>Kiadás</t>
  </si>
  <si>
    <t>2019. évi tartalék előirányzata feladatonkénti bontásban</t>
  </si>
  <si>
    <t>53.</t>
  </si>
  <si>
    <t>54.</t>
  </si>
  <si>
    <t>55.</t>
  </si>
  <si>
    <t>56.</t>
  </si>
  <si>
    <t>57.</t>
  </si>
  <si>
    <t>Önk.</t>
  </si>
  <si>
    <t>Önk</t>
  </si>
  <si>
    <t>Megtakarítás összege</t>
  </si>
  <si>
    <t>11. melléklet az 1/2019. (II. 1.) önkormányzati rendelethez</t>
  </si>
  <si>
    <t>8. melléklet az 1/2019. (II. 1.) önkormányzati rendelethez</t>
  </si>
  <si>
    <t>9. melléklet az 1/2019. (II. 1.) önkormányzati rendelethez</t>
  </si>
  <si>
    <t>10. melléklet az 1/2019. (II. 1.) önkormányzati rendelethez</t>
  </si>
  <si>
    <t>6. melléklet az 1/2019. (II. 1.)  önkormányzati rendelethez</t>
  </si>
  <si>
    <t>5. melléklet az 1/2019. (II. 1.) önkormányzati rendelethez</t>
  </si>
  <si>
    <t>4. melléklet az 1/2019. (II. 1.) önkormányzati rendelethez</t>
  </si>
  <si>
    <t>3. melléklet az 1/2019. (II. 1.) önkormányzati rendelethez</t>
  </si>
  <si>
    <t>2. melléklet az 1/2019. (II. 1.) önkormányzati rendelethez</t>
  </si>
  <si>
    <t>1. melléklet az 1/2019. (II. 1.)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</si>
</sst>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\ _F_t"/>
    <numFmt numFmtId="166" formatCode="_-* #,##0.0\ _F_t_-;\-* #,##0.0\ _F_t_-;_-* &quot;-&quot;?\ _F_t_-;_-@_-"/>
    <numFmt numFmtId="167" formatCode="_-* #,##0.0\ _F_t_-;\-* #,##0.0\ _F_t_-;_-* &quot;-&quot;??\ _F_t_-;_-@_-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  <numFmt numFmtId="172" formatCode="0.0000"/>
    <numFmt numFmtId="173" formatCode="0.000"/>
    <numFmt numFmtId="174" formatCode="0.0"/>
    <numFmt numFmtId="175" formatCode="[$-40E]yyyy\.\ mmmm\ d\."/>
    <numFmt numFmtId="176" formatCode="0.0%"/>
  </numFmts>
  <fonts count="71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u val="singleAccounting"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14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6" fillId="25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7" borderId="7" applyNumberFormat="0" applyFont="0" applyAlignment="0" applyProtection="0"/>
    <xf numFmtId="0" fontId="55" fillId="28" borderId="0" applyNumberFormat="0" applyBorder="0" applyAlignment="0" applyProtection="0"/>
    <xf numFmtId="0" fontId="56" fillId="29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29" borderId="1" applyNumberFormat="0" applyAlignment="0" applyProtection="0"/>
    <xf numFmtId="9" fontId="0" fillId="0" borderId="0" applyFont="0" applyFill="0" applyBorder="0" applyAlignment="0" applyProtection="0"/>
  </cellStyleXfs>
  <cellXfs count="5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32" borderId="10" xfId="0" applyFont="1" applyFill="1" applyBorder="1" applyAlignment="1">
      <alignment/>
    </xf>
    <xf numFmtId="164" fontId="5" fillId="0" borderId="10" xfId="46" applyNumberFormat="1" applyFont="1" applyBorder="1" applyAlignment="1">
      <alignment vertical="center"/>
    </xf>
    <xf numFmtId="164" fontId="7" fillId="0" borderId="10" xfId="46" applyNumberFormat="1" applyFont="1" applyBorder="1" applyAlignment="1">
      <alignment vertical="center"/>
    </xf>
    <xf numFmtId="164" fontId="4" fillId="0" borderId="0" xfId="46" applyNumberFormat="1" applyFont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Fill="1" applyAlignment="1">
      <alignment/>
    </xf>
    <xf numFmtId="164" fontId="5" fillId="33" borderId="10" xfId="46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164" fontId="7" fillId="0" borderId="10" xfId="46" applyNumberFormat="1" applyFont="1" applyFill="1" applyBorder="1" applyAlignment="1">
      <alignment/>
    </xf>
    <xf numFmtId="3" fontId="5" fillId="0" borderId="10" xfId="46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10" xfId="46" applyNumberFormat="1" applyFont="1" applyFill="1" applyBorder="1" applyAlignment="1">
      <alignment vertical="center" wrapText="1"/>
    </xf>
    <xf numFmtId="164" fontId="7" fillId="0" borderId="11" xfId="46" applyNumberFormat="1" applyFont="1" applyFill="1" applyBorder="1" applyAlignment="1">
      <alignment/>
    </xf>
    <xf numFmtId="3" fontId="7" fillId="0" borderId="11" xfId="46" applyNumberFormat="1" applyFont="1" applyFill="1" applyBorder="1" applyAlignment="1">
      <alignment/>
    </xf>
    <xf numFmtId="164" fontId="7" fillId="0" borderId="10" xfId="46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7" fillId="0" borderId="11" xfId="46" applyNumberFormat="1" applyFont="1" applyFill="1" applyBorder="1" applyAlignment="1">
      <alignment horizontal="center" vertical="center" wrapText="1"/>
    </xf>
    <xf numFmtId="3" fontId="7" fillId="0" borderId="11" xfId="46" applyNumberFormat="1" applyFont="1" applyFill="1" applyBorder="1" applyAlignment="1">
      <alignment horizontal="center" vertical="center"/>
    </xf>
    <xf numFmtId="164" fontId="7" fillId="0" borderId="10" xfId="46" applyNumberFormat="1" applyFont="1" applyFill="1" applyBorder="1" applyAlignment="1">
      <alignment vertical="center" wrapText="1"/>
    </xf>
    <xf numFmtId="3" fontId="7" fillId="0" borderId="10" xfId="46" applyNumberFormat="1" applyFont="1" applyFill="1" applyBorder="1" applyAlignment="1">
      <alignment vertical="center" wrapText="1"/>
    </xf>
    <xf numFmtId="164" fontId="5" fillId="0" borderId="12" xfId="46" applyNumberFormat="1" applyFont="1" applyBorder="1" applyAlignment="1">
      <alignment vertical="center"/>
    </xf>
    <xf numFmtId="0" fontId="4" fillId="32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3" fontId="7" fillId="0" borderId="10" xfId="46" applyNumberFormat="1" applyFont="1" applyFill="1" applyBorder="1" applyAlignment="1">
      <alignment/>
    </xf>
    <xf numFmtId="164" fontId="5" fillId="0" borderId="10" xfId="46" applyNumberFormat="1" applyFont="1" applyFill="1" applyBorder="1" applyAlignment="1">
      <alignment horizontal="left" indent="4"/>
    </xf>
    <xf numFmtId="0" fontId="5" fillId="0" borderId="10" xfId="0" applyFont="1" applyFill="1" applyBorder="1" applyAlignment="1">
      <alignment horizontal="left" indent="4"/>
    </xf>
    <xf numFmtId="164" fontId="5" fillId="0" borderId="10" xfId="46" applyNumberFormat="1" applyFont="1" applyFill="1" applyBorder="1" applyAlignment="1">
      <alignment horizontal="left" vertical="center" wrapText="1" indent="4"/>
    </xf>
    <xf numFmtId="164" fontId="11" fillId="0" borderId="11" xfId="46" applyNumberFormat="1" applyFont="1" applyFill="1" applyBorder="1" applyAlignment="1">
      <alignment/>
    </xf>
    <xf numFmtId="3" fontId="11" fillId="0" borderId="11" xfId="46" applyNumberFormat="1" applyFont="1" applyFill="1" applyBorder="1" applyAlignment="1">
      <alignment/>
    </xf>
    <xf numFmtId="3" fontId="12" fillId="0" borderId="11" xfId="46" applyNumberFormat="1" applyFont="1" applyFill="1" applyBorder="1" applyAlignment="1">
      <alignment/>
    </xf>
    <xf numFmtId="0" fontId="5" fillId="0" borderId="13" xfId="56" applyFont="1" applyBorder="1" applyAlignment="1">
      <alignment vertical="center"/>
      <protection/>
    </xf>
    <xf numFmtId="0" fontId="5" fillId="0" borderId="0" xfId="56" applyFont="1" applyFill="1" applyAlignment="1">
      <alignment horizontal="right" vertical="center"/>
      <protection/>
    </xf>
    <xf numFmtId="0" fontId="5" fillId="32" borderId="14" xfId="0" applyFont="1" applyFill="1" applyBorder="1" applyAlignment="1">
      <alignment horizontal="center" vertical="center" wrapText="1"/>
    </xf>
    <xf numFmtId="0" fontId="5" fillId="0" borderId="0" xfId="56" applyFont="1" applyFill="1" applyBorder="1" applyAlignment="1">
      <alignment horizontal="center" vertical="center"/>
      <protection/>
    </xf>
    <xf numFmtId="0" fontId="5" fillId="0" borderId="0" xfId="56" applyFont="1" applyFill="1" applyBorder="1" applyAlignment="1">
      <alignment horizontal="center" vertical="center" wrapText="1"/>
      <protection/>
    </xf>
    <xf numFmtId="165" fontId="5" fillId="0" borderId="0" xfId="46" applyNumberFormat="1" applyFont="1" applyFill="1" applyBorder="1" applyAlignment="1">
      <alignment horizontal="center" vertical="center"/>
    </xf>
    <xf numFmtId="0" fontId="5" fillId="0" borderId="0" xfId="56" applyFont="1" applyAlignment="1">
      <alignment vertical="center"/>
      <protection/>
    </xf>
    <xf numFmtId="0" fontId="5" fillId="0" borderId="0" xfId="56" applyFont="1" applyAlignment="1">
      <alignment horizontal="center" vertical="center"/>
      <protection/>
    </xf>
    <xf numFmtId="0" fontId="5" fillId="0" borderId="0" xfId="56" applyFont="1" applyAlignment="1">
      <alignment vertical="center" wrapText="1"/>
      <protection/>
    </xf>
    <xf numFmtId="165" fontId="5" fillId="0" borderId="0" xfId="46" applyNumberFormat="1" applyFont="1" applyAlignment="1">
      <alignment vertical="center"/>
    </xf>
    <xf numFmtId="165" fontId="7" fillId="0" borderId="15" xfId="46" applyNumberFormat="1" applyFont="1" applyBorder="1" applyAlignment="1">
      <alignment horizontal="center" vertical="center"/>
    </xf>
    <xf numFmtId="0" fontId="7" fillId="0" borderId="0" xfId="56" applyFont="1" applyAlignment="1">
      <alignment vertical="center"/>
      <protection/>
    </xf>
    <xf numFmtId="165" fontId="7" fillId="0" borderId="10" xfId="46" applyNumberFormat="1" applyFont="1" applyBorder="1" applyAlignment="1">
      <alignment vertical="center"/>
    </xf>
    <xf numFmtId="0" fontId="5" fillId="0" borderId="16" xfId="56" applyFont="1" applyBorder="1" applyAlignment="1">
      <alignment vertical="center"/>
      <protection/>
    </xf>
    <xf numFmtId="0" fontId="5" fillId="0" borderId="15" xfId="56" applyFont="1" applyBorder="1" applyAlignment="1">
      <alignment horizontal="center" vertical="center"/>
      <protection/>
    </xf>
    <xf numFmtId="3" fontId="5" fillId="0" borderId="13" xfId="56" applyNumberFormat="1" applyFont="1" applyBorder="1" applyAlignment="1">
      <alignment vertical="center"/>
      <protection/>
    </xf>
    <xf numFmtId="0" fontId="5" fillId="0" borderId="17" xfId="56" applyFont="1" applyBorder="1" applyAlignment="1">
      <alignment horizontal="center" vertical="center"/>
      <protection/>
    </xf>
    <xf numFmtId="3" fontId="7" fillId="0" borderId="18" xfId="56" applyNumberFormat="1" applyFont="1" applyBorder="1" applyAlignment="1">
      <alignment vertical="center"/>
      <protection/>
    </xf>
    <xf numFmtId="3" fontId="7" fillId="0" borderId="19" xfId="56" applyNumberFormat="1" applyFont="1" applyBorder="1" applyAlignment="1">
      <alignment vertical="center"/>
      <protection/>
    </xf>
    <xf numFmtId="0" fontId="7" fillId="0" borderId="20" xfId="56" applyFont="1" applyBorder="1" applyAlignment="1">
      <alignment vertical="center"/>
      <protection/>
    </xf>
    <xf numFmtId="3" fontId="7" fillId="0" borderId="11" xfId="56" applyNumberFormat="1" applyFont="1" applyBorder="1" applyAlignment="1">
      <alignment vertical="center"/>
      <protection/>
    </xf>
    <xf numFmtId="0" fontId="5" fillId="0" borderId="0" xfId="56" applyFont="1" applyAlignment="1" quotePrefix="1">
      <alignment vertical="center"/>
      <protection/>
    </xf>
    <xf numFmtId="0" fontId="7" fillId="0" borderId="0" xfId="56" applyFont="1" applyAlignment="1">
      <alignment horizontal="center" vertical="center" wrapText="1"/>
      <protection/>
    </xf>
    <xf numFmtId="0" fontId="5" fillId="0" borderId="0" xfId="56" applyFont="1" applyAlignment="1">
      <alignment horizontal="center" vertical="center" wrapText="1"/>
      <protection/>
    </xf>
    <xf numFmtId="0" fontId="5" fillId="32" borderId="10" xfId="56" applyFont="1" applyFill="1" applyBorder="1" applyAlignment="1">
      <alignment horizontal="center" vertical="center"/>
      <protection/>
    </xf>
    <xf numFmtId="165" fontId="5" fillId="32" borderId="10" xfId="46" applyNumberFormat="1" applyFont="1" applyFill="1" applyBorder="1" applyAlignment="1">
      <alignment horizontal="center" vertical="center"/>
    </xf>
    <xf numFmtId="0" fontId="5" fillId="32" borderId="11" xfId="56" applyFont="1" applyFill="1" applyBorder="1" applyAlignment="1">
      <alignment horizontal="center" vertical="center"/>
      <protection/>
    </xf>
    <xf numFmtId="0" fontId="7" fillId="0" borderId="18" xfId="56" applyFont="1" applyBorder="1" applyAlignment="1">
      <alignment horizontal="center" vertical="center"/>
      <protection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1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2" borderId="22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0" borderId="2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164" fontId="14" fillId="0" borderId="10" xfId="46" applyNumberFormat="1" applyFont="1" applyBorder="1" applyAlignment="1">
      <alignment vertical="center"/>
    </xf>
    <xf numFmtId="0" fontId="14" fillId="0" borderId="10" xfId="0" applyFont="1" applyBorder="1" applyAlignment="1">
      <alignment horizontal="left" vertical="center" wrapText="1"/>
    </xf>
    <xf numFmtId="164" fontId="14" fillId="0" borderId="12" xfId="46" applyNumberFormat="1" applyFont="1" applyBorder="1" applyAlignment="1">
      <alignment vertical="center"/>
    </xf>
    <xf numFmtId="164" fontId="7" fillId="0" borderId="12" xfId="46" applyNumberFormat="1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23" xfId="0" applyNumberFormat="1" applyFont="1" applyBorder="1" applyAlignment="1">
      <alignment vertical="center"/>
    </xf>
    <xf numFmtId="0" fontId="5" fillId="0" borderId="24" xfId="56" applyFont="1" applyBorder="1" applyAlignment="1">
      <alignment vertical="center" wrapText="1"/>
      <protection/>
    </xf>
    <xf numFmtId="0" fontId="5" fillId="0" borderId="25" xfId="56" applyFont="1" applyFill="1" applyBorder="1" applyAlignment="1">
      <alignment vertical="center" wrapText="1"/>
      <protection/>
    </xf>
    <xf numFmtId="0" fontId="5" fillId="0" borderId="26" xfId="56" applyFont="1" applyFill="1" applyBorder="1" applyAlignment="1">
      <alignment vertical="center" wrapText="1"/>
      <protection/>
    </xf>
    <xf numFmtId="0" fontId="5" fillId="0" borderId="0" xfId="0" applyFont="1" applyAlignment="1">
      <alignment vertical="center"/>
    </xf>
    <xf numFmtId="3" fontId="5" fillId="0" borderId="21" xfId="46" applyNumberFormat="1" applyFont="1" applyBorder="1" applyAlignment="1">
      <alignment vertical="center"/>
    </xf>
    <xf numFmtId="3" fontId="5" fillId="0" borderId="10" xfId="46" applyNumberFormat="1" applyFont="1" applyBorder="1" applyAlignment="1">
      <alignment vertical="center"/>
    </xf>
    <xf numFmtId="3" fontId="5" fillId="0" borderId="18" xfId="46" applyNumberFormat="1" applyFont="1" applyBorder="1" applyAlignment="1">
      <alignment vertical="center"/>
    </xf>
    <xf numFmtId="3" fontId="5" fillId="0" borderId="14" xfId="46" applyNumberFormat="1" applyFont="1" applyBorder="1" applyAlignment="1">
      <alignment vertical="center"/>
    </xf>
    <xf numFmtId="3" fontId="5" fillId="0" borderId="27" xfId="46" applyNumberFormat="1" applyFont="1" applyBorder="1" applyAlignment="1">
      <alignment vertical="center"/>
    </xf>
    <xf numFmtId="3" fontId="5" fillId="0" borderId="15" xfId="46" applyNumberFormat="1" applyFont="1" applyBorder="1" applyAlignment="1">
      <alignment vertical="center"/>
    </xf>
    <xf numFmtId="3" fontId="5" fillId="0" borderId="28" xfId="46" applyNumberFormat="1" applyFont="1" applyBorder="1" applyAlignment="1">
      <alignment vertical="center"/>
    </xf>
    <xf numFmtId="3" fontId="5" fillId="0" borderId="29" xfId="46" applyNumberFormat="1" applyFont="1" applyBorder="1" applyAlignment="1">
      <alignment vertical="center"/>
    </xf>
    <xf numFmtId="3" fontId="5" fillId="0" borderId="11" xfId="46" applyNumberFormat="1" applyFont="1" applyBorder="1" applyAlignment="1">
      <alignment vertical="center"/>
    </xf>
    <xf numFmtId="3" fontId="5" fillId="0" borderId="20" xfId="46" applyNumberFormat="1" applyFont="1" applyBorder="1" applyAlignment="1">
      <alignment vertical="center"/>
    </xf>
    <xf numFmtId="3" fontId="5" fillId="0" borderId="19" xfId="46" applyNumberFormat="1" applyFont="1" applyBorder="1" applyAlignment="1">
      <alignment vertical="center"/>
    </xf>
    <xf numFmtId="3" fontId="5" fillId="0" borderId="15" xfId="46" applyNumberFormat="1" applyFont="1" applyFill="1" applyBorder="1" applyAlignment="1">
      <alignment vertical="center"/>
    </xf>
    <xf numFmtId="3" fontId="5" fillId="0" borderId="22" xfId="46" applyNumberFormat="1" applyFont="1" applyBorder="1" applyAlignment="1">
      <alignment horizontal="center" vertical="center"/>
    </xf>
    <xf numFmtId="0" fontId="5" fillId="0" borderId="10" xfId="57" applyFont="1" applyBorder="1" applyAlignment="1">
      <alignment horizontal="center" vertical="center" textRotation="90" wrapText="1"/>
      <protection/>
    </xf>
    <xf numFmtId="0" fontId="7" fillId="0" borderId="10" xfId="57" applyFont="1" applyBorder="1" applyAlignment="1">
      <alignment horizontal="center" vertical="center" textRotation="90" wrapText="1"/>
      <protection/>
    </xf>
    <xf numFmtId="0" fontId="5" fillId="0" borderId="18" xfId="56" applyFont="1" applyBorder="1" applyAlignment="1">
      <alignment horizontal="center" vertical="center"/>
      <protection/>
    </xf>
    <xf numFmtId="0" fontId="5" fillId="0" borderId="10" xfId="56" applyFont="1" applyBorder="1" applyAlignment="1">
      <alignment horizontal="center" vertical="center"/>
      <protection/>
    </xf>
    <xf numFmtId="3" fontId="5" fillId="0" borderId="10" xfId="46" applyNumberFormat="1" applyFont="1" applyBorder="1" applyAlignment="1">
      <alignment horizontal="right" vertical="center"/>
    </xf>
    <xf numFmtId="3" fontId="7" fillId="0" borderId="10" xfId="46" applyNumberFormat="1" applyFont="1" applyBorder="1" applyAlignment="1">
      <alignment horizontal="right" vertical="center"/>
    </xf>
    <xf numFmtId="3" fontId="5" fillId="0" borderId="10" xfId="46" applyNumberFormat="1" applyFont="1" applyBorder="1" applyAlignment="1" quotePrefix="1">
      <alignment horizontal="right" vertical="center"/>
    </xf>
    <xf numFmtId="3" fontId="7" fillId="0" borderId="10" xfId="46" applyNumberFormat="1" applyFont="1" applyBorder="1" applyAlignment="1">
      <alignment horizontal="right" vertical="center" wrapText="1"/>
    </xf>
    <xf numFmtId="3" fontId="7" fillId="0" borderId="10" xfId="46" applyNumberFormat="1" applyFont="1" applyBorder="1" applyAlignment="1" quotePrefix="1">
      <alignment horizontal="right" vertical="center"/>
    </xf>
    <xf numFmtId="0" fontId="7" fillId="0" borderId="10" xfId="56" applyFont="1" applyBorder="1" applyAlignment="1">
      <alignment horizontal="center" vertical="center"/>
      <protection/>
    </xf>
    <xf numFmtId="0" fontId="5" fillId="0" borderId="0" xfId="57" applyFont="1" applyFill="1" applyBorder="1">
      <alignment/>
      <protection/>
    </xf>
    <xf numFmtId="0" fontId="5" fillId="0" borderId="0" xfId="57" applyFont="1">
      <alignment/>
      <protection/>
    </xf>
    <xf numFmtId="0" fontId="5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right" vertical="center"/>
      <protection/>
    </xf>
    <xf numFmtId="0" fontId="5" fillId="0" borderId="0" xfId="57" applyFont="1" applyFill="1" applyBorder="1" applyAlignment="1">
      <alignment horizontal="center" vertical="center"/>
      <protection/>
    </xf>
    <xf numFmtId="0" fontId="5" fillId="0" borderId="0" xfId="57" applyFont="1" applyAlignment="1">
      <alignment horizontal="center"/>
      <protection/>
    </xf>
    <xf numFmtId="0" fontId="5" fillId="32" borderId="10" xfId="57" applyFont="1" applyFill="1" applyBorder="1" applyAlignment="1">
      <alignment horizontal="center" vertical="center"/>
      <protection/>
    </xf>
    <xf numFmtId="0" fontId="5" fillId="32" borderId="10" xfId="57" applyFont="1" applyFill="1" applyBorder="1">
      <alignment/>
      <protection/>
    </xf>
    <xf numFmtId="0" fontId="5" fillId="32" borderId="18" xfId="57" applyFont="1" applyFill="1" applyBorder="1" applyAlignment="1">
      <alignment horizontal="center" vertical="center"/>
      <protection/>
    </xf>
    <xf numFmtId="0" fontId="5" fillId="0" borderId="21" xfId="56" applyFont="1" applyBorder="1" applyAlignment="1">
      <alignment vertical="center" wrapText="1"/>
      <protection/>
    </xf>
    <xf numFmtId="3" fontId="7" fillId="0" borderId="12" xfId="46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34" borderId="30" xfId="56" applyFont="1" applyFill="1" applyBorder="1" applyAlignment="1">
      <alignment vertical="center" wrapText="1"/>
      <protection/>
    </xf>
    <xf numFmtId="3" fontId="5" fillId="34" borderId="10" xfId="46" applyNumberFormat="1" applyFont="1" applyFill="1" applyBorder="1" applyAlignment="1">
      <alignment horizontal="right" vertical="center"/>
    </xf>
    <xf numFmtId="3" fontId="7" fillId="34" borderId="10" xfId="46" applyNumberFormat="1" applyFont="1" applyFill="1" applyBorder="1" applyAlignment="1">
      <alignment horizontal="right" vertical="center"/>
    </xf>
    <xf numFmtId="0" fontId="5" fillId="34" borderId="10" xfId="56" applyFont="1" applyFill="1" applyBorder="1" applyAlignment="1">
      <alignment vertical="center" wrapText="1"/>
      <protection/>
    </xf>
    <xf numFmtId="3" fontId="5" fillId="34" borderId="10" xfId="46" applyNumberFormat="1" applyFont="1" applyFill="1" applyBorder="1" applyAlignment="1">
      <alignment horizontal="right" vertical="center" wrapText="1"/>
    </xf>
    <xf numFmtId="0" fontId="7" fillId="34" borderId="10" xfId="56" applyFont="1" applyFill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/>
    </xf>
    <xf numFmtId="0" fontId="5" fillId="0" borderId="0" xfId="56" applyFont="1" applyAlignment="1">
      <alignment horizontal="right" vertical="center"/>
      <protection/>
    </xf>
    <xf numFmtId="3" fontId="5" fillId="34" borderId="28" xfId="46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vertical="center"/>
    </xf>
    <xf numFmtId="0" fontId="9" fillId="0" borderId="0" xfId="0" applyFont="1" applyAlignment="1">
      <alignment/>
    </xf>
    <xf numFmtId="1" fontId="4" fillId="0" borderId="0" xfId="0" applyNumberFormat="1" applyFont="1" applyAlignment="1">
      <alignment/>
    </xf>
    <xf numFmtId="3" fontId="9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5" fillId="0" borderId="31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3" fontId="5" fillId="0" borderId="0" xfId="56" applyNumberFormat="1" applyFont="1" applyAlignment="1">
      <alignment vertical="center"/>
      <protection/>
    </xf>
    <xf numFmtId="0" fontId="5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2" borderId="2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164" fontId="10" fillId="0" borderId="0" xfId="0" applyNumberFormat="1" applyFont="1" applyAlignment="1">
      <alignment vertical="center"/>
    </xf>
    <xf numFmtId="164" fontId="10" fillId="0" borderId="0" xfId="46" applyNumberFormat="1" applyFont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28" xfId="56" applyFont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5" fillId="0" borderId="22" xfId="56" applyFont="1" applyBorder="1" applyAlignment="1">
      <alignment vertical="center" wrapText="1"/>
      <protection/>
    </xf>
    <xf numFmtId="0" fontId="4" fillId="0" borderId="31" xfId="0" applyFont="1" applyBorder="1" applyAlignment="1">
      <alignment vertical="center"/>
    </xf>
    <xf numFmtId="0" fontId="4" fillId="0" borderId="31" xfId="0" applyFont="1" applyBorder="1" applyAlignment="1">
      <alignment horizontal="right" vertical="center"/>
    </xf>
    <xf numFmtId="0" fontId="5" fillId="0" borderId="10" xfId="57" applyFont="1" applyFill="1" applyBorder="1" applyAlignment="1">
      <alignment horizontal="center"/>
      <protection/>
    </xf>
    <xf numFmtId="0" fontId="5" fillId="0" borderId="10" xfId="57" applyFont="1" applyFill="1" applyBorder="1">
      <alignment/>
      <protection/>
    </xf>
    <xf numFmtId="0" fontId="7" fillId="0" borderId="10" xfId="57" applyFont="1" applyFill="1" applyBorder="1">
      <alignment/>
      <protection/>
    </xf>
    <xf numFmtId="0" fontId="5" fillId="0" borderId="0" xfId="57" applyFont="1" applyFill="1">
      <alignment/>
      <protection/>
    </xf>
    <xf numFmtId="0" fontId="13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3" fontId="63" fillId="0" borderId="0" xfId="0" applyNumberFormat="1" applyFont="1" applyAlignment="1">
      <alignment vertical="center"/>
    </xf>
    <xf numFmtId="3" fontId="5" fillId="0" borderId="22" xfId="46" applyNumberFormat="1" applyFont="1" applyBorder="1" applyAlignment="1">
      <alignment vertical="center"/>
    </xf>
    <xf numFmtId="3" fontId="5" fillId="0" borderId="28" xfId="46" applyNumberFormat="1" applyFont="1" applyFill="1" applyBorder="1" applyAlignment="1">
      <alignment vertical="center"/>
    </xf>
    <xf numFmtId="3" fontId="5" fillId="0" borderId="32" xfId="46" applyNumberFormat="1" applyFont="1" applyBorder="1" applyAlignment="1">
      <alignment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3" fontId="5" fillId="0" borderId="33" xfId="46" applyNumberFormat="1" applyFont="1" applyBorder="1" applyAlignment="1">
      <alignment vertical="center"/>
    </xf>
    <xf numFmtId="3" fontId="5" fillId="34" borderId="34" xfId="46" applyNumberFormat="1" applyFont="1" applyFill="1" applyBorder="1" applyAlignment="1">
      <alignment vertical="center"/>
    </xf>
    <xf numFmtId="0" fontId="16" fillId="0" borderId="18" xfId="0" applyFont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3" fontId="63" fillId="0" borderId="0" xfId="0" applyNumberFormat="1" applyFont="1" applyAlignment="1">
      <alignment/>
    </xf>
    <xf numFmtId="0" fontId="63" fillId="0" borderId="0" xfId="0" applyFont="1" applyAlignment="1">
      <alignment vertical="center"/>
    </xf>
    <xf numFmtId="164" fontId="7" fillId="0" borderId="12" xfId="46" applyNumberFormat="1" applyFont="1" applyFill="1" applyBorder="1" applyAlignment="1">
      <alignment vertical="center"/>
    </xf>
    <xf numFmtId="165" fontId="63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65" fontId="63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>
      <alignment/>
    </xf>
    <xf numFmtId="10" fontId="7" fillId="0" borderId="0" xfId="0" applyNumberFormat="1" applyFont="1" applyFill="1" applyBorder="1" applyAlignment="1">
      <alignment/>
    </xf>
    <xf numFmtId="10" fontId="7" fillId="0" borderId="0" xfId="0" applyNumberFormat="1" applyFont="1" applyFill="1" applyBorder="1" applyAlignment="1">
      <alignment vertical="center"/>
    </xf>
    <xf numFmtId="165" fontId="64" fillId="0" borderId="0" xfId="0" applyNumberFormat="1" applyFont="1" applyAlignment="1">
      <alignment vertical="center"/>
    </xf>
    <xf numFmtId="0" fontId="5" fillId="32" borderId="35" xfId="0" applyFont="1" applyFill="1" applyBorder="1" applyAlignment="1">
      <alignment horizontal="center" vertical="center"/>
    </xf>
    <xf numFmtId="0" fontId="5" fillId="32" borderId="28" xfId="0" applyFont="1" applyFill="1" applyBorder="1" applyAlignment="1">
      <alignment horizontal="center" vertical="center" wrapText="1"/>
    </xf>
    <xf numFmtId="0" fontId="5" fillId="0" borderId="27" xfId="56" applyFont="1" applyBorder="1" applyAlignment="1">
      <alignment vertical="center" wrapText="1"/>
      <protection/>
    </xf>
    <xf numFmtId="3" fontId="5" fillId="0" borderId="36" xfId="46" applyNumberFormat="1" applyFont="1" applyBorder="1" applyAlignment="1">
      <alignment vertical="center"/>
    </xf>
    <xf numFmtId="0" fontId="5" fillId="0" borderId="29" xfId="56" applyFont="1" applyFill="1" applyBorder="1" applyAlignment="1">
      <alignment vertical="center" wrapText="1"/>
      <protection/>
    </xf>
    <xf numFmtId="3" fontId="5" fillId="0" borderId="31" xfId="46" applyNumberFormat="1" applyFont="1" applyBorder="1" applyAlignment="1">
      <alignment vertical="center"/>
    </xf>
    <xf numFmtId="0" fontId="5" fillId="32" borderId="37" xfId="0" applyFont="1" applyFill="1" applyBorder="1" applyAlignment="1">
      <alignment horizontal="center" vertical="center" wrapText="1"/>
    </xf>
    <xf numFmtId="0" fontId="7" fillId="0" borderId="38" xfId="56" applyFont="1" applyBorder="1" applyAlignment="1">
      <alignment vertical="center" wrapText="1"/>
      <protection/>
    </xf>
    <xf numFmtId="3" fontId="7" fillId="0" borderId="39" xfId="46" applyNumberFormat="1" applyFont="1" applyBorder="1" applyAlignment="1">
      <alignment vertical="center"/>
    </xf>
    <xf numFmtId="3" fontId="7" fillId="0" borderId="37" xfId="46" applyNumberFormat="1" applyFont="1" applyBorder="1" applyAlignment="1">
      <alignment vertical="center"/>
    </xf>
    <xf numFmtId="3" fontId="7" fillId="0" borderId="38" xfId="46" applyNumberFormat="1" applyFont="1" applyBorder="1" applyAlignment="1">
      <alignment vertical="center"/>
    </xf>
    <xf numFmtId="3" fontId="7" fillId="0" borderId="40" xfId="46" applyNumberFormat="1" applyFont="1" applyBorder="1" applyAlignment="1">
      <alignment vertical="center"/>
    </xf>
    <xf numFmtId="3" fontId="7" fillId="0" borderId="41" xfId="46" applyNumberFormat="1" applyFont="1" applyBorder="1" applyAlignment="1">
      <alignment vertical="center"/>
    </xf>
    <xf numFmtId="3" fontId="7" fillId="0" borderId="42" xfId="46" applyNumberFormat="1" applyFont="1" applyBorder="1" applyAlignment="1">
      <alignment vertical="center"/>
    </xf>
    <xf numFmtId="3" fontId="7" fillId="0" borderId="43" xfId="46" applyNumberFormat="1" applyFont="1" applyBorder="1" applyAlignment="1">
      <alignment vertical="center"/>
    </xf>
    <xf numFmtId="0" fontId="5" fillId="0" borderId="27" xfId="56" applyFont="1" applyFill="1" applyBorder="1" applyAlignment="1">
      <alignment vertical="center" wrapText="1"/>
      <protection/>
    </xf>
    <xf numFmtId="3" fontId="5" fillId="0" borderId="15" xfId="46" applyNumberFormat="1" applyFont="1" applyBorder="1" applyAlignment="1">
      <alignment horizontal="center" vertical="center"/>
    </xf>
    <xf numFmtId="10" fontId="18" fillId="0" borderId="15" xfId="46" applyNumberFormat="1" applyFont="1" applyBorder="1" applyAlignment="1">
      <alignment vertical="center"/>
    </xf>
    <xf numFmtId="10" fontId="3" fillId="0" borderId="39" xfId="46" applyNumberFormat="1" applyFont="1" applyBorder="1" applyAlignment="1">
      <alignment vertical="center"/>
    </xf>
    <xf numFmtId="10" fontId="18" fillId="0" borderId="35" xfId="46" applyNumberFormat="1" applyFont="1" applyBorder="1" applyAlignment="1">
      <alignment vertical="center"/>
    </xf>
    <xf numFmtId="10" fontId="3" fillId="0" borderId="40" xfId="46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10" fontId="18" fillId="0" borderId="0" xfId="46" applyNumberFormat="1" applyFont="1" applyBorder="1" applyAlignment="1">
      <alignment vertical="center"/>
    </xf>
    <xf numFmtId="10" fontId="3" fillId="0" borderId="0" xfId="46" applyNumberFormat="1" applyFont="1" applyBorder="1" applyAlignment="1">
      <alignment vertical="center"/>
    </xf>
    <xf numFmtId="9" fontId="3" fillId="0" borderId="30" xfId="46" applyNumberFormat="1" applyFont="1" applyBorder="1" applyAlignment="1">
      <alignment vertical="center"/>
    </xf>
    <xf numFmtId="9" fontId="3" fillId="0" borderId="34" xfId="46" applyNumberFormat="1" applyFont="1" applyBorder="1" applyAlignment="1">
      <alignment vertical="center"/>
    </xf>
    <xf numFmtId="9" fontId="3" fillId="0" borderId="42" xfId="46" applyNumberFormat="1" applyFont="1" applyBorder="1" applyAlignment="1">
      <alignment vertical="center"/>
    </xf>
    <xf numFmtId="9" fontId="3" fillId="0" borderId="33" xfId="46" applyNumberFormat="1" applyFont="1" applyBorder="1" applyAlignment="1">
      <alignment vertical="center"/>
    </xf>
    <xf numFmtId="9" fontId="3" fillId="0" borderId="10" xfId="46" applyNumberFormat="1" applyFont="1" applyBorder="1" applyAlignment="1">
      <alignment vertical="center"/>
    </xf>
    <xf numFmtId="9" fontId="3" fillId="0" borderId="12" xfId="46" applyNumberFormat="1" applyFont="1" applyBorder="1" applyAlignment="1">
      <alignment vertical="center"/>
    </xf>
    <xf numFmtId="9" fontId="3" fillId="0" borderId="15" xfId="46" applyNumberFormat="1" applyFont="1" applyBorder="1" applyAlignment="1">
      <alignment vertical="center"/>
    </xf>
    <xf numFmtId="9" fontId="3" fillId="0" borderId="35" xfId="46" applyNumberFormat="1" applyFont="1" applyBorder="1" applyAlignment="1">
      <alignment vertical="center"/>
    </xf>
    <xf numFmtId="9" fontId="3" fillId="0" borderId="39" xfId="46" applyNumberFormat="1" applyFont="1" applyBorder="1" applyAlignment="1">
      <alignment vertical="center"/>
    </xf>
    <xf numFmtId="9" fontId="3" fillId="0" borderId="40" xfId="46" applyNumberFormat="1" applyFont="1" applyBorder="1" applyAlignment="1">
      <alignment vertical="center"/>
    </xf>
    <xf numFmtId="9" fontId="3" fillId="0" borderId="11" xfId="46" applyNumberFormat="1" applyFont="1" applyBorder="1" applyAlignment="1">
      <alignment vertical="center"/>
    </xf>
    <xf numFmtId="9" fontId="3" fillId="0" borderId="44" xfId="46" applyNumberFormat="1" applyFont="1" applyBorder="1" applyAlignment="1">
      <alignment vertical="center"/>
    </xf>
    <xf numFmtId="165" fontId="64" fillId="0" borderId="0" xfId="0" applyNumberFormat="1" applyFont="1" applyAlignment="1">
      <alignment/>
    </xf>
    <xf numFmtId="0" fontId="5" fillId="32" borderId="28" xfId="0" applyFont="1" applyFill="1" applyBorder="1" applyAlignment="1">
      <alignment horizontal="center"/>
    </xf>
    <xf numFmtId="0" fontId="5" fillId="32" borderId="34" xfId="0" applyFont="1" applyFill="1" applyBorder="1" applyAlignment="1">
      <alignment horizontal="center" vertical="center"/>
    </xf>
    <xf numFmtId="0" fontId="5" fillId="0" borderId="26" xfId="56" applyFont="1" applyBorder="1" applyAlignment="1">
      <alignment vertical="center" wrapText="1"/>
      <protection/>
    </xf>
    <xf numFmtId="0" fontId="7" fillId="0" borderId="45" xfId="56" applyFont="1" applyBorder="1" applyAlignment="1">
      <alignment vertical="center" wrapText="1"/>
      <protection/>
    </xf>
    <xf numFmtId="10" fontId="18" fillId="0" borderId="17" xfId="46" applyNumberFormat="1" applyFont="1" applyBorder="1" applyAlignment="1">
      <alignment vertical="center"/>
    </xf>
    <xf numFmtId="0" fontId="13" fillId="0" borderId="28" xfId="0" applyFont="1" applyBorder="1" applyAlignment="1">
      <alignment horizontal="center" vertical="center"/>
    </xf>
    <xf numFmtId="0" fontId="5" fillId="0" borderId="24" xfId="56" applyFont="1" applyFill="1" applyBorder="1" applyAlignment="1">
      <alignment vertical="center" wrapText="1"/>
      <protection/>
    </xf>
    <xf numFmtId="0" fontId="5" fillId="0" borderId="21" xfId="56" applyFont="1" applyFill="1" applyBorder="1" applyAlignment="1">
      <alignment vertical="center" wrapText="1"/>
      <protection/>
    </xf>
    <xf numFmtId="165" fontId="5" fillId="0" borderId="0" xfId="0" applyNumberFormat="1" applyFont="1" applyAlignment="1">
      <alignment/>
    </xf>
    <xf numFmtId="165" fontId="10" fillId="0" borderId="0" xfId="0" applyNumberFormat="1" applyFont="1" applyAlignment="1">
      <alignment vertical="center"/>
    </xf>
    <xf numFmtId="3" fontId="7" fillId="0" borderId="10" xfId="56" applyNumberFormat="1" applyFont="1" applyBorder="1" applyAlignment="1">
      <alignment vertical="center"/>
      <protection/>
    </xf>
    <xf numFmtId="165" fontId="5" fillId="32" borderId="15" xfId="46" applyNumberFormat="1" applyFont="1" applyFill="1" applyBorder="1" applyAlignment="1">
      <alignment horizontal="center" vertical="center"/>
    </xf>
    <xf numFmtId="165" fontId="7" fillId="0" borderId="11" xfId="46" applyNumberFormat="1" applyFont="1" applyBorder="1" applyAlignment="1">
      <alignment vertical="center"/>
    </xf>
    <xf numFmtId="165" fontId="7" fillId="0" borderId="10" xfId="46" applyNumberFormat="1" applyFont="1" applyBorder="1" applyAlignment="1">
      <alignment horizontal="center" vertical="center" wrapText="1"/>
    </xf>
    <xf numFmtId="0" fontId="7" fillId="0" borderId="14" xfId="56" applyFont="1" applyBorder="1" applyAlignment="1">
      <alignment vertical="center"/>
      <protection/>
    </xf>
    <xf numFmtId="165" fontId="5" fillId="0" borderId="0" xfId="56" applyNumberFormat="1" applyFont="1" applyAlignment="1">
      <alignment vertical="center"/>
      <protection/>
    </xf>
    <xf numFmtId="0" fontId="5" fillId="0" borderId="16" xfId="56" applyFont="1" applyBorder="1" applyAlignment="1">
      <alignment horizontal="center" vertical="center"/>
      <protection/>
    </xf>
    <xf numFmtId="0" fontId="5" fillId="0" borderId="28" xfId="56" applyFont="1" applyBorder="1" applyAlignment="1">
      <alignment horizontal="center" vertical="center"/>
      <protection/>
    </xf>
    <xf numFmtId="0" fontId="5" fillId="0" borderId="15" xfId="56" applyFont="1" applyBorder="1" applyAlignment="1">
      <alignment vertical="center"/>
      <protection/>
    </xf>
    <xf numFmtId="0" fontId="5" fillId="0" borderId="17" xfId="56" applyFont="1" applyBorder="1" applyAlignment="1">
      <alignment vertical="center" wrapText="1"/>
      <protection/>
    </xf>
    <xf numFmtId="0" fontId="5" fillId="0" borderId="17" xfId="56" applyFont="1" applyBorder="1" applyAlignment="1">
      <alignment vertical="center"/>
      <protection/>
    </xf>
    <xf numFmtId="3" fontId="5" fillId="0" borderId="0" xfId="0" applyNumberFormat="1" applyFont="1" applyFill="1" applyAlignment="1">
      <alignment vertical="center"/>
    </xf>
    <xf numFmtId="3" fontId="7" fillId="0" borderId="11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7" fillId="0" borderId="4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164" fontId="7" fillId="0" borderId="31" xfId="46" applyNumberFormat="1" applyFont="1" applyFill="1" applyBorder="1" applyAlignment="1">
      <alignment horizontal="center" vertical="center" wrapText="1"/>
    </xf>
    <xf numFmtId="3" fontId="63" fillId="0" borderId="0" xfId="56" applyNumberFormat="1" applyFont="1" applyAlignment="1">
      <alignment vertical="center"/>
      <protection/>
    </xf>
    <xf numFmtId="3" fontId="65" fillId="0" borderId="0" xfId="56" applyNumberFormat="1" applyFont="1" applyAlignment="1">
      <alignment vertical="center"/>
      <protection/>
    </xf>
    <xf numFmtId="3" fontId="5" fillId="0" borderId="0" xfId="0" applyNumberFormat="1" applyFont="1" applyAlignment="1">
      <alignment/>
    </xf>
    <xf numFmtId="0" fontId="66" fillId="0" borderId="18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19" fillId="0" borderId="0" xfId="57" applyFont="1" applyFill="1" applyBorder="1" applyAlignment="1">
      <alignment vertical="center"/>
      <protection/>
    </xf>
    <xf numFmtId="0" fontId="19" fillId="0" borderId="0" xfId="57" applyFont="1" applyAlignment="1">
      <alignment vertical="center"/>
      <protection/>
    </xf>
    <xf numFmtId="0" fontId="17" fillId="0" borderId="0" xfId="56" applyFont="1" applyFill="1" applyAlignment="1">
      <alignment vertical="center"/>
      <protection/>
    </xf>
    <xf numFmtId="0" fontId="17" fillId="0" borderId="0" xfId="56" applyFont="1" applyFill="1" applyAlignment="1">
      <alignment horizontal="right" vertical="center"/>
      <protection/>
    </xf>
    <xf numFmtId="0" fontId="67" fillId="0" borderId="0" xfId="57" applyFont="1" applyAlignment="1">
      <alignment vertical="center"/>
      <protection/>
    </xf>
    <xf numFmtId="0" fontId="17" fillId="0" borderId="0" xfId="56" applyFont="1" applyAlignment="1">
      <alignment vertical="center"/>
      <protection/>
    </xf>
    <xf numFmtId="0" fontId="17" fillId="0" borderId="0" xfId="57" applyFont="1" applyAlignment="1">
      <alignment horizontal="center" vertical="center"/>
      <protection/>
    </xf>
    <xf numFmtId="0" fontId="19" fillId="0" borderId="0" xfId="57" applyFont="1" applyFill="1" applyAlignment="1">
      <alignment vertical="center"/>
      <protection/>
    </xf>
    <xf numFmtId="0" fontId="20" fillId="0" borderId="0" xfId="57" applyFont="1" applyFill="1" applyBorder="1" applyAlignment="1">
      <alignment vertical="center" wrapText="1"/>
      <protection/>
    </xf>
    <xf numFmtId="0" fontId="67" fillId="0" borderId="0" xfId="57" applyFont="1" applyFill="1" applyAlignment="1">
      <alignment vertical="center"/>
      <protection/>
    </xf>
    <xf numFmtId="0" fontId="19" fillId="0" borderId="0" xfId="57" applyFont="1" applyFill="1" applyBorder="1" applyAlignment="1">
      <alignment horizontal="center" vertical="center"/>
      <protection/>
    </xf>
    <xf numFmtId="0" fontId="17" fillId="0" borderId="31" xfId="57" applyFont="1" applyBorder="1" applyAlignment="1">
      <alignment vertical="center"/>
      <protection/>
    </xf>
    <xf numFmtId="0" fontId="17" fillId="0" borderId="0" xfId="0" applyFont="1" applyAlignment="1">
      <alignment horizontal="right" vertical="center"/>
    </xf>
    <xf numFmtId="0" fontId="67" fillId="34" borderId="0" xfId="57" applyFont="1" applyFill="1" applyAlignment="1">
      <alignment vertical="center"/>
      <protection/>
    </xf>
    <xf numFmtId="0" fontId="19" fillId="32" borderId="10" xfId="57" applyFont="1" applyFill="1" applyBorder="1" applyAlignment="1">
      <alignment horizontal="center" vertical="center"/>
      <protection/>
    </xf>
    <xf numFmtId="0" fontId="17" fillId="32" borderId="10" xfId="57" applyFont="1" applyFill="1" applyBorder="1" applyAlignment="1">
      <alignment horizontal="center" vertical="center"/>
      <protection/>
    </xf>
    <xf numFmtId="0" fontId="67" fillId="34" borderId="0" xfId="57" applyFont="1" applyFill="1" applyBorder="1" applyAlignment="1">
      <alignment horizontal="center" vertical="center"/>
      <protection/>
    </xf>
    <xf numFmtId="0" fontId="17" fillId="32" borderId="11" xfId="57" applyFont="1" applyFill="1" applyBorder="1" applyAlignment="1">
      <alignment horizontal="center" vertical="center"/>
      <protection/>
    </xf>
    <xf numFmtId="0" fontId="16" fillId="0" borderId="10" xfId="57" applyFont="1" applyBorder="1" applyAlignment="1">
      <alignment vertical="center"/>
      <protection/>
    </xf>
    <xf numFmtId="0" fontId="17" fillId="0" borderId="10" xfId="56" applyFont="1" applyFill="1" applyBorder="1" applyAlignment="1">
      <alignment vertical="center" wrapText="1"/>
      <protection/>
    </xf>
    <xf numFmtId="3" fontId="17" fillId="0" borderId="18" xfId="46" applyNumberFormat="1" applyFont="1" applyBorder="1" applyAlignment="1">
      <alignment horizontal="right" vertical="center"/>
    </xf>
    <xf numFmtId="3" fontId="17" fillId="0" borderId="10" xfId="46" applyNumberFormat="1" applyFont="1" applyFill="1" applyBorder="1" applyAlignment="1">
      <alignment horizontal="right" vertical="center"/>
    </xf>
    <xf numFmtId="3" fontId="67" fillId="0" borderId="0" xfId="57" applyNumberFormat="1" applyFont="1" applyAlignment="1">
      <alignment vertical="center"/>
      <protection/>
    </xf>
    <xf numFmtId="0" fontId="17" fillId="0" borderId="10" xfId="56" applyFont="1" applyBorder="1" applyAlignment="1">
      <alignment vertical="center" wrapText="1"/>
      <protection/>
    </xf>
    <xf numFmtId="3" fontId="17" fillId="0" borderId="10" xfId="46" applyNumberFormat="1" applyFont="1" applyBorder="1" applyAlignment="1">
      <alignment horizontal="right" vertical="center" wrapText="1"/>
    </xf>
    <xf numFmtId="3" fontId="17" fillId="0" borderId="10" xfId="46" applyNumberFormat="1" applyFont="1" applyBorder="1" applyAlignment="1">
      <alignment horizontal="right" vertical="center"/>
    </xf>
    <xf numFmtId="0" fontId="16" fillId="32" borderId="10" xfId="57" applyFont="1" applyFill="1" applyBorder="1" applyAlignment="1">
      <alignment horizontal="center" vertical="center"/>
      <protection/>
    </xf>
    <xf numFmtId="0" fontId="16" fillId="0" borderId="10" xfId="56" applyFont="1" applyBorder="1" applyAlignment="1">
      <alignment vertical="center" wrapText="1"/>
      <protection/>
    </xf>
    <xf numFmtId="3" fontId="16" fillId="0" borderId="10" xfId="46" applyNumberFormat="1" applyFont="1" applyBorder="1" applyAlignment="1">
      <alignment horizontal="right" vertical="center"/>
    </xf>
    <xf numFmtId="0" fontId="20" fillId="0" borderId="0" xfId="57" applyFont="1" applyAlignment="1">
      <alignment vertical="center"/>
      <protection/>
    </xf>
    <xf numFmtId="0" fontId="19" fillId="0" borderId="0" xfId="57" applyFont="1" applyBorder="1" applyAlignment="1">
      <alignment horizontal="center" vertical="center"/>
      <protection/>
    </xf>
    <xf numFmtId="3" fontId="19" fillId="0" borderId="0" xfId="57" applyNumberFormat="1" applyFont="1" applyBorder="1" applyAlignment="1">
      <alignment horizontal="center" vertical="center"/>
      <protection/>
    </xf>
    <xf numFmtId="0" fontId="16" fillId="0" borderId="0" xfId="0" applyFont="1" applyAlignment="1">
      <alignment vertical="center" wrapText="1"/>
    </xf>
    <xf numFmtId="10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10" fontId="5" fillId="0" borderId="0" xfId="0" applyNumberFormat="1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64" fontId="5" fillId="0" borderId="0" xfId="46" applyNumberFormat="1" applyFont="1" applyFill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47" xfId="0" applyNumberFormat="1" applyFont="1" applyBorder="1" applyAlignment="1">
      <alignment vertical="center"/>
    </xf>
    <xf numFmtId="0" fontId="10" fillId="0" borderId="48" xfId="0" applyFont="1" applyBorder="1" applyAlignment="1">
      <alignment vertical="center"/>
    </xf>
    <xf numFmtId="3" fontId="5" fillId="34" borderId="10" xfId="0" applyNumberFormat="1" applyFont="1" applyFill="1" applyBorder="1" applyAlignment="1">
      <alignment vertical="center"/>
    </xf>
    <xf numFmtId="0" fontId="5" fillId="9" borderId="0" xfId="0" applyFont="1" applyFill="1" applyBorder="1" applyAlignment="1">
      <alignment vertical="center"/>
    </xf>
    <xf numFmtId="0" fontId="5" fillId="9" borderId="15" xfId="0" applyFont="1" applyFill="1" applyBorder="1" applyAlignment="1">
      <alignment horizontal="center"/>
    </xf>
    <xf numFmtId="0" fontId="16" fillId="9" borderId="21" xfId="0" applyFont="1" applyFill="1" applyBorder="1" applyAlignment="1">
      <alignment horizontal="center" vertical="center" wrapText="1"/>
    </xf>
    <xf numFmtId="0" fontId="16" fillId="9" borderId="10" xfId="0" applyFont="1" applyFill="1" applyBorder="1" applyAlignment="1">
      <alignment horizontal="center" vertical="center" wrapText="1"/>
    </xf>
    <xf numFmtId="0" fontId="16" fillId="9" borderId="12" xfId="0" applyFont="1" applyFill="1" applyBorder="1" applyAlignment="1">
      <alignment horizontal="center" vertical="center" wrapText="1"/>
    </xf>
    <xf numFmtId="3" fontId="5" fillId="9" borderId="21" xfId="46" applyNumberFormat="1" applyFont="1" applyFill="1" applyBorder="1" applyAlignment="1">
      <alignment vertical="center"/>
    </xf>
    <xf numFmtId="3" fontId="5" fillId="9" borderId="10" xfId="46" applyNumberFormat="1" applyFont="1" applyFill="1" applyBorder="1" applyAlignment="1">
      <alignment vertical="center"/>
    </xf>
    <xf numFmtId="3" fontId="5" fillId="9" borderId="12" xfId="46" applyNumberFormat="1" applyFont="1" applyFill="1" applyBorder="1" applyAlignment="1">
      <alignment vertical="center"/>
    </xf>
    <xf numFmtId="3" fontId="5" fillId="9" borderId="27" xfId="46" applyNumberFormat="1" applyFont="1" applyFill="1" applyBorder="1" applyAlignment="1">
      <alignment vertical="center"/>
    </xf>
    <xf numFmtId="3" fontId="5" fillId="9" borderId="15" xfId="46" applyNumberFormat="1" applyFont="1" applyFill="1" applyBorder="1" applyAlignment="1">
      <alignment vertical="center"/>
    </xf>
    <xf numFmtId="3" fontId="5" fillId="9" borderId="35" xfId="46" applyNumberFormat="1" applyFont="1" applyFill="1" applyBorder="1" applyAlignment="1">
      <alignment vertical="center"/>
    </xf>
    <xf numFmtId="3" fontId="7" fillId="9" borderId="38" xfId="46" applyNumberFormat="1" applyFont="1" applyFill="1" applyBorder="1" applyAlignment="1">
      <alignment vertical="center"/>
    </xf>
    <xf numFmtId="3" fontId="7" fillId="9" borderId="41" xfId="46" applyNumberFormat="1" applyFont="1" applyFill="1" applyBorder="1" applyAlignment="1">
      <alignment vertical="center"/>
    </xf>
    <xf numFmtId="3" fontId="5" fillId="9" borderId="49" xfId="46" applyNumberFormat="1" applyFont="1" applyFill="1" applyBorder="1" applyAlignment="1">
      <alignment vertical="center"/>
    </xf>
    <xf numFmtId="3" fontId="5" fillId="9" borderId="20" xfId="46" applyNumberFormat="1" applyFont="1" applyFill="1" applyBorder="1" applyAlignment="1">
      <alignment vertical="center"/>
    </xf>
    <xf numFmtId="3" fontId="5" fillId="9" borderId="34" xfId="46" applyNumberFormat="1" applyFont="1" applyFill="1" applyBorder="1" applyAlignment="1">
      <alignment vertical="center"/>
    </xf>
    <xf numFmtId="3" fontId="5" fillId="9" borderId="28" xfId="46" applyNumberFormat="1" applyFont="1" applyFill="1" applyBorder="1" applyAlignment="1">
      <alignment vertical="center"/>
    </xf>
    <xf numFmtId="3" fontId="63" fillId="9" borderId="0" xfId="0" applyNumberFormat="1" applyFont="1" applyFill="1" applyAlignment="1">
      <alignment/>
    </xf>
    <xf numFmtId="165" fontId="64" fillId="9" borderId="0" xfId="0" applyNumberFormat="1" applyFont="1" applyFill="1" applyAlignment="1">
      <alignment/>
    </xf>
    <xf numFmtId="165" fontId="63" fillId="9" borderId="0" xfId="0" applyNumberFormat="1" applyFont="1" applyFill="1" applyAlignment="1">
      <alignment/>
    </xf>
    <xf numFmtId="10" fontId="18" fillId="9" borderId="35" xfId="46" applyNumberFormat="1" applyFont="1" applyFill="1" applyBorder="1" applyAlignment="1">
      <alignment vertical="center"/>
    </xf>
    <xf numFmtId="10" fontId="3" fillId="9" borderId="40" xfId="46" applyNumberFormat="1" applyFont="1" applyFill="1" applyBorder="1" applyAlignment="1">
      <alignment vertical="center"/>
    </xf>
    <xf numFmtId="10" fontId="18" fillId="9" borderId="50" xfId="46" applyNumberFormat="1" applyFont="1" applyFill="1" applyBorder="1" applyAlignment="1">
      <alignment vertical="center"/>
    </xf>
    <xf numFmtId="0" fontId="5" fillId="9" borderId="0" xfId="0" applyFont="1" applyFill="1" applyAlignment="1">
      <alignment/>
    </xf>
    <xf numFmtId="3" fontId="5" fillId="9" borderId="33" xfId="46" applyNumberFormat="1" applyFont="1" applyFill="1" applyBorder="1" applyAlignment="1">
      <alignment vertical="center"/>
    </xf>
    <xf numFmtId="10" fontId="18" fillId="9" borderId="15" xfId="46" applyNumberFormat="1" applyFont="1" applyFill="1" applyBorder="1" applyAlignment="1">
      <alignment vertical="center"/>
    </xf>
    <xf numFmtId="10" fontId="3" fillId="9" borderId="39" xfId="46" applyNumberFormat="1" applyFont="1" applyFill="1" applyBorder="1" applyAlignment="1">
      <alignment vertical="center"/>
    </xf>
    <xf numFmtId="10" fontId="18" fillId="9" borderId="17" xfId="46" applyNumberFormat="1" applyFont="1" applyFill="1" applyBorder="1" applyAlignment="1">
      <alignment vertical="center"/>
    </xf>
    <xf numFmtId="0" fontId="5" fillId="9" borderId="0" xfId="0" applyFont="1" applyFill="1" applyAlignment="1">
      <alignment vertical="center"/>
    </xf>
    <xf numFmtId="0" fontId="5" fillId="9" borderId="0" xfId="0" applyFont="1" applyFill="1" applyAlignment="1">
      <alignment horizontal="right" vertical="center"/>
    </xf>
    <xf numFmtId="0" fontId="5" fillId="9" borderId="28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3" fontId="5" fillId="9" borderId="30" xfId="46" applyNumberFormat="1" applyFont="1" applyFill="1" applyBorder="1" applyAlignment="1">
      <alignment vertical="center"/>
    </xf>
    <xf numFmtId="3" fontId="5" fillId="9" borderId="14" xfId="46" applyNumberFormat="1" applyFont="1" applyFill="1" applyBorder="1" applyAlignment="1">
      <alignment vertical="center"/>
    </xf>
    <xf numFmtId="3" fontId="7" fillId="9" borderId="42" xfId="46" applyNumberFormat="1" applyFont="1" applyFill="1" applyBorder="1" applyAlignment="1">
      <alignment vertical="center"/>
    </xf>
    <xf numFmtId="3" fontId="7" fillId="9" borderId="37" xfId="46" applyNumberFormat="1" applyFont="1" applyFill="1" applyBorder="1" applyAlignment="1">
      <alignment vertical="center"/>
    </xf>
    <xf numFmtId="3" fontId="7" fillId="9" borderId="40" xfId="46" applyNumberFormat="1" applyFont="1" applyFill="1" applyBorder="1" applyAlignment="1">
      <alignment vertical="center"/>
    </xf>
    <xf numFmtId="3" fontId="63" fillId="9" borderId="0" xfId="0" applyNumberFormat="1" applyFont="1" applyFill="1" applyAlignment="1">
      <alignment vertical="center"/>
    </xf>
    <xf numFmtId="165" fontId="64" fillId="9" borderId="0" xfId="0" applyNumberFormat="1" applyFont="1" applyFill="1" applyAlignment="1">
      <alignment vertical="center"/>
    </xf>
    <xf numFmtId="165" fontId="63" fillId="9" borderId="0" xfId="0" applyNumberFormat="1" applyFont="1" applyFill="1" applyAlignment="1">
      <alignment vertical="center"/>
    </xf>
    <xf numFmtId="0" fontId="5" fillId="9" borderId="0" xfId="0" applyFont="1" applyFill="1" applyBorder="1" applyAlignment="1">
      <alignment horizontal="right" vertical="center"/>
    </xf>
    <xf numFmtId="0" fontId="16" fillId="9" borderId="18" xfId="0" applyFont="1" applyFill="1" applyBorder="1" applyAlignment="1">
      <alignment horizontal="center" vertical="center" wrapText="1"/>
    </xf>
    <xf numFmtId="3" fontId="7" fillId="9" borderId="18" xfId="46" applyNumberFormat="1" applyFont="1" applyFill="1" applyBorder="1" applyAlignment="1">
      <alignment vertical="center"/>
    </xf>
    <xf numFmtId="3" fontId="7" fillId="9" borderId="39" xfId="46" applyNumberFormat="1" applyFont="1" applyFill="1" applyBorder="1" applyAlignment="1">
      <alignment vertical="center"/>
    </xf>
    <xf numFmtId="3" fontId="5" fillId="9" borderId="29" xfId="46" applyNumberFormat="1" applyFont="1" applyFill="1" applyBorder="1" applyAlignment="1">
      <alignment vertical="center"/>
    </xf>
    <xf numFmtId="3" fontId="5" fillId="9" borderId="11" xfId="46" applyNumberFormat="1" applyFont="1" applyFill="1" applyBorder="1" applyAlignment="1">
      <alignment vertical="center"/>
    </xf>
    <xf numFmtId="0" fontId="63" fillId="0" borderId="0" xfId="0" applyFont="1" applyAlignment="1">
      <alignment/>
    </xf>
    <xf numFmtId="0" fontId="63" fillId="9" borderId="0" xfId="0" applyFont="1" applyFill="1" applyAlignment="1">
      <alignment/>
    </xf>
    <xf numFmtId="3" fontId="63" fillId="0" borderId="0" xfId="46" applyNumberFormat="1" applyFont="1" applyBorder="1" applyAlignment="1">
      <alignment vertical="center"/>
    </xf>
    <xf numFmtId="0" fontId="63" fillId="9" borderId="0" xfId="0" applyFont="1" applyFill="1" applyAlignment="1">
      <alignment vertical="center"/>
    </xf>
    <xf numFmtId="0" fontId="65" fillId="0" borderId="0" xfId="0" applyFont="1" applyAlignment="1">
      <alignment/>
    </xf>
    <xf numFmtId="10" fontId="68" fillId="0" borderId="0" xfId="46" applyNumberFormat="1" applyFont="1" applyBorder="1" applyAlignment="1">
      <alignment vertical="center"/>
    </xf>
    <xf numFmtId="9" fontId="3" fillId="0" borderId="38" xfId="46" applyNumberFormat="1" applyFont="1" applyBorder="1" applyAlignment="1">
      <alignment vertical="center"/>
    </xf>
    <xf numFmtId="0" fontId="5" fillId="32" borderId="35" xfId="0" applyFont="1" applyFill="1" applyBorder="1" applyAlignment="1">
      <alignment horizontal="center" vertical="center" wrapText="1"/>
    </xf>
    <xf numFmtId="0" fontId="5" fillId="32" borderId="50" xfId="0" applyFont="1" applyFill="1" applyBorder="1" applyAlignment="1">
      <alignment horizontal="center" vertical="center" wrapText="1"/>
    </xf>
    <xf numFmtId="0" fontId="5" fillId="32" borderId="44" xfId="0" applyFont="1" applyFill="1" applyBorder="1" applyAlignment="1">
      <alignment horizontal="center" vertical="center" wrapText="1"/>
    </xf>
    <xf numFmtId="0" fontId="7" fillId="0" borderId="51" xfId="56" applyFont="1" applyBorder="1" applyAlignment="1">
      <alignment horizontal="center" vertical="center" wrapText="1"/>
      <protection/>
    </xf>
    <xf numFmtId="0" fontId="7" fillId="0" borderId="21" xfId="56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9" borderId="52" xfId="0" applyFont="1" applyFill="1" applyBorder="1" applyAlignment="1">
      <alignment horizontal="center" vertical="center" wrapText="1"/>
    </xf>
    <xf numFmtId="0" fontId="7" fillId="9" borderId="48" xfId="0" applyFont="1" applyFill="1" applyBorder="1" applyAlignment="1">
      <alignment horizontal="center" vertical="center" wrapText="1"/>
    </xf>
    <xf numFmtId="0" fontId="7" fillId="9" borderId="53" xfId="0" applyFont="1" applyFill="1" applyBorder="1" applyAlignment="1">
      <alignment horizontal="center" vertical="center" wrapText="1"/>
    </xf>
    <xf numFmtId="0" fontId="7" fillId="9" borderId="18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>
      <alignment horizontal="center" vertical="center" wrapText="1"/>
    </xf>
    <xf numFmtId="0" fontId="7" fillId="9" borderId="51" xfId="0" applyFont="1" applyFill="1" applyBorder="1" applyAlignment="1">
      <alignment horizontal="center" vertical="center" wrapText="1"/>
    </xf>
    <xf numFmtId="0" fontId="7" fillId="9" borderId="21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9" borderId="59" xfId="0" applyFont="1" applyFill="1" applyBorder="1" applyAlignment="1">
      <alignment horizontal="center" vertical="center" wrapText="1"/>
    </xf>
    <xf numFmtId="0" fontId="7" fillId="9" borderId="60" xfId="0" applyFont="1" applyFill="1" applyBorder="1" applyAlignment="1">
      <alignment horizontal="center" vertical="center" wrapText="1"/>
    </xf>
    <xf numFmtId="0" fontId="7" fillId="9" borderId="61" xfId="0" applyFont="1" applyFill="1" applyBorder="1" applyAlignment="1">
      <alignment horizontal="center" vertical="center" wrapText="1"/>
    </xf>
    <xf numFmtId="0" fontId="7" fillId="9" borderId="49" xfId="0" applyFont="1" applyFill="1" applyBorder="1" applyAlignment="1">
      <alignment horizontal="center" vertical="center" wrapText="1"/>
    </xf>
    <xf numFmtId="0" fontId="7" fillId="9" borderId="0" xfId="0" applyFont="1" applyFill="1" applyBorder="1" applyAlignment="1">
      <alignment horizontal="center" vertical="center" wrapText="1"/>
    </xf>
    <xf numFmtId="0" fontId="7" fillId="9" borderId="57" xfId="0" applyFont="1" applyFill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56" applyFont="1" applyBorder="1" applyAlignment="1">
      <alignment horizontal="center" vertical="center" wrapText="1"/>
      <protection/>
    </xf>
    <xf numFmtId="0" fontId="7" fillId="0" borderId="33" xfId="56" applyFont="1" applyBorder="1" applyAlignment="1">
      <alignment horizontal="center" vertical="center" wrapText="1"/>
      <protection/>
    </xf>
    <xf numFmtId="0" fontId="7" fillId="0" borderId="24" xfId="56" applyFont="1" applyBorder="1" applyAlignment="1">
      <alignment horizontal="center" vertical="center" wrapText="1"/>
      <protection/>
    </xf>
    <xf numFmtId="0" fontId="7" fillId="0" borderId="61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164" fontId="5" fillId="0" borderId="35" xfId="46" applyNumberFormat="1" applyFont="1" applyBorder="1" applyAlignment="1">
      <alignment horizontal="center" vertical="center"/>
    </xf>
    <xf numFmtId="164" fontId="5" fillId="0" borderId="44" xfId="46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69" fillId="34" borderId="32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7" fillId="0" borderId="14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6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70" fillId="0" borderId="14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0" xfId="56" applyFont="1" applyFill="1" applyAlignment="1">
      <alignment horizontal="right" vertical="center"/>
      <protection/>
    </xf>
    <xf numFmtId="0" fontId="7" fillId="0" borderId="0" xfId="0" applyFont="1" applyFill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0" fillId="0" borderId="32" xfId="0" applyFont="1" applyBorder="1" applyAlignment="1">
      <alignment horizontal="left" vertical="center"/>
    </xf>
    <xf numFmtId="0" fontId="5" fillId="0" borderId="0" xfId="56" applyFont="1" applyAlignment="1">
      <alignment horizontal="right" vertical="center"/>
      <protection/>
    </xf>
    <xf numFmtId="0" fontId="5" fillId="0" borderId="0" xfId="0" applyFont="1" applyAlignment="1">
      <alignment horizontal="right"/>
    </xf>
    <xf numFmtId="0" fontId="7" fillId="0" borderId="14" xfId="56" applyFont="1" applyBorder="1" applyAlignment="1">
      <alignment horizontal="center" vertical="center" wrapText="1"/>
      <protection/>
    </xf>
    <xf numFmtId="0" fontId="7" fillId="0" borderId="32" xfId="56" applyFont="1" applyBorder="1" applyAlignment="1">
      <alignment horizontal="center" vertical="center"/>
      <protection/>
    </xf>
    <xf numFmtId="0" fontId="7" fillId="0" borderId="18" xfId="56" applyFont="1" applyBorder="1" applyAlignment="1">
      <alignment horizontal="center" vertical="center"/>
      <protection/>
    </xf>
    <xf numFmtId="0" fontId="5" fillId="0" borderId="0" xfId="56" applyFont="1" applyFill="1" applyBorder="1" applyAlignment="1">
      <alignment horizontal="center" vertical="center"/>
      <protection/>
    </xf>
    <xf numFmtId="0" fontId="7" fillId="0" borderId="0" xfId="56" applyFont="1" applyAlignment="1">
      <alignment horizontal="center" vertical="center" wrapText="1"/>
      <protection/>
    </xf>
    <xf numFmtId="0" fontId="5" fillId="0" borderId="0" xfId="56" applyFont="1" applyAlignment="1">
      <alignment horizontal="center" vertical="center" wrapText="1"/>
      <protection/>
    </xf>
    <xf numFmtId="0" fontId="7" fillId="0" borderId="32" xfId="56" applyFont="1" applyBorder="1" applyAlignment="1">
      <alignment vertical="center"/>
      <protection/>
    </xf>
    <xf numFmtId="0" fontId="7" fillId="0" borderId="18" xfId="56" applyFont="1" applyBorder="1" applyAlignment="1">
      <alignment vertical="center"/>
      <protection/>
    </xf>
    <xf numFmtId="0" fontId="7" fillId="0" borderId="28" xfId="56" applyFont="1" applyBorder="1" applyAlignment="1">
      <alignment horizontal="left" vertical="center"/>
      <protection/>
    </xf>
    <xf numFmtId="0" fontId="7" fillId="0" borderId="36" xfId="56" applyFont="1" applyBorder="1" applyAlignment="1">
      <alignment horizontal="left" vertical="center"/>
      <protection/>
    </xf>
    <xf numFmtId="0" fontId="7" fillId="0" borderId="14" xfId="56" applyFont="1" applyFill="1" applyBorder="1" applyAlignment="1">
      <alignment horizontal="left" vertical="center"/>
      <protection/>
    </xf>
    <xf numFmtId="0" fontId="7" fillId="0" borderId="32" xfId="56" applyFont="1" applyFill="1" applyBorder="1" applyAlignment="1">
      <alignment horizontal="left" vertical="center"/>
      <protection/>
    </xf>
    <xf numFmtId="0" fontId="7" fillId="0" borderId="18" xfId="56" applyFont="1" applyFill="1" applyBorder="1" applyAlignment="1">
      <alignment horizontal="left" vertical="center"/>
      <protection/>
    </xf>
    <xf numFmtId="0" fontId="7" fillId="0" borderId="14" xfId="56" applyFont="1" applyBorder="1" applyAlignment="1">
      <alignment horizontal="center" vertical="center"/>
      <protection/>
    </xf>
    <xf numFmtId="0" fontId="7" fillId="0" borderId="10" xfId="57" applyFont="1" applyBorder="1" applyAlignment="1">
      <alignment horizontal="left" vertical="center"/>
      <protection/>
    </xf>
    <xf numFmtId="0" fontId="5" fillId="0" borderId="10" xfId="0" applyFont="1" applyBorder="1" applyAlignment="1">
      <alignment/>
    </xf>
    <xf numFmtId="0" fontId="5" fillId="0" borderId="18" xfId="56" applyFont="1" applyBorder="1" applyAlignment="1">
      <alignment horizontal="center" vertical="center" textRotation="90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5" fillId="0" borderId="10" xfId="56" applyFont="1" applyBorder="1" applyAlignment="1">
      <alignment horizontal="center" vertical="center" textRotation="90" wrapText="1"/>
      <protection/>
    </xf>
    <xf numFmtId="0" fontId="5" fillId="0" borderId="10" xfId="57" applyFont="1" applyBorder="1" applyAlignment="1">
      <alignment horizontal="center" vertical="center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/>
      <protection/>
    </xf>
    <xf numFmtId="0" fontId="7" fillId="0" borderId="10" xfId="57" applyFont="1" applyBorder="1" applyAlignment="1">
      <alignment horizontal="center" vertical="center" wrapText="1"/>
      <protection/>
    </xf>
    <xf numFmtId="0" fontId="5" fillId="32" borderId="15" xfId="57" applyFont="1" applyFill="1" applyBorder="1" applyAlignment="1">
      <alignment horizontal="center" vertical="center"/>
      <protection/>
    </xf>
    <xf numFmtId="0" fontId="5" fillId="32" borderId="17" xfId="57" applyFont="1" applyFill="1" applyBorder="1" applyAlignment="1">
      <alignment horizontal="center" vertical="center"/>
      <protection/>
    </xf>
    <xf numFmtId="0" fontId="5" fillId="32" borderId="11" xfId="57" applyFont="1" applyFill="1" applyBorder="1" applyAlignment="1">
      <alignment horizontal="center" vertical="center"/>
      <protection/>
    </xf>
    <xf numFmtId="0" fontId="7" fillId="0" borderId="0" xfId="57" applyFont="1" applyAlignment="1">
      <alignment horizontal="center" vertical="center"/>
      <protection/>
    </xf>
    <xf numFmtId="0" fontId="7" fillId="0" borderId="14" xfId="57" applyFont="1" applyBorder="1" applyAlignment="1">
      <alignment horizontal="left" vertical="center"/>
      <protection/>
    </xf>
    <xf numFmtId="0" fontId="67" fillId="0" borderId="31" xfId="57" applyFont="1" applyBorder="1" applyAlignment="1">
      <alignment horizontal="center" vertical="center"/>
      <protection/>
    </xf>
    <xf numFmtId="0" fontId="16" fillId="0" borderId="0" xfId="57" applyFont="1" applyFill="1" applyBorder="1" applyAlignment="1">
      <alignment horizontal="center" vertical="center" wrapText="1"/>
      <protection/>
    </xf>
    <xf numFmtId="0" fontId="16" fillId="0" borderId="14" xfId="57" applyFont="1" applyBorder="1" applyAlignment="1">
      <alignment horizontal="center" vertical="center" wrapText="1"/>
      <protection/>
    </xf>
    <xf numFmtId="0" fontId="16" fillId="0" borderId="32" xfId="57" applyFont="1" applyBorder="1" applyAlignment="1">
      <alignment horizontal="center" vertical="center" wrapText="1"/>
      <protection/>
    </xf>
    <xf numFmtId="0" fontId="16" fillId="0" borderId="18" xfId="57" applyFont="1" applyBorder="1" applyAlignment="1">
      <alignment horizontal="center" vertical="center" wrapText="1"/>
      <protection/>
    </xf>
    <xf numFmtId="0" fontId="67" fillId="0" borderId="20" xfId="57" applyFont="1" applyBorder="1" applyAlignment="1">
      <alignment horizontal="center" vertical="center"/>
      <protection/>
    </xf>
    <xf numFmtId="0" fontId="16" fillId="0" borderId="28" xfId="57" applyFont="1" applyBorder="1" applyAlignment="1">
      <alignment horizontal="center" vertical="center" wrapText="1"/>
      <protection/>
    </xf>
    <xf numFmtId="0" fontId="16" fillId="0" borderId="36" xfId="57" applyFont="1" applyBorder="1" applyAlignment="1">
      <alignment horizontal="center" vertical="center" wrapText="1"/>
      <protection/>
    </xf>
    <xf numFmtId="0" fontId="16" fillId="0" borderId="22" xfId="57" applyFont="1" applyBorder="1" applyAlignment="1">
      <alignment horizontal="center" vertical="center" wrapText="1"/>
      <protection/>
    </xf>
    <xf numFmtId="0" fontId="16" fillId="0" borderId="20" xfId="57" applyFont="1" applyBorder="1" applyAlignment="1">
      <alignment horizontal="center" vertical="center" wrapText="1"/>
      <protection/>
    </xf>
    <xf numFmtId="0" fontId="16" fillId="0" borderId="31" xfId="57" applyFont="1" applyBorder="1" applyAlignment="1">
      <alignment horizontal="center" vertical="center" wrapText="1"/>
      <protection/>
    </xf>
    <xf numFmtId="0" fontId="16" fillId="0" borderId="19" xfId="57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 wrapText="1"/>
      <protection/>
    </xf>
    <xf numFmtId="0" fontId="16" fillId="0" borderId="10" xfId="57" applyFont="1" applyBorder="1" applyAlignment="1">
      <alignment vertical="center"/>
      <protection/>
    </xf>
    <xf numFmtId="0" fontId="17" fillId="32" borderId="17" xfId="57" applyFont="1" applyFill="1" applyBorder="1" applyAlignment="1">
      <alignment horizontal="center" vertical="center"/>
      <protection/>
    </xf>
    <xf numFmtId="0" fontId="17" fillId="32" borderId="11" xfId="57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right"/>
    </xf>
    <xf numFmtId="0" fontId="7" fillId="0" borderId="0" xfId="0" applyFont="1" applyFill="1" applyAlignment="1">
      <alignment horizontal="center" vertical="center" wrapText="1"/>
    </xf>
    <xf numFmtId="3" fontId="7" fillId="0" borderId="14" xfId="46" applyNumberFormat="1" applyFont="1" applyFill="1" applyBorder="1" applyAlignment="1">
      <alignment horizontal="center" vertical="center"/>
    </xf>
    <xf numFmtId="3" fontId="7" fillId="0" borderId="32" xfId="46" applyNumberFormat="1" applyFont="1" applyFill="1" applyBorder="1" applyAlignment="1">
      <alignment horizontal="center" vertical="center"/>
    </xf>
    <xf numFmtId="3" fontId="7" fillId="0" borderId="18" xfId="46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vertical="center"/>
    </xf>
    <xf numFmtId="164" fontId="7" fillId="0" borderId="10" xfId="46" applyNumberFormat="1" applyFont="1" applyFill="1" applyBorder="1" applyAlignment="1">
      <alignment horizontal="center" vertical="center" wrapText="1"/>
    </xf>
    <xf numFmtId="164" fontId="7" fillId="0" borderId="14" xfId="46" applyNumberFormat="1" applyFont="1" applyFill="1" applyBorder="1" applyAlignment="1">
      <alignment horizontal="center" vertical="center" wrapText="1"/>
    </xf>
    <xf numFmtId="164" fontId="7" fillId="0" borderId="32" xfId="46" applyNumberFormat="1" applyFont="1" applyFill="1" applyBorder="1" applyAlignment="1">
      <alignment horizontal="center" vertical="center" wrapText="1"/>
    </xf>
    <xf numFmtId="164" fontId="7" fillId="0" borderId="18" xfId="46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56" applyFont="1" applyAlignment="1">
      <alignment vertical="center"/>
      <protection/>
    </xf>
    <xf numFmtId="0" fontId="4" fillId="0" borderId="0" xfId="0" applyFont="1" applyAlignment="1">
      <alignment/>
    </xf>
    <xf numFmtId="0" fontId="5" fillId="0" borderId="0" xfId="56" applyFont="1" applyAlignment="1">
      <alignment horizontal="right"/>
      <protection/>
    </xf>
    <xf numFmtId="0" fontId="8" fillId="0" borderId="0" xfId="0" applyFont="1" applyBorder="1" applyAlignment="1">
      <alignment horizontal="center" vertical="center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2001 költségvetés" xfId="56"/>
    <cellStyle name="Normál_2-A tábl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8.%20k&#246;lts&#233;gvet&#233;s\&#214;SSZEVONT%20V&#193;ROSI%20KV%202018%20Be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 összesen"/>
      <sheetName val="kiadások összesen"/>
      <sheetName val="Gyógyászat"/>
      <sheetName val="KK"/>
      <sheetName val="Könyvtár"/>
      <sheetName val="Múzeum"/>
      <sheetName val="PH"/>
      <sheetName val="Önk."/>
      <sheetName val="IFT"/>
      <sheetName val="B - önk"/>
      <sheetName val="B - Köt"/>
      <sheetName val="B - ell."/>
      <sheetName val="K - önk"/>
      <sheetName val="K - köt"/>
      <sheetName val="K - ell."/>
      <sheetName val="étkezés elvárt bevétel"/>
      <sheetName val="Pénzkészlet"/>
      <sheetName val="saját erős"/>
      <sheetName val="közmunka önerő"/>
      <sheetName val="Kompatibilitási jelentés"/>
    </sheetNames>
    <sheetDataSet>
      <sheetData sheetId="6">
        <row r="42">
          <cell r="D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1"/>
  <sheetViews>
    <sheetView tabSelected="1" zoomScale="80" zoomScaleNormal="80" zoomScaleSheetLayoutView="80" zoomScalePageLayoutView="0" workbookViewId="0" topLeftCell="A1">
      <pane xSplit="2" ySplit="9" topLeftCell="U10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R1" sqref="AR1"/>
    </sheetView>
  </sheetViews>
  <sheetFormatPr defaultColWidth="9.140625" defaultRowHeight="12.75"/>
  <cols>
    <col min="1" max="1" width="5.140625" style="83" customWidth="1"/>
    <col min="2" max="2" width="16.7109375" style="83" customWidth="1"/>
    <col min="3" max="3" width="15.7109375" style="83" customWidth="1"/>
    <col min="4" max="4" width="16.00390625" style="83" customWidth="1"/>
    <col min="5" max="5" width="14.00390625" style="83" customWidth="1"/>
    <col min="6" max="6" width="14.57421875" style="83" customWidth="1"/>
    <col min="7" max="8" width="13.28125" style="83" customWidth="1"/>
    <col min="9" max="9" width="14.140625" style="83" customWidth="1"/>
    <col min="10" max="10" width="14.8515625" style="83" customWidth="1"/>
    <col min="11" max="11" width="13.8515625" style="83" customWidth="1"/>
    <col min="12" max="12" width="15.00390625" style="83" customWidth="1"/>
    <col min="13" max="13" width="14.421875" style="83" customWidth="1"/>
    <col min="14" max="14" width="15.28125" style="83" customWidth="1"/>
    <col min="15" max="15" width="14.8515625" style="83" customWidth="1"/>
    <col min="16" max="16" width="15.00390625" style="83" customWidth="1"/>
    <col min="17" max="17" width="14.7109375" style="83" customWidth="1"/>
    <col min="18" max="18" width="14.00390625" style="83" customWidth="1"/>
    <col min="19" max="19" width="14.421875" style="83" customWidth="1"/>
    <col min="20" max="20" width="14.00390625" style="83" customWidth="1"/>
    <col min="21" max="21" width="15.8515625" style="360" customWidth="1"/>
    <col min="22" max="22" width="16.421875" style="360" customWidth="1"/>
    <col min="23" max="23" width="15.7109375" style="360" customWidth="1"/>
    <col min="24" max="24" width="13.140625" style="83" customWidth="1"/>
    <col min="25" max="25" width="14.421875" style="83" customWidth="1"/>
    <col min="26" max="26" width="14.7109375" style="83" customWidth="1"/>
    <col min="27" max="29" width="13.00390625" style="83" customWidth="1"/>
    <col min="30" max="30" width="14.8515625" style="83" customWidth="1"/>
    <col min="31" max="31" width="15.421875" style="83" customWidth="1"/>
    <col min="32" max="32" width="12.00390625" style="83" customWidth="1"/>
    <col min="33" max="33" width="16.28125" style="83" customWidth="1"/>
    <col min="34" max="35" width="15.57421875" style="83" customWidth="1"/>
    <col min="36" max="37" width="17.8515625" style="360" hidden="1" customWidth="1"/>
    <col min="38" max="38" width="16.140625" style="360" hidden="1" customWidth="1"/>
    <col min="39" max="40" width="16.140625" style="83" customWidth="1"/>
    <col min="41" max="41" width="15.8515625" style="83" customWidth="1"/>
    <col min="42" max="42" width="12.140625" style="83" customWidth="1"/>
    <col min="43" max="43" width="14.00390625" style="83" customWidth="1"/>
    <col min="44" max="44" width="14.140625" style="83" customWidth="1"/>
    <col min="45" max="45" width="24.57421875" style="83" hidden="1" customWidth="1"/>
    <col min="46" max="16384" width="9.140625" style="83" customWidth="1"/>
  </cols>
  <sheetData>
    <row r="1" spans="20:44" s="156" customFormat="1" ht="15.75">
      <c r="T1" s="164" t="s">
        <v>411</v>
      </c>
      <c r="U1" s="332"/>
      <c r="V1" s="332"/>
      <c r="W1" s="372" t="s">
        <v>281</v>
      </c>
      <c r="AJ1" s="332"/>
      <c r="AK1" s="332"/>
      <c r="AL1" s="332"/>
      <c r="AR1" s="164" t="s">
        <v>411</v>
      </c>
    </row>
    <row r="2" spans="3:44" s="185" customFormat="1" ht="21.75" customHeight="1">
      <c r="C2" s="397" t="s">
        <v>280</v>
      </c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 t="s">
        <v>280</v>
      </c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7"/>
      <c r="AK2" s="397"/>
      <c r="AL2" s="397"/>
      <c r="AM2" s="397"/>
      <c r="AN2" s="397"/>
      <c r="AO2" s="397"/>
      <c r="AP2" s="397"/>
      <c r="AQ2" s="397"/>
      <c r="AR2" s="397"/>
    </row>
    <row r="3" spans="1:44" ht="15.75">
      <c r="A3" s="156"/>
      <c r="T3" s="83" t="s">
        <v>236</v>
      </c>
      <c r="V3" s="360" t="s">
        <v>236</v>
      </c>
      <c r="AL3" s="332"/>
      <c r="AM3" s="186"/>
      <c r="AN3" s="186"/>
      <c r="AR3" s="83" t="s">
        <v>236</v>
      </c>
    </row>
    <row r="4" spans="1:40" ht="15.75">
      <c r="A4" s="156"/>
      <c r="AF4" s="154"/>
      <c r="AG4" s="154"/>
      <c r="AH4" s="154"/>
      <c r="AI4" s="154"/>
      <c r="AJ4" s="361"/>
      <c r="AK4" s="361"/>
      <c r="AL4" s="332"/>
      <c r="AM4" s="186"/>
      <c r="AN4" s="186"/>
    </row>
    <row r="5" spans="1:44" ht="16.5" thickBot="1">
      <c r="A5" s="157"/>
      <c r="B5" s="159" t="s">
        <v>0</v>
      </c>
      <c r="C5" s="159" t="s">
        <v>1</v>
      </c>
      <c r="D5" s="159" t="s">
        <v>2</v>
      </c>
      <c r="E5" s="159" t="s">
        <v>3</v>
      </c>
      <c r="F5" s="159" t="s">
        <v>336</v>
      </c>
      <c r="G5" s="159" t="s">
        <v>5</v>
      </c>
      <c r="H5" s="159" t="s">
        <v>81</v>
      </c>
      <c r="I5" s="159" t="s">
        <v>6</v>
      </c>
      <c r="J5" s="159" t="s">
        <v>7</v>
      </c>
      <c r="K5" s="159" t="s">
        <v>39</v>
      </c>
      <c r="L5" s="159" t="s">
        <v>8</v>
      </c>
      <c r="M5" s="159" t="s">
        <v>94</v>
      </c>
      <c r="N5" s="159" t="s">
        <v>40</v>
      </c>
      <c r="O5" s="159" t="s">
        <v>338</v>
      </c>
      <c r="P5" s="159" t="s">
        <v>339</v>
      </c>
      <c r="Q5" s="159" t="s">
        <v>340</v>
      </c>
      <c r="R5" s="159" t="s">
        <v>341</v>
      </c>
      <c r="S5" s="159" t="s">
        <v>342</v>
      </c>
      <c r="T5" s="159" t="s">
        <v>343</v>
      </c>
      <c r="U5" s="363"/>
      <c r="V5" s="363"/>
      <c r="W5" s="363"/>
      <c r="X5" s="159" t="s">
        <v>1</v>
      </c>
      <c r="Y5" s="159" t="s">
        <v>2</v>
      </c>
      <c r="Z5" s="159" t="s">
        <v>3</v>
      </c>
      <c r="AA5" s="159" t="s">
        <v>336</v>
      </c>
      <c r="AB5" s="159" t="s">
        <v>5</v>
      </c>
      <c r="AC5" s="159" t="s">
        <v>81</v>
      </c>
      <c r="AD5" s="159" t="s">
        <v>390</v>
      </c>
      <c r="AE5" s="198" t="s">
        <v>7</v>
      </c>
      <c r="AF5" s="199" t="s">
        <v>39</v>
      </c>
      <c r="AG5" s="199" t="s">
        <v>8</v>
      </c>
      <c r="AH5" s="199" t="s">
        <v>94</v>
      </c>
      <c r="AI5" s="199" t="s">
        <v>40</v>
      </c>
      <c r="AJ5" s="362"/>
      <c r="AK5" s="362"/>
      <c r="AL5" s="363"/>
      <c r="AM5" s="159" t="s">
        <v>95</v>
      </c>
      <c r="AN5" s="159" t="s">
        <v>337</v>
      </c>
      <c r="AO5" s="159" t="s">
        <v>338</v>
      </c>
      <c r="AP5" s="198" t="s">
        <v>339</v>
      </c>
      <c r="AQ5" s="198" t="s">
        <v>340</v>
      </c>
      <c r="AR5" s="212" t="s">
        <v>341</v>
      </c>
    </row>
    <row r="6" spans="1:44" ht="33.75" customHeight="1">
      <c r="A6" s="385" t="s">
        <v>10</v>
      </c>
      <c r="B6" s="388" t="s">
        <v>11</v>
      </c>
      <c r="C6" s="390" t="s">
        <v>12</v>
      </c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8" t="s">
        <v>159</v>
      </c>
      <c r="V6" s="399"/>
      <c r="W6" s="400"/>
      <c r="X6" s="415" t="s">
        <v>13</v>
      </c>
      <c r="Y6" s="415"/>
      <c r="Z6" s="415"/>
      <c r="AA6" s="415"/>
      <c r="AB6" s="415"/>
      <c r="AC6" s="415"/>
      <c r="AD6" s="415"/>
      <c r="AE6" s="415"/>
      <c r="AF6" s="415"/>
      <c r="AG6" s="415"/>
      <c r="AH6" s="415"/>
      <c r="AI6" s="415"/>
      <c r="AJ6" s="404" t="s">
        <v>203</v>
      </c>
      <c r="AK6" s="399"/>
      <c r="AL6" s="400" t="s">
        <v>203</v>
      </c>
      <c r="AM6" s="407" t="s">
        <v>14</v>
      </c>
      <c r="AN6" s="408"/>
      <c r="AO6" s="409" t="s">
        <v>14</v>
      </c>
      <c r="AP6" s="407" t="s">
        <v>363</v>
      </c>
      <c r="AQ6" s="408"/>
      <c r="AR6" s="409"/>
    </row>
    <row r="7" spans="1:44" ht="32.25" customHeight="1">
      <c r="A7" s="386"/>
      <c r="B7" s="389"/>
      <c r="C7" s="390" t="s">
        <v>362</v>
      </c>
      <c r="D7" s="390"/>
      <c r="E7" s="390"/>
      <c r="F7" s="390" t="s">
        <v>330</v>
      </c>
      <c r="G7" s="390"/>
      <c r="H7" s="390"/>
      <c r="I7" s="390" t="s">
        <v>328</v>
      </c>
      <c r="J7" s="390"/>
      <c r="K7" s="390"/>
      <c r="L7" s="390" t="s">
        <v>331</v>
      </c>
      <c r="M7" s="390"/>
      <c r="N7" s="390"/>
      <c r="O7" s="390" t="s">
        <v>332</v>
      </c>
      <c r="P7" s="390"/>
      <c r="Q7" s="390"/>
      <c r="R7" s="390"/>
      <c r="S7" s="390"/>
      <c r="T7" s="390"/>
      <c r="U7" s="401"/>
      <c r="V7" s="402"/>
      <c r="W7" s="403"/>
      <c r="X7" s="390" t="s">
        <v>357</v>
      </c>
      <c r="Y7" s="390"/>
      <c r="Z7" s="390"/>
      <c r="AA7" s="391" t="s">
        <v>347</v>
      </c>
      <c r="AB7" s="392"/>
      <c r="AC7" s="393"/>
      <c r="AD7" s="412" t="s">
        <v>332</v>
      </c>
      <c r="AE7" s="413"/>
      <c r="AF7" s="413"/>
      <c r="AG7" s="413"/>
      <c r="AH7" s="413"/>
      <c r="AI7" s="413"/>
      <c r="AJ7" s="405"/>
      <c r="AK7" s="402"/>
      <c r="AL7" s="406"/>
      <c r="AM7" s="410"/>
      <c r="AN7" s="390"/>
      <c r="AO7" s="411"/>
      <c r="AP7" s="420" t="s">
        <v>365</v>
      </c>
      <c r="AQ7" s="423" t="s">
        <v>366</v>
      </c>
      <c r="AR7" s="426" t="s">
        <v>102</v>
      </c>
    </row>
    <row r="8" spans="1:44" ht="45.75" customHeight="1">
      <c r="A8" s="386"/>
      <c r="B8" s="389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 t="s">
        <v>369</v>
      </c>
      <c r="P8" s="390"/>
      <c r="Q8" s="390"/>
      <c r="R8" s="390" t="s">
        <v>334</v>
      </c>
      <c r="S8" s="390"/>
      <c r="T8" s="390"/>
      <c r="U8" s="401"/>
      <c r="V8" s="402"/>
      <c r="W8" s="403"/>
      <c r="X8" s="390"/>
      <c r="Y8" s="390"/>
      <c r="Z8" s="390"/>
      <c r="AA8" s="394"/>
      <c r="AB8" s="395"/>
      <c r="AC8" s="396"/>
      <c r="AD8" s="412" t="s">
        <v>358</v>
      </c>
      <c r="AE8" s="413"/>
      <c r="AF8" s="414"/>
      <c r="AG8" s="412" t="s">
        <v>215</v>
      </c>
      <c r="AH8" s="413"/>
      <c r="AI8" s="413"/>
      <c r="AJ8" s="405"/>
      <c r="AK8" s="402"/>
      <c r="AL8" s="406"/>
      <c r="AM8" s="410"/>
      <c r="AN8" s="390"/>
      <c r="AO8" s="411"/>
      <c r="AP8" s="421"/>
      <c r="AQ8" s="424"/>
      <c r="AR8" s="427"/>
    </row>
    <row r="9" spans="1:44" s="187" customFormat="1" ht="55.5" customHeight="1">
      <c r="A9" s="387"/>
      <c r="B9" s="389"/>
      <c r="C9" s="184" t="s">
        <v>153</v>
      </c>
      <c r="D9" s="184" t="s">
        <v>329</v>
      </c>
      <c r="E9" s="184" t="s">
        <v>99</v>
      </c>
      <c r="F9" s="184" t="s">
        <v>153</v>
      </c>
      <c r="G9" s="184" t="s">
        <v>329</v>
      </c>
      <c r="H9" s="184" t="s">
        <v>99</v>
      </c>
      <c r="I9" s="184" t="s">
        <v>153</v>
      </c>
      <c r="J9" s="184" t="s">
        <v>329</v>
      </c>
      <c r="K9" s="184" t="s">
        <v>99</v>
      </c>
      <c r="L9" s="184" t="s">
        <v>153</v>
      </c>
      <c r="M9" s="184" t="s">
        <v>329</v>
      </c>
      <c r="N9" s="184" t="s">
        <v>99</v>
      </c>
      <c r="O9" s="184" t="s">
        <v>153</v>
      </c>
      <c r="P9" s="184" t="s">
        <v>329</v>
      </c>
      <c r="Q9" s="184" t="s">
        <v>99</v>
      </c>
      <c r="R9" s="184" t="s">
        <v>153</v>
      </c>
      <c r="S9" s="184" t="s">
        <v>329</v>
      </c>
      <c r="T9" s="184" t="s">
        <v>99</v>
      </c>
      <c r="U9" s="373" t="s">
        <v>153</v>
      </c>
      <c r="V9" s="335" t="s">
        <v>329</v>
      </c>
      <c r="W9" s="336" t="s">
        <v>99</v>
      </c>
      <c r="X9" s="197" t="s">
        <v>153</v>
      </c>
      <c r="Y9" s="184" t="s">
        <v>329</v>
      </c>
      <c r="Z9" s="184" t="s">
        <v>99</v>
      </c>
      <c r="AA9" s="184" t="s">
        <v>153</v>
      </c>
      <c r="AB9" s="184" t="s">
        <v>329</v>
      </c>
      <c r="AC9" s="184" t="s">
        <v>99</v>
      </c>
      <c r="AD9" s="184" t="s">
        <v>153</v>
      </c>
      <c r="AE9" s="184" t="s">
        <v>329</v>
      </c>
      <c r="AF9" s="184" t="s">
        <v>99</v>
      </c>
      <c r="AG9" s="184" t="s">
        <v>153</v>
      </c>
      <c r="AH9" s="184" t="s">
        <v>329</v>
      </c>
      <c r="AI9" s="192" t="s">
        <v>99</v>
      </c>
      <c r="AJ9" s="334" t="s">
        <v>153</v>
      </c>
      <c r="AK9" s="335" t="s">
        <v>329</v>
      </c>
      <c r="AL9" s="336" t="s">
        <v>99</v>
      </c>
      <c r="AM9" s="193" t="s">
        <v>153</v>
      </c>
      <c r="AN9" s="184" t="s">
        <v>329</v>
      </c>
      <c r="AO9" s="194" t="s">
        <v>99</v>
      </c>
      <c r="AP9" s="422"/>
      <c r="AQ9" s="425"/>
      <c r="AR9" s="428"/>
    </row>
    <row r="10" spans="1:44" ht="72" customHeight="1">
      <c r="A10" s="38" t="s">
        <v>15</v>
      </c>
      <c r="B10" s="256" t="s">
        <v>204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91896000</v>
      </c>
      <c r="J10" s="85">
        <v>91896000</v>
      </c>
      <c r="K10" s="85">
        <v>48784410</v>
      </c>
      <c r="L10" s="85">
        <v>448987390</v>
      </c>
      <c r="M10" s="85">
        <v>450982239</v>
      </c>
      <c r="N10" s="85">
        <v>228884649</v>
      </c>
      <c r="O10" s="85">
        <v>2500000</v>
      </c>
      <c r="P10" s="85">
        <v>111424827</v>
      </c>
      <c r="Q10" s="85">
        <v>111424827</v>
      </c>
      <c r="R10" s="85">
        <v>60683079</v>
      </c>
      <c r="S10" s="85">
        <v>64917838</v>
      </c>
      <c r="T10" s="85">
        <v>29527774</v>
      </c>
      <c r="U10" s="374">
        <f aca="true" t="shared" si="0" ref="U10:W13">C10+F10+I10+L10+O10+R10</f>
        <v>604066469</v>
      </c>
      <c r="V10" s="374">
        <f t="shared" si="0"/>
        <v>719220904</v>
      </c>
      <c r="W10" s="374">
        <f t="shared" si="0"/>
        <v>418621660</v>
      </c>
      <c r="X10" s="86">
        <v>0</v>
      </c>
      <c r="Y10" s="85">
        <v>0</v>
      </c>
      <c r="Z10" s="85">
        <v>0</v>
      </c>
      <c r="AA10" s="85">
        <v>0</v>
      </c>
      <c r="AB10" s="85">
        <v>0</v>
      </c>
      <c r="AC10" s="85">
        <v>0</v>
      </c>
      <c r="AD10" s="85">
        <v>0</v>
      </c>
      <c r="AE10" s="85">
        <v>0</v>
      </c>
      <c r="AF10" s="85">
        <v>0</v>
      </c>
      <c r="AG10" s="85">
        <v>0</v>
      </c>
      <c r="AH10" s="85">
        <v>0</v>
      </c>
      <c r="AI10" s="85">
        <v>0</v>
      </c>
      <c r="AJ10" s="364">
        <f aca="true" t="shared" si="1" ref="AJ10:AL13">X10+AA10+AD10+AG10</f>
        <v>0</v>
      </c>
      <c r="AK10" s="364">
        <f t="shared" si="1"/>
        <v>0</v>
      </c>
      <c r="AL10" s="364">
        <f t="shared" si="1"/>
        <v>0</v>
      </c>
      <c r="AM10" s="117">
        <f aca="true" t="shared" si="2" ref="AM10:AO13">AJ10+U10</f>
        <v>604066469</v>
      </c>
      <c r="AN10" s="117">
        <f t="shared" si="2"/>
        <v>719220904</v>
      </c>
      <c r="AO10" s="117">
        <f t="shared" si="2"/>
        <v>418621660</v>
      </c>
      <c r="AP10" s="236">
        <f aca="true" t="shared" si="3" ref="AP10:AP17">W10/V10</f>
        <v>0.5820487942881037</v>
      </c>
      <c r="AQ10" s="240"/>
      <c r="AR10" s="241">
        <f>AO10/AN10</f>
        <v>0.5820487942881037</v>
      </c>
    </row>
    <row r="11" spans="1:44" ht="54.75" customHeight="1">
      <c r="A11" s="38" t="s">
        <v>22</v>
      </c>
      <c r="B11" s="256" t="s">
        <v>25</v>
      </c>
      <c r="C11" s="85">
        <v>0</v>
      </c>
      <c r="D11" s="85">
        <v>0</v>
      </c>
      <c r="E11" s="85">
        <v>0</v>
      </c>
      <c r="F11" s="85">
        <v>0</v>
      </c>
      <c r="G11" s="85">
        <v>0</v>
      </c>
      <c r="H11" s="85">
        <v>0</v>
      </c>
      <c r="I11" s="85">
        <v>47800000</v>
      </c>
      <c r="J11" s="85">
        <v>47800000</v>
      </c>
      <c r="K11" s="85">
        <v>28959776</v>
      </c>
      <c r="L11" s="85">
        <v>0</v>
      </c>
      <c r="M11" s="85">
        <f>10930042</f>
        <v>10930042</v>
      </c>
      <c r="N11" s="85">
        <f>8930042+50000</f>
        <v>8980042</v>
      </c>
      <c r="O11" s="85">
        <v>2025359</v>
      </c>
      <c r="P11" s="85">
        <v>47941605</v>
      </c>
      <c r="Q11" s="85">
        <v>47941605</v>
      </c>
      <c r="R11" s="85">
        <v>62952271</v>
      </c>
      <c r="S11" s="85">
        <v>63326401</v>
      </c>
      <c r="T11" s="85">
        <v>33600131</v>
      </c>
      <c r="U11" s="374">
        <f t="shared" si="0"/>
        <v>112777630</v>
      </c>
      <c r="V11" s="374">
        <f t="shared" si="0"/>
        <v>169998048</v>
      </c>
      <c r="W11" s="374">
        <f t="shared" si="0"/>
        <v>119481554</v>
      </c>
      <c r="X11" s="86">
        <v>0</v>
      </c>
      <c r="Y11" s="85">
        <v>0</v>
      </c>
      <c r="Z11" s="85">
        <v>0</v>
      </c>
      <c r="AA11" s="85">
        <v>0</v>
      </c>
      <c r="AB11" s="85">
        <v>0</v>
      </c>
      <c r="AC11" s="85">
        <v>0</v>
      </c>
      <c r="AD11" s="85">
        <v>0</v>
      </c>
      <c r="AE11" s="85">
        <v>0</v>
      </c>
      <c r="AF11" s="85">
        <v>0</v>
      </c>
      <c r="AG11" s="85">
        <v>0</v>
      </c>
      <c r="AH11" s="85">
        <v>0</v>
      </c>
      <c r="AI11" s="85">
        <v>0</v>
      </c>
      <c r="AJ11" s="364">
        <f t="shared" si="1"/>
        <v>0</v>
      </c>
      <c r="AK11" s="364">
        <f t="shared" si="1"/>
        <v>0</v>
      </c>
      <c r="AL11" s="364">
        <f t="shared" si="1"/>
        <v>0</v>
      </c>
      <c r="AM11" s="117">
        <f t="shared" si="2"/>
        <v>112777630</v>
      </c>
      <c r="AN11" s="117">
        <f t="shared" si="2"/>
        <v>169998048</v>
      </c>
      <c r="AO11" s="117">
        <f t="shared" si="2"/>
        <v>119481554</v>
      </c>
      <c r="AP11" s="236">
        <f t="shared" si="3"/>
        <v>0.7028407408536832</v>
      </c>
      <c r="AQ11" s="240"/>
      <c r="AR11" s="241">
        <f aca="true" t="shared" si="4" ref="AR11:AR17">AO11/AN11</f>
        <v>0.7028407408536832</v>
      </c>
    </row>
    <row r="12" spans="1:44" ht="40.5" customHeight="1">
      <c r="A12" s="38" t="s">
        <v>23</v>
      </c>
      <c r="B12" s="256" t="s">
        <v>29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1585000</v>
      </c>
      <c r="J12" s="85">
        <v>1585000</v>
      </c>
      <c r="K12" s="85">
        <v>929778</v>
      </c>
      <c r="L12" s="85">
        <v>0</v>
      </c>
      <c r="M12" s="85">
        <v>598491</v>
      </c>
      <c r="N12" s="85">
        <v>598491</v>
      </c>
      <c r="O12" s="85">
        <v>800000</v>
      </c>
      <c r="P12" s="85">
        <v>21348303</v>
      </c>
      <c r="Q12" s="85">
        <v>21348303</v>
      </c>
      <c r="R12" s="85">
        <v>31941648</v>
      </c>
      <c r="S12" s="85">
        <v>32669238</v>
      </c>
      <c r="T12" s="85">
        <v>16186253</v>
      </c>
      <c r="U12" s="374">
        <f t="shared" si="0"/>
        <v>34326648</v>
      </c>
      <c r="V12" s="374">
        <f t="shared" si="0"/>
        <v>56201032</v>
      </c>
      <c r="W12" s="374">
        <f t="shared" si="0"/>
        <v>39062825</v>
      </c>
      <c r="X12" s="86">
        <v>0</v>
      </c>
      <c r="Y12" s="85">
        <v>0</v>
      </c>
      <c r="Z12" s="85">
        <v>0</v>
      </c>
      <c r="AA12" s="85">
        <v>0</v>
      </c>
      <c r="AB12" s="85">
        <v>0</v>
      </c>
      <c r="AC12" s="85">
        <v>0</v>
      </c>
      <c r="AD12" s="85">
        <v>0</v>
      </c>
      <c r="AE12" s="85">
        <v>0</v>
      </c>
      <c r="AF12" s="85">
        <v>0</v>
      </c>
      <c r="AG12" s="85">
        <v>0</v>
      </c>
      <c r="AH12" s="85">
        <v>0</v>
      </c>
      <c r="AI12" s="85">
        <v>0</v>
      </c>
      <c r="AJ12" s="364">
        <f t="shared" si="1"/>
        <v>0</v>
      </c>
      <c r="AK12" s="364">
        <f t="shared" si="1"/>
        <v>0</v>
      </c>
      <c r="AL12" s="364">
        <f t="shared" si="1"/>
        <v>0</v>
      </c>
      <c r="AM12" s="117">
        <f t="shared" si="2"/>
        <v>34326648</v>
      </c>
      <c r="AN12" s="117">
        <f t="shared" si="2"/>
        <v>56201032</v>
      </c>
      <c r="AO12" s="117">
        <f t="shared" si="2"/>
        <v>39062825</v>
      </c>
      <c r="AP12" s="236">
        <f t="shared" si="3"/>
        <v>0.6950552972052185</v>
      </c>
      <c r="AQ12" s="240"/>
      <c r="AR12" s="241">
        <f t="shared" si="4"/>
        <v>0.6950552972052185</v>
      </c>
    </row>
    <row r="13" spans="1:44" ht="40.5" customHeight="1" thickBot="1">
      <c r="A13" s="213" t="s">
        <v>52</v>
      </c>
      <c r="B13" s="227" t="s">
        <v>27</v>
      </c>
      <c r="C13" s="89">
        <v>0</v>
      </c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89">
        <v>1450000</v>
      </c>
      <c r="J13" s="89">
        <v>1450000</v>
      </c>
      <c r="K13" s="89">
        <v>1898848</v>
      </c>
      <c r="L13" s="89">
        <v>0</v>
      </c>
      <c r="M13" s="89">
        <v>1020094</v>
      </c>
      <c r="N13" s="89">
        <v>1020094</v>
      </c>
      <c r="O13" s="89">
        <v>780420</v>
      </c>
      <c r="P13" s="89">
        <v>4597039</v>
      </c>
      <c r="Q13" s="89">
        <v>4597039</v>
      </c>
      <c r="R13" s="89">
        <v>20091080</v>
      </c>
      <c r="S13" s="89">
        <v>20247625</v>
      </c>
      <c r="T13" s="89">
        <v>8679807</v>
      </c>
      <c r="U13" s="374">
        <f t="shared" si="0"/>
        <v>22321500</v>
      </c>
      <c r="V13" s="374">
        <f t="shared" si="0"/>
        <v>27314758</v>
      </c>
      <c r="W13" s="374">
        <f t="shared" si="0"/>
        <v>16195788</v>
      </c>
      <c r="X13" s="189">
        <v>0</v>
      </c>
      <c r="Y13" s="89">
        <v>0</v>
      </c>
      <c r="Z13" s="89">
        <v>0</v>
      </c>
      <c r="AA13" s="89">
        <v>0</v>
      </c>
      <c r="AB13" s="89">
        <v>0</v>
      </c>
      <c r="AC13" s="89">
        <v>0</v>
      </c>
      <c r="AD13" s="89">
        <v>0</v>
      </c>
      <c r="AE13" s="89">
        <v>0</v>
      </c>
      <c r="AF13" s="89">
        <v>0</v>
      </c>
      <c r="AG13" s="89">
        <v>0</v>
      </c>
      <c r="AH13" s="89">
        <v>0</v>
      </c>
      <c r="AI13" s="89">
        <v>0</v>
      </c>
      <c r="AJ13" s="364">
        <f t="shared" si="1"/>
        <v>0</v>
      </c>
      <c r="AK13" s="364">
        <f t="shared" si="1"/>
        <v>0</v>
      </c>
      <c r="AL13" s="364">
        <f t="shared" si="1"/>
        <v>0</v>
      </c>
      <c r="AM13" s="117">
        <f t="shared" si="2"/>
        <v>22321500</v>
      </c>
      <c r="AN13" s="117">
        <f t="shared" si="2"/>
        <v>27314758</v>
      </c>
      <c r="AO13" s="117">
        <f t="shared" si="2"/>
        <v>16195788</v>
      </c>
      <c r="AP13" s="236">
        <f t="shared" si="3"/>
        <v>0.5929317770269098</v>
      </c>
      <c r="AQ13" s="242"/>
      <c r="AR13" s="241">
        <f t="shared" si="4"/>
        <v>0.5929317770269098</v>
      </c>
    </row>
    <row r="14" spans="1:44" s="118" customFormat="1" ht="60" customHeight="1" thickBot="1">
      <c r="A14" s="218" t="s">
        <v>54</v>
      </c>
      <c r="B14" s="219" t="s">
        <v>364</v>
      </c>
      <c r="C14" s="220">
        <f aca="true" t="shared" si="5" ref="C14:H14">SUM(C10:C13)</f>
        <v>0</v>
      </c>
      <c r="D14" s="220">
        <f t="shared" si="5"/>
        <v>0</v>
      </c>
      <c r="E14" s="220">
        <f t="shared" si="5"/>
        <v>0</v>
      </c>
      <c r="F14" s="220">
        <f t="shared" si="5"/>
        <v>0</v>
      </c>
      <c r="G14" s="220">
        <f t="shared" si="5"/>
        <v>0</v>
      </c>
      <c r="H14" s="220">
        <f t="shared" si="5"/>
        <v>0</v>
      </c>
      <c r="I14" s="220">
        <f>SUM(I10:I13)</f>
        <v>142731000</v>
      </c>
      <c r="J14" s="220">
        <f>SUM(J10:J13)</f>
        <v>142731000</v>
      </c>
      <c r="K14" s="220">
        <f>SUM(K10:K13)</f>
        <v>80572812</v>
      </c>
      <c r="L14" s="220">
        <f>SUM(L10:L13)</f>
        <v>448987390</v>
      </c>
      <c r="M14" s="220">
        <f>SUM(M10:M13)</f>
        <v>463530866</v>
      </c>
      <c r="N14" s="220">
        <f aca="true" t="shared" si="6" ref="N14:T14">SUM(N10:N13)</f>
        <v>239483276</v>
      </c>
      <c r="O14" s="220">
        <f t="shared" si="6"/>
        <v>6105779</v>
      </c>
      <c r="P14" s="220">
        <f t="shared" si="6"/>
        <v>185311774</v>
      </c>
      <c r="Q14" s="220">
        <f t="shared" si="6"/>
        <v>185311774</v>
      </c>
      <c r="R14" s="220">
        <f t="shared" si="6"/>
        <v>175668078</v>
      </c>
      <c r="S14" s="220">
        <f t="shared" si="6"/>
        <v>181161102</v>
      </c>
      <c r="T14" s="220">
        <f t="shared" si="6"/>
        <v>87993965</v>
      </c>
      <c r="U14" s="344">
        <f aca="true" t="shared" si="7" ref="U14:AD14">SUM(U10:U13)</f>
        <v>773492247</v>
      </c>
      <c r="V14" s="344">
        <f t="shared" si="7"/>
        <v>972734742</v>
      </c>
      <c r="W14" s="344">
        <f t="shared" si="7"/>
        <v>593361827</v>
      </c>
      <c r="X14" s="224">
        <f t="shared" si="7"/>
        <v>0</v>
      </c>
      <c r="Y14" s="224">
        <f t="shared" si="7"/>
        <v>0</v>
      </c>
      <c r="Z14" s="224">
        <f t="shared" si="7"/>
        <v>0</v>
      </c>
      <c r="AA14" s="224">
        <f t="shared" si="7"/>
        <v>0</v>
      </c>
      <c r="AB14" s="224">
        <f t="shared" si="7"/>
        <v>0</v>
      </c>
      <c r="AC14" s="224">
        <f t="shared" si="7"/>
        <v>0</v>
      </c>
      <c r="AD14" s="220">
        <f t="shared" si="7"/>
        <v>0</v>
      </c>
      <c r="AE14" s="220">
        <f aca="true" t="shared" si="8" ref="AE14:AL14">SUM(AE10:AE13)</f>
        <v>0</v>
      </c>
      <c r="AF14" s="220">
        <f t="shared" si="8"/>
        <v>0</v>
      </c>
      <c r="AG14" s="220">
        <f t="shared" si="8"/>
        <v>0</v>
      </c>
      <c r="AH14" s="220">
        <f t="shared" si="8"/>
        <v>0</v>
      </c>
      <c r="AI14" s="220">
        <f t="shared" si="8"/>
        <v>0</v>
      </c>
      <c r="AJ14" s="366">
        <f t="shared" si="8"/>
        <v>0</v>
      </c>
      <c r="AK14" s="367">
        <f t="shared" si="8"/>
        <v>0</v>
      </c>
      <c r="AL14" s="368">
        <f t="shared" si="8"/>
        <v>0</v>
      </c>
      <c r="AM14" s="225">
        <f>SUM(AM10:AM13)</f>
        <v>773492247</v>
      </c>
      <c r="AN14" s="221">
        <f>SUM(AN10:AN13)</f>
        <v>972734742</v>
      </c>
      <c r="AO14" s="223">
        <f>AL14+W14</f>
        <v>593361827</v>
      </c>
      <c r="AP14" s="384">
        <f t="shared" si="3"/>
        <v>0.6099934559549226</v>
      </c>
      <c r="AQ14" s="244"/>
      <c r="AR14" s="245">
        <f t="shared" si="4"/>
        <v>0.6099934559549226</v>
      </c>
    </row>
    <row r="15" spans="1:44" ht="48" customHeight="1">
      <c r="A15" s="207" t="s">
        <v>48</v>
      </c>
      <c r="B15" s="216" t="s">
        <v>32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138174000</v>
      </c>
      <c r="J15" s="92">
        <v>138174000</v>
      </c>
      <c r="K15" s="92">
        <v>58880156</v>
      </c>
      <c r="L15" s="92">
        <v>0</v>
      </c>
      <c r="M15" s="92">
        <v>3511862</v>
      </c>
      <c r="N15" s="92">
        <v>4636698</v>
      </c>
      <c r="O15" s="92">
        <v>3000000</v>
      </c>
      <c r="P15" s="92">
        <v>4623599</v>
      </c>
      <c r="Q15" s="92">
        <v>4623599</v>
      </c>
      <c r="R15" s="92">
        <v>438170064</v>
      </c>
      <c r="S15" s="92">
        <v>438652254</v>
      </c>
      <c r="T15" s="92">
        <v>206684875</v>
      </c>
      <c r="U15" s="374">
        <f aca="true" t="shared" si="9" ref="U15:W16">C15+F15+I15+L15+O15+R15</f>
        <v>579344064</v>
      </c>
      <c r="V15" s="374">
        <f t="shared" si="9"/>
        <v>584961715</v>
      </c>
      <c r="W15" s="374">
        <f t="shared" si="9"/>
        <v>274825328</v>
      </c>
      <c r="X15" s="94">
        <v>0</v>
      </c>
      <c r="Y15" s="92">
        <v>0</v>
      </c>
      <c r="Z15" s="92">
        <v>120000</v>
      </c>
      <c r="AA15" s="92">
        <v>0</v>
      </c>
      <c r="AB15" s="92">
        <v>0</v>
      </c>
      <c r="AC15" s="92">
        <v>70071</v>
      </c>
      <c r="AD15" s="92">
        <v>0</v>
      </c>
      <c r="AE15" s="92">
        <v>0</v>
      </c>
      <c r="AF15" s="92">
        <v>0</v>
      </c>
      <c r="AG15" s="93">
        <v>0</v>
      </c>
      <c r="AH15" s="93">
        <v>0</v>
      </c>
      <c r="AI15" s="93">
        <v>0</v>
      </c>
      <c r="AJ15" s="364">
        <f aca="true" t="shared" si="10" ref="AJ15:AL16">X15+AA15+AD15+AG15</f>
        <v>0</v>
      </c>
      <c r="AK15" s="364">
        <f t="shared" si="10"/>
        <v>0</v>
      </c>
      <c r="AL15" s="364">
        <f t="shared" si="10"/>
        <v>190071</v>
      </c>
      <c r="AM15" s="117">
        <f>AJ15+U15</f>
        <v>579344064</v>
      </c>
      <c r="AN15" s="117">
        <f>AK15+V15</f>
        <v>584961715</v>
      </c>
      <c r="AO15" s="117">
        <f>AL15+W15</f>
        <v>275015399</v>
      </c>
      <c r="AP15" s="236">
        <f t="shared" si="3"/>
        <v>0.4698176324240297</v>
      </c>
      <c r="AQ15" s="246"/>
      <c r="AR15" s="241">
        <f t="shared" si="4"/>
        <v>0.4701425613811324</v>
      </c>
    </row>
    <row r="16" spans="1:44" s="118" customFormat="1" ht="55.5" customHeight="1" thickBot="1">
      <c r="A16" s="213" t="s">
        <v>24</v>
      </c>
      <c r="B16" s="227" t="s">
        <v>34</v>
      </c>
      <c r="C16" s="89">
        <v>1281966403</v>
      </c>
      <c r="D16" s="89">
        <v>1345333232</v>
      </c>
      <c r="E16" s="89">
        <v>727528901</v>
      </c>
      <c r="F16" s="89">
        <v>580041000</v>
      </c>
      <c r="G16" s="89">
        <v>580041000</v>
      </c>
      <c r="H16" s="89">
        <v>279486904</v>
      </c>
      <c r="I16" s="89">
        <v>244882000</v>
      </c>
      <c r="J16" s="89">
        <v>244882000</v>
      </c>
      <c r="K16" s="89">
        <v>54728273</v>
      </c>
      <c r="L16" s="89">
        <v>252293455</v>
      </c>
      <c r="M16" s="89">
        <v>253858455</v>
      </c>
      <c r="N16" s="89">
        <v>124721108</v>
      </c>
      <c r="O16" s="89">
        <v>194747807</v>
      </c>
      <c r="P16" s="89">
        <f>194747807+309782220</f>
        <v>504530027</v>
      </c>
      <c r="Q16" s="89">
        <v>504530027</v>
      </c>
      <c r="R16" s="89">
        <v>-613838142</v>
      </c>
      <c r="S16" s="89">
        <v>-619813356</v>
      </c>
      <c r="T16" s="89">
        <v>-294678840</v>
      </c>
      <c r="U16" s="374">
        <f t="shared" si="9"/>
        <v>1940092523</v>
      </c>
      <c r="V16" s="374">
        <f t="shared" si="9"/>
        <v>2308831358</v>
      </c>
      <c r="W16" s="374">
        <f t="shared" si="9"/>
        <v>1396316373</v>
      </c>
      <c r="X16" s="96">
        <v>77122503</v>
      </c>
      <c r="Y16" s="228">
        <v>290606322</v>
      </c>
      <c r="Z16" s="228">
        <v>258077928</v>
      </c>
      <c r="AA16" s="228">
        <v>76513900</v>
      </c>
      <c r="AB16" s="228">
        <v>76513900</v>
      </c>
      <c r="AC16" s="228">
        <v>15793007</v>
      </c>
      <c r="AD16" s="89">
        <v>250000000</v>
      </c>
      <c r="AE16" s="89">
        <v>250000000</v>
      </c>
      <c r="AF16" s="89">
        <v>2540000</v>
      </c>
      <c r="AG16" s="90">
        <v>2648658331</v>
      </c>
      <c r="AH16" s="90">
        <v>2648658331</v>
      </c>
      <c r="AI16" s="90">
        <v>2648658331</v>
      </c>
      <c r="AJ16" s="347">
        <f t="shared" si="10"/>
        <v>3052294734</v>
      </c>
      <c r="AK16" s="347">
        <f t="shared" si="10"/>
        <v>3265778553</v>
      </c>
      <c r="AL16" s="347">
        <f t="shared" si="10"/>
        <v>2925069266</v>
      </c>
      <c r="AM16" s="117">
        <f>AJ16+U16</f>
        <v>4992387257</v>
      </c>
      <c r="AN16" s="117">
        <f>AK16+V16</f>
        <v>5574609911</v>
      </c>
      <c r="AO16" s="117">
        <f>AL16+W16</f>
        <v>4321385639</v>
      </c>
      <c r="AP16" s="236">
        <f t="shared" si="3"/>
        <v>0.6047719198553955</v>
      </c>
      <c r="AQ16" s="242">
        <f>AL16/AK16</f>
        <v>0.895672875098338</v>
      </c>
      <c r="AR16" s="241">
        <f t="shared" si="4"/>
        <v>0.7751906784496082</v>
      </c>
    </row>
    <row r="17" spans="1:45" s="118" customFormat="1" ht="62.25" customHeight="1" thickBot="1">
      <c r="A17" s="218" t="s">
        <v>26</v>
      </c>
      <c r="B17" s="219" t="s">
        <v>36</v>
      </c>
      <c r="C17" s="220">
        <f aca="true" t="shared" si="11" ref="C17:M17">SUM(C14:C16)</f>
        <v>1281966403</v>
      </c>
      <c r="D17" s="220">
        <f t="shared" si="11"/>
        <v>1345333232</v>
      </c>
      <c r="E17" s="220">
        <f t="shared" si="11"/>
        <v>727528901</v>
      </c>
      <c r="F17" s="220">
        <f t="shared" si="11"/>
        <v>580041000</v>
      </c>
      <c r="G17" s="220">
        <f t="shared" si="11"/>
        <v>580041000</v>
      </c>
      <c r="H17" s="220">
        <f t="shared" si="11"/>
        <v>279486904</v>
      </c>
      <c r="I17" s="220">
        <f t="shared" si="11"/>
        <v>525787000</v>
      </c>
      <c r="J17" s="220">
        <f t="shared" si="11"/>
        <v>525787000</v>
      </c>
      <c r="K17" s="220">
        <f t="shared" si="11"/>
        <v>194181241</v>
      </c>
      <c r="L17" s="220">
        <f t="shared" si="11"/>
        <v>701280845</v>
      </c>
      <c r="M17" s="220">
        <f t="shared" si="11"/>
        <v>720901183</v>
      </c>
      <c r="N17" s="220">
        <f aca="true" t="shared" si="12" ref="N17:T17">SUM(N14:N16)</f>
        <v>368841082</v>
      </c>
      <c r="O17" s="220">
        <f t="shared" si="12"/>
        <v>203853586</v>
      </c>
      <c r="P17" s="220">
        <f t="shared" si="12"/>
        <v>694465400</v>
      </c>
      <c r="Q17" s="220">
        <f t="shared" si="12"/>
        <v>694465400</v>
      </c>
      <c r="R17" s="220">
        <f t="shared" si="12"/>
        <v>0</v>
      </c>
      <c r="S17" s="220">
        <f t="shared" si="12"/>
        <v>0</v>
      </c>
      <c r="T17" s="220">
        <f t="shared" si="12"/>
        <v>0</v>
      </c>
      <c r="U17" s="344">
        <f aca="true" t="shared" si="13" ref="U17:AE17">SUM(U14:U16)</f>
        <v>3292928834</v>
      </c>
      <c r="V17" s="344">
        <f t="shared" si="13"/>
        <v>3866527815</v>
      </c>
      <c r="W17" s="344">
        <f t="shared" si="13"/>
        <v>2264503528</v>
      </c>
      <c r="X17" s="224">
        <f t="shared" si="13"/>
        <v>77122503</v>
      </c>
      <c r="Y17" s="224">
        <f t="shared" si="13"/>
        <v>290606322</v>
      </c>
      <c r="Z17" s="224">
        <f t="shared" si="13"/>
        <v>258197928</v>
      </c>
      <c r="AA17" s="224">
        <f t="shared" si="13"/>
        <v>76513900</v>
      </c>
      <c r="AB17" s="224">
        <f t="shared" si="13"/>
        <v>76513900</v>
      </c>
      <c r="AC17" s="224">
        <f t="shared" si="13"/>
        <v>15863078</v>
      </c>
      <c r="AD17" s="220">
        <f t="shared" si="13"/>
        <v>250000000</v>
      </c>
      <c r="AE17" s="220">
        <f t="shared" si="13"/>
        <v>250000000</v>
      </c>
      <c r="AF17" s="220">
        <f aca="true" t="shared" si="14" ref="AF17:AL17">SUM(AF14:AF16)</f>
        <v>2540000</v>
      </c>
      <c r="AG17" s="220">
        <f t="shared" si="14"/>
        <v>2648658331</v>
      </c>
      <c r="AH17" s="220">
        <f t="shared" si="14"/>
        <v>2648658331</v>
      </c>
      <c r="AI17" s="220">
        <f t="shared" si="14"/>
        <v>2648658331</v>
      </c>
      <c r="AJ17" s="366">
        <f t="shared" si="14"/>
        <v>3052294734</v>
      </c>
      <c r="AK17" s="367">
        <f t="shared" si="14"/>
        <v>3265778553</v>
      </c>
      <c r="AL17" s="368">
        <f t="shared" si="14"/>
        <v>2925259337</v>
      </c>
      <c r="AM17" s="225">
        <f>SUM(AM14:AM16)</f>
        <v>6345223568</v>
      </c>
      <c r="AN17" s="225">
        <f>SUM(AN14:AN16)</f>
        <v>7132306368</v>
      </c>
      <c r="AO17" s="225">
        <f>SUM(AO14:AO16)</f>
        <v>5189762865</v>
      </c>
      <c r="AP17" s="384">
        <f t="shared" si="3"/>
        <v>0.5856684954431137</v>
      </c>
      <c r="AQ17" s="244">
        <f>AL17/AK17</f>
        <v>0.8957310759214848</v>
      </c>
      <c r="AR17" s="245">
        <f t="shared" si="4"/>
        <v>0.7276416066876391</v>
      </c>
      <c r="AS17" s="179">
        <f>AN17-AM17</f>
        <v>787082800</v>
      </c>
    </row>
    <row r="18" spans="9:45" s="201" customFormat="1" ht="27" customHeight="1" hidden="1">
      <c r="I18" s="188"/>
      <c r="J18" s="188"/>
      <c r="K18" s="188"/>
      <c r="U18" s="369">
        <f>C17+F17+I17+L17+O17+R17-U17</f>
        <v>0</v>
      </c>
      <c r="V18" s="369">
        <f>D17+G17+J17+M17+P17+S17-V17</f>
        <v>0</v>
      </c>
      <c r="W18" s="369">
        <f>E17+H17+K17+N17+Q17+T17-W17</f>
        <v>0</v>
      </c>
      <c r="AJ18" s="369">
        <f>X17+AA17+AD17+AG17-AJ17</f>
        <v>0</v>
      </c>
      <c r="AK18" s="369">
        <f>Y17+AB17+AE17+AH17-AK17</f>
        <v>0</v>
      </c>
      <c r="AL18" s="369">
        <f>Z17+AC17+AF17+AI17-AL17</f>
        <v>0</v>
      </c>
      <c r="AM18" s="188">
        <f>U17+AJ17-AM17</f>
        <v>0</v>
      </c>
      <c r="AN18" s="188">
        <f>V17+AK17-AN17</f>
        <v>0</v>
      </c>
      <c r="AO18" s="188">
        <f>W17+AL17-AO17</f>
        <v>0</v>
      </c>
      <c r="AP18" s="188"/>
      <c r="AQ18" s="188"/>
      <c r="AS18" s="201" t="s">
        <v>387</v>
      </c>
    </row>
    <row r="19" spans="2:41" s="211" customFormat="1" ht="20.25" customHeight="1" hidden="1">
      <c r="B19" s="211" t="s">
        <v>359</v>
      </c>
      <c r="C19" s="211">
        <v>1281966403</v>
      </c>
      <c r="D19" s="211">
        <v>1345333232</v>
      </c>
      <c r="E19" s="211">
        <v>727528901</v>
      </c>
      <c r="F19" s="211">
        <v>580041000</v>
      </c>
      <c r="G19" s="211">
        <v>580041000</v>
      </c>
      <c r="H19" s="211">
        <v>279486904</v>
      </c>
      <c r="I19" s="211">
        <v>525787000</v>
      </c>
      <c r="J19" s="211">
        <v>525787000</v>
      </c>
      <c r="K19" s="211">
        <v>194181241</v>
      </c>
      <c r="L19" s="211">
        <f>635059390+66221455</f>
        <v>701280845</v>
      </c>
      <c r="M19" s="211">
        <v>720901183</v>
      </c>
      <c r="N19" s="211">
        <v>368841082</v>
      </c>
      <c r="O19" s="211">
        <v>2852511917</v>
      </c>
      <c r="P19" s="211">
        <v>3343123731</v>
      </c>
      <c r="Q19" s="211">
        <v>3343123731</v>
      </c>
      <c r="R19" s="211">
        <v>613838142</v>
      </c>
      <c r="S19" s="211">
        <v>619813356</v>
      </c>
      <c r="T19" s="211">
        <v>294678840</v>
      </c>
      <c r="U19" s="370"/>
      <c r="V19" s="370"/>
      <c r="W19" s="370"/>
      <c r="X19" s="211">
        <f>38315907+38806596</f>
        <v>77122503</v>
      </c>
      <c r="Y19" s="211">
        <v>290606322</v>
      </c>
      <c r="Z19" s="211">
        <v>258197928</v>
      </c>
      <c r="AA19" s="211">
        <v>76513900</v>
      </c>
      <c r="AB19" s="211">
        <v>76513900</v>
      </c>
      <c r="AC19" s="211">
        <v>15863078</v>
      </c>
      <c r="AD19" s="211">
        <v>250000000</v>
      </c>
      <c r="AE19" s="211">
        <v>250000000</v>
      </c>
      <c r="AF19" s="211">
        <v>2540000</v>
      </c>
      <c r="AJ19" s="370"/>
      <c r="AK19" s="370"/>
      <c r="AL19" s="370"/>
      <c r="AM19" s="211">
        <f>3716350059+3242711651+R16</f>
        <v>6345223568</v>
      </c>
      <c r="AN19" s="211">
        <v>7132306368</v>
      </c>
      <c r="AO19" s="211">
        <v>5189762865</v>
      </c>
    </row>
    <row r="20" spans="3:41" s="203" customFormat="1" ht="15.75" hidden="1">
      <c r="C20" s="203">
        <f>C17-C19</f>
        <v>0</v>
      </c>
      <c r="D20" s="203" t="e">
        <f>#N/A</f>
        <v>#N/A</v>
      </c>
      <c r="E20" s="203" t="e">
        <f>#N/A</f>
        <v>#N/A</v>
      </c>
      <c r="F20" s="203" t="e">
        <f>#N/A</f>
        <v>#N/A</v>
      </c>
      <c r="G20" s="203" t="e">
        <f>#N/A</f>
        <v>#N/A</v>
      </c>
      <c r="H20" s="203" t="e">
        <f>#N/A</f>
        <v>#N/A</v>
      </c>
      <c r="I20" s="203" t="e">
        <f>#N/A</f>
        <v>#N/A</v>
      </c>
      <c r="J20" s="203" t="e">
        <f>#N/A</f>
        <v>#N/A</v>
      </c>
      <c r="K20" s="203" t="e">
        <f>#N/A</f>
        <v>#N/A</v>
      </c>
      <c r="L20" s="203" t="e">
        <f>#N/A</f>
        <v>#N/A</v>
      </c>
      <c r="M20" s="203" t="e">
        <f>#N/A</f>
        <v>#N/A</v>
      </c>
      <c r="N20" s="203" t="e">
        <f>#N/A</f>
        <v>#N/A</v>
      </c>
      <c r="O20" s="203">
        <f>O17-O19+AG16</f>
        <v>0</v>
      </c>
      <c r="P20" s="203">
        <f>P17-P19+AH16</f>
        <v>0</v>
      </c>
      <c r="Q20" s="203">
        <f>Q17-Q19+AI16</f>
        <v>0</v>
      </c>
      <c r="R20" s="203">
        <f>R17-R19-R16</f>
        <v>0</v>
      </c>
      <c r="S20" s="203">
        <f>S17-S19-S16</f>
        <v>0</v>
      </c>
      <c r="T20" s="203">
        <f>T17-T19-T16</f>
        <v>0</v>
      </c>
      <c r="U20" s="371"/>
      <c r="V20" s="371"/>
      <c r="W20" s="371"/>
      <c r="X20" s="203" t="e">
        <f>#N/A</f>
        <v>#N/A</v>
      </c>
      <c r="Y20" s="203" t="e">
        <f>#N/A</f>
        <v>#N/A</v>
      </c>
      <c r="Z20" s="203" t="e">
        <f>#N/A</f>
        <v>#N/A</v>
      </c>
      <c r="AA20" s="203" t="e">
        <f>#N/A</f>
        <v>#N/A</v>
      </c>
      <c r="AB20" s="203" t="e">
        <f>#N/A</f>
        <v>#N/A</v>
      </c>
      <c r="AC20" s="203" t="e">
        <f>#N/A</f>
        <v>#N/A</v>
      </c>
      <c r="AD20" s="203" t="e">
        <f>#N/A</f>
        <v>#N/A</v>
      </c>
      <c r="AE20" s="203" t="e">
        <f>#N/A</f>
        <v>#N/A</v>
      </c>
      <c r="AF20" s="203" t="e">
        <f>#N/A</f>
        <v>#N/A</v>
      </c>
      <c r="AJ20" s="371"/>
      <c r="AK20" s="371"/>
      <c r="AL20" s="371"/>
      <c r="AM20" s="203" t="e">
        <f>#N/A</f>
        <v>#N/A</v>
      </c>
      <c r="AN20" s="203" t="e">
        <f>#N/A</f>
        <v>#N/A</v>
      </c>
      <c r="AO20" s="203" t="e">
        <f>#N/A</f>
        <v>#N/A</v>
      </c>
    </row>
    <row r="21" ht="15.75" hidden="1"/>
    <row r="22" spans="1:43" ht="25.5" customHeight="1" hidden="1">
      <c r="A22" s="385" t="s">
        <v>10</v>
      </c>
      <c r="B22" s="388" t="s">
        <v>11</v>
      </c>
      <c r="C22" s="416" t="s">
        <v>12</v>
      </c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415"/>
      <c r="O22" s="415"/>
      <c r="P22" s="415"/>
      <c r="Q22" s="415"/>
      <c r="R22" s="415"/>
      <c r="S22" s="415"/>
      <c r="T22" s="415"/>
      <c r="U22" s="404" t="s">
        <v>159</v>
      </c>
      <c r="V22" s="399"/>
      <c r="W22" s="400"/>
      <c r="X22" s="415" t="s">
        <v>13</v>
      </c>
      <c r="Y22" s="415"/>
      <c r="Z22" s="415"/>
      <c r="AA22" s="415"/>
      <c r="AB22" s="415"/>
      <c r="AC22" s="415"/>
      <c r="AD22" s="415"/>
      <c r="AE22" s="415"/>
      <c r="AF22" s="415"/>
      <c r="AG22" s="415"/>
      <c r="AH22" s="415"/>
      <c r="AI22" s="415"/>
      <c r="AJ22" s="404" t="s">
        <v>203</v>
      </c>
      <c r="AK22" s="399"/>
      <c r="AL22" s="400" t="s">
        <v>203</v>
      </c>
      <c r="AM22" s="429" t="s">
        <v>14</v>
      </c>
      <c r="AN22" s="408"/>
      <c r="AO22" s="409" t="s">
        <v>14</v>
      </c>
      <c r="AP22" s="206"/>
      <c r="AQ22" s="206"/>
    </row>
    <row r="23" spans="1:43" ht="15.75" hidden="1">
      <c r="A23" s="386"/>
      <c r="B23" s="389"/>
      <c r="C23" s="391" t="s">
        <v>362</v>
      </c>
      <c r="D23" s="392"/>
      <c r="E23" s="393"/>
      <c r="F23" s="391" t="s">
        <v>330</v>
      </c>
      <c r="G23" s="392"/>
      <c r="H23" s="393"/>
      <c r="I23" s="391" t="s">
        <v>328</v>
      </c>
      <c r="J23" s="392"/>
      <c r="K23" s="393"/>
      <c r="L23" s="391" t="s">
        <v>331</v>
      </c>
      <c r="M23" s="392"/>
      <c r="N23" s="393"/>
      <c r="O23" s="413"/>
      <c r="P23" s="413"/>
      <c r="Q23" s="413"/>
      <c r="R23" s="413"/>
      <c r="S23" s="413"/>
      <c r="T23" s="413"/>
      <c r="U23" s="405"/>
      <c r="V23" s="402"/>
      <c r="W23" s="406"/>
      <c r="X23" s="392" t="s">
        <v>357</v>
      </c>
      <c r="Y23" s="392"/>
      <c r="Z23" s="393"/>
      <c r="AA23" s="391" t="s">
        <v>347</v>
      </c>
      <c r="AB23" s="392"/>
      <c r="AC23" s="393"/>
      <c r="AD23" s="412" t="s">
        <v>332</v>
      </c>
      <c r="AE23" s="413"/>
      <c r="AF23" s="413"/>
      <c r="AG23" s="413"/>
      <c r="AH23" s="413"/>
      <c r="AI23" s="413"/>
      <c r="AJ23" s="405"/>
      <c r="AK23" s="402"/>
      <c r="AL23" s="406"/>
      <c r="AM23" s="414"/>
      <c r="AN23" s="390"/>
      <c r="AO23" s="411"/>
      <c r="AP23" s="206"/>
      <c r="AQ23" s="206"/>
    </row>
    <row r="24" spans="1:43" ht="15.75" customHeight="1" hidden="1">
      <c r="A24" s="386"/>
      <c r="B24" s="389"/>
      <c r="C24" s="417"/>
      <c r="D24" s="418"/>
      <c r="E24" s="419"/>
      <c r="F24" s="417"/>
      <c r="G24" s="418"/>
      <c r="H24" s="419"/>
      <c r="I24" s="417"/>
      <c r="J24" s="418"/>
      <c r="K24" s="419"/>
      <c r="L24" s="417"/>
      <c r="M24" s="418"/>
      <c r="N24" s="419"/>
      <c r="O24" s="412" t="s">
        <v>333</v>
      </c>
      <c r="P24" s="413"/>
      <c r="Q24" s="414"/>
      <c r="R24" s="412" t="s">
        <v>334</v>
      </c>
      <c r="S24" s="413"/>
      <c r="T24" s="413"/>
      <c r="U24" s="405"/>
      <c r="V24" s="402"/>
      <c r="W24" s="406"/>
      <c r="X24" s="395"/>
      <c r="Y24" s="395"/>
      <c r="Z24" s="396"/>
      <c r="AA24" s="394"/>
      <c r="AB24" s="395"/>
      <c r="AC24" s="396"/>
      <c r="AD24" s="412" t="s">
        <v>358</v>
      </c>
      <c r="AE24" s="413"/>
      <c r="AF24" s="414"/>
      <c r="AG24" s="412" t="s">
        <v>215</v>
      </c>
      <c r="AH24" s="413"/>
      <c r="AI24" s="413"/>
      <c r="AJ24" s="405"/>
      <c r="AK24" s="402"/>
      <c r="AL24" s="406"/>
      <c r="AM24" s="414"/>
      <c r="AN24" s="390"/>
      <c r="AO24" s="411"/>
      <c r="AP24" s="206"/>
      <c r="AQ24" s="206"/>
    </row>
    <row r="25" spans="1:43" ht="28.5" hidden="1">
      <c r="A25" s="387"/>
      <c r="B25" s="389"/>
      <c r="C25" s="184"/>
      <c r="D25" s="184"/>
      <c r="E25" s="184" t="s">
        <v>99</v>
      </c>
      <c r="F25" s="184"/>
      <c r="G25" s="184"/>
      <c r="H25" s="184" t="s">
        <v>99</v>
      </c>
      <c r="I25" s="184"/>
      <c r="J25" s="184"/>
      <c r="K25" s="184" t="s">
        <v>99</v>
      </c>
      <c r="L25" s="184"/>
      <c r="M25" s="184"/>
      <c r="N25" s="184" t="s">
        <v>99</v>
      </c>
      <c r="O25" s="184"/>
      <c r="P25" s="184"/>
      <c r="Q25" s="184" t="s">
        <v>99</v>
      </c>
      <c r="R25" s="184"/>
      <c r="S25" s="184"/>
      <c r="T25" s="192" t="s">
        <v>99</v>
      </c>
      <c r="U25" s="334"/>
      <c r="V25" s="335"/>
      <c r="W25" s="336" t="s">
        <v>99</v>
      </c>
      <c r="X25" s="197"/>
      <c r="Y25" s="184"/>
      <c r="Z25" s="184" t="s">
        <v>99</v>
      </c>
      <c r="AA25" s="184"/>
      <c r="AB25" s="184"/>
      <c r="AC25" s="184" t="s">
        <v>99</v>
      </c>
      <c r="AD25" s="184"/>
      <c r="AE25" s="184"/>
      <c r="AF25" s="184" t="s">
        <v>99</v>
      </c>
      <c r="AG25" s="184"/>
      <c r="AH25" s="184"/>
      <c r="AI25" s="192" t="s">
        <v>99</v>
      </c>
      <c r="AJ25" s="334"/>
      <c r="AK25" s="335"/>
      <c r="AL25" s="336" t="s">
        <v>99</v>
      </c>
      <c r="AM25" s="197" t="s">
        <v>153</v>
      </c>
      <c r="AN25" s="184" t="s">
        <v>329</v>
      </c>
      <c r="AO25" s="194" t="s">
        <v>99</v>
      </c>
      <c r="AP25" s="233"/>
      <c r="AQ25" s="233"/>
    </row>
    <row r="26" spans="1:43" ht="71.25" customHeight="1" hidden="1">
      <c r="A26" s="38" t="s">
        <v>15</v>
      </c>
      <c r="B26" s="116" t="s">
        <v>204</v>
      </c>
      <c r="C26" s="85"/>
      <c r="D26" s="85"/>
      <c r="E26" s="85"/>
      <c r="F26" s="85"/>
      <c r="G26" s="85"/>
      <c r="H26" s="85"/>
      <c r="I26" s="85"/>
      <c r="J26" s="85"/>
      <c r="K26" s="229">
        <f>K10/J10</f>
        <v>0.5308654348393836</v>
      </c>
      <c r="L26" s="85"/>
      <c r="M26" s="85"/>
      <c r="N26" s="229">
        <f>N10/M10</f>
        <v>0.5075247519891798</v>
      </c>
      <c r="O26" s="85"/>
      <c r="P26" s="85"/>
      <c r="Q26" s="229">
        <f>Q10/P10</f>
        <v>1</v>
      </c>
      <c r="R26" s="85"/>
      <c r="S26" s="85"/>
      <c r="T26" s="229" t="e">
        <f>#N/A</f>
        <v>#N/A</v>
      </c>
      <c r="U26" s="337"/>
      <c r="V26" s="338"/>
      <c r="W26" s="352">
        <f>W10/V10</f>
        <v>0.5820487942881037</v>
      </c>
      <c r="X26" s="86"/>
      <c r="Y26" s="85"/>
      <c r="Z26" s="229"/>
      <c r="AA26" s="85"/>
      <c r="AB26" s="85"/>
      <c r="AC26" s="229"/>
      <c r="AD26" s="85"/>
      <c r="AE26" s="85"/>
      <c r="AF26" s="229"/>
      <c r="AG26" s="85"/>
      <c r="AH26" s="85"/>
      <c r="AI26" s="229"/>
      <c r="AJ26" s="364"/>
      <c r="AK26" s="365"/>
      <c r="AL26" s="357"/>
      <c r="AM26" s="191"/>
      <c r="AN26" s="87"/>
      <c r="AO26" s="231">
        <f>AO10/AN10</f>
        <v>0.5820487942881037</v>
      </c>
      <c r="AP26" s="234"/>
      <c r="AQ26" s="234"/>
    </row>
    <row r="27" spans="1:43" ht="56.25" customHeight="1" hidden="1">
      <c r="A27" s="38" t="s">
        <v>22</v>
      </c>
      <c r="B27" s="116" t="s">
        <v>25</v>
      </c>
      <c r="C27" s="85"/>
      <c r="D27" s="85"/>
      <c r="E27" s="85"/>
      <c r="F27" s="85"/>
      <c r="G27" s="85"/>
      <c r="H27" s="85"/>
      <c r="I27" s="85"/>
      <c r="J27" s="85"/>
      <c r="K27" s="229" t="e">
        <f>#N/A</f>
        <v>#N/A</v>
      </c>
      <c r="L27" s="85"/>
      <c r="M27" s="85"/>
      <c r="N27" s="229" t="e">
        <f>#N/A</f>
        <v>#N/A</v>
      </c>
      <c r="O27" s="85"/>
      <c r="P27" s="85"/>
      <c r="Q27" s="229" t="e">
        <f>#N/A</f>
        <v>#N/A</v>
      </c>
      <c r="R27" s="85"/>
      <c r="S27" s="85"/>
      <c r="T27" s="229" t="e">
        <f>#N/A</f>
        <v>#N/A</v>
      </c>
      <c r="U27" s="337"/>
      <c r="V27" s="338"/>
      <c r="W27" s="352" t="e">
        <f>#N/A</f>
        <v>#N/A</v>
      </c>
      <c r="X27" s="86"/>
      <c r="Y27" s="85"/>
      <c r="Z27" s="229"/>
      <c r="AA27" s="85"/>
      <c r="AB27" s="85"/>
      <c r="AC27" s="229"/>
      <c r="AD27" s="85"/>
      <c r="AE27" s="85"/>
      <c r="AF27" s="229"/>
      <c r="AG27" s="85"/>
      <c r="AH27" s="85"/>
      <c r="AI27" s="229"/>
      <c r="AJ27" s="364"/>
      <c r="AK27" s="365"/>
      <c r="AL27" s="357"/>
      <c r="AM27" s="191"/>
      <c r="AN27" s="87"/>
      <c r="AO27" s="231" t="e">
        <f>#N/A</f>
        <v>#N/A</v>
      </c>
      <c r="AP27" s="234"/>
      <c r="AQ27" s="234"/>
    </row>
    <row r="28" spans="1:43" ht="31.5" hidden="1">
      <c r="A28" s="38" t="s">
        <v>23</v>
      </c>
      <c r="B28" s="116" t="s">
        <v>29</v>
      </c>
      <c r="C28" s="85"/>
      <c r="D28" s="85"/>
      <c r="E28" s="85"/>
      <c r="F28" s="85"/>
      <c r="G28" s="85"/>
      <c r="H28" s="85"/>
      <c r="I28" s="85"/>
      <c r="J28" s="85"/>
      <c r="K28" s="229" t="e">
        <f>#N/A</f>
        <v>#N/A</v>
      </c>
      <c r="L28" s="85"/>
      <c r="M28" s="85"/>
      <c r="N28" s="229" t="e">
        <f>#N/A</f>
        <v>#N/A</v>
      </c>
      <c r="O28" s="85"/>
      <c r="P28" s="85"/>
      <c r="Q28" s="229" t="e">
        <f>#N/A</f>
        <v>#N/A</v>
      </c>
      <c r="R28" s="85"/>
      <c r="S28" s="85"/>
      <c r="T28" s="229" t="e">
        <f>#N/A</f>
        <v>#N/A</v>
      </c>
      <c r="U28" s="337"/>
      <c r="V28" s="338"/>
      <c r="W28" s="352" t="e">
        <f>#N/A</f>
        <v>#N/A</v>
      </c>
      <c r="X28" s="86"/>
      <c r="Y28" s="85"/>
      <c r="Z28" s="229"/>
      <c r="AA28" s="85"/>
      <c r="AB28" s="85"/>
      <c r="AC28" s="229"/>
      <c r="AD28" s="85"/>
      <c r="AE28" s="85"/>
      <c r="AF28" s="229"/>
      <c r="AG28" s="85"/>
      <c r="AH28" s="85"/>
      <c r="AI28" s="229"/>
      <c r="AJ28" s="364"/>
      <c r="AK28" s="365"/>
      <c r="AL28" s="357"/>
      <c r="AM28" s="191"/>
      <c r="AN28" s="87"/>
      <c r="AO28" s="231" t="e">
        <f>#N/A</f>
        <v>#N/A</v>
      </c>
      <c r="AP28" s="234"/>
      <c r="AQ28" s="234"/>
    </row>
    <row r="29" spans="1:43" ht="32.25" hidden="1" thickBot="1">
      <c r="A29" s="213" t="s">
        <v>52</v>
      </c>
      <c r="B29" s="214" t="s">
        <v>27</v>
      </c>
      <c r="C29" s="89"/>
      <c r="D29" s="89"/>
      <c r="E29" s="89"/>
      <c r="F29" s="89"/>
      <c r="G29" s="89"/>
      <c r="H29" s="89"/>
      <c r="I29" s="89"/>
      <c r="J29" s="89"/>
      <c r="K29" s="229" t="e">
        <f>#N/A</f>
        <v>#N/A</v>
      </c>
      <c r="L29" s="89"/>
      <c r="M29" s="89"/>
      <c r="N29" s="229" t="e">
        <f>#N/A</f>
        <v>#N/A</v>
      </c>
      <c r="O29" s="89"/>
      <c r="P29" s="89"/>
      <c r="Q29" s="229" t="e">
        <f>#N/A</f>
        <v>#N/A</v>
      </c>
      <c r="R29" s="89"/>
      <c r="S29" s="89"/>
      <c r="T29" s="229" t="e">
        <f>#N/A</f>
        <v>#N/A</v>
      </c>
      <c r="U29" s="340"/>
      <c r="V29" s="341"/>
      <c r="W29" s="352" t="e">
        <f>#N/A</f>
        <v>#N/A</v>
      </c>
      <c r="X29" s="189"/>
      <c r="Y29" s="89"/>
      <c r="Z29" s="229"/>
      <c r="AA29" s="89"/>
      <c r="AB29" s="89"/>
      <c r="AC29" s="229"/>
      <c r="AD29" s="89"/>
      <c r="AE29" s="89"/>
      <c r="AF29" s="229"/>
      <c r="AG29" s="89"/>
      <c r="AH29" s="89"/>
      <c r="AI29" s="229"/>
      <c r="AJ29" s="347"/>
      <c r="AK29" s="348"/>
      <c r="AL29" s="357"/>
      <c r="AM29" s="215"/>
      <c r="AN29" s="90"/>
      <c r="AO29" s="231" t="e">
        <f>#N/A</f>
        <v>#N/A</v>
      </c>
      <c r="AP29" s="234"/>
      <c r="AQ29" s="234"/>
    </row>
    <row r="30" spans="1:43" ht="48" hidden="1" thickBot="1">
      <c r="A30" s="218" t="s">
        <v>54</v>
      </c>
      <c r="B30" s="219" t="s">
        <v>30</v>
      </c>
      <c r="C30" s="220"/>
      <c r="D30" s="220"/>
      <c r="E30" s="220"/>
      <c r="F30" s="220"/>
      <c r="G30" s="220"/>
      <c r="H30" s="220"/>
      <c r="I30" s="220"/>
      <c r="J30" s="220"/>
      <c r="K30" s="230" t="e">
        <f>#N/A</f>
        <v>#N/A</v>
      </c>
      <c r="L30" s="220"/>
      <c r="M30" s="220"/>
      <c r="N30" s="230" t="e">
        <f>#N/A</f>
        <v>#N/A</v>
      </c>
      <c r="O30" s="220"/>
      <c r="P30" s="220"/>
      <c r="Q30" s="230" t="e">
        <f>#N/A</f>
        <v>#N/A</v>
      </c>
      <c r="R30" s="220"/>
      <c r="S30" s="220"/>
      <c r="T30" s="230" t="e">
        <f>#N/A</f>
        <v>#N/A</v>
      </c>
      <c r="U30" s="343"/>
      <c r="V30" s="375"/>
      <c r="W30" s="353" t="e">
        <f>#N/A</f>
        <v>#N/A</v>
      </c>
      <c r="X30" s="224"/>
      <c r="Y30" s="220"/>
      <c r="Z30" s="230"/>
      <c r="AA30" s="220"/>
      <c r="AB30" s="220"/>
      <c r="AC30" s="230"/>
      <c r="AD30" s="220"/>
      <c r="AE30" s="220"/>
      <c r="AF30" s="230"/>
      <c r="AG30" s="220"/>
      <c r="AH30" s="220"/>
      <c r="AI30" s="230"/>
      <c r="AJ30" s="366"/>
      <c r="AK30" s="367"/>
      <c r="AL30" s="358"/>
      <c r="AM30" s="226"/>
      <c r="AN30" s="221"/>
      <c r="AO30" s="232" t="e">
        <f>#N/A</f>
        <v>#N/A</v>
      </c>
      <c r="AP30" s="235"/>
      <c r="AQ30" s="235"/>
    </row>
    <row r="31" spans="1:43" ht="36" customHeight="1" hidden="1">
      <c r="A31" s="207" t="s">
        <v>48</v>
      </c>
      <c r="B31" s="216" t="s">
        <v>32</v>
      </c>
      <c r="C31" s="92"/>
      <c r="D31" s="92"/>
      <c r="E31" s="92"/>
      <c r="F31" s="92"/>
      <c r="G31" s="92"/>
      <c r="H31" s="92"/>
      <c r="I31" s="92"/>
      <c r="J31" s="92"/>
      <c r="K31" s="229" t="e">
        <f>#N/A</f>
        <v>#N/A</v>
      </c>
      <c r="L31" s="92"/>
      <c r="M31" s="92"/>
      <c r="N31" s="229"/>
      <c r="O31" s="92"/>
      <c r="P31" s="92"/>
      <c r="Q31" s="229" t="e">
        <f>#N/A</f>
        <v>#N/A</v>
      </c>
      <c r="R31" s="92"/>
      <c r="S31" s="92"/>
      <c r="T31" s="229" t="e">
        <f>#N/A</f>
        <v>#N/A</v>
      </c>
      <c r="U31" s="376"/>
      <c r="V31" s="377"/>
      <c r="W31" s="352" t="e">
        <f>#N/A</f>
        <v>#N/A</v>
      </c>
      <c r="X31" s="94"/>
      <c r="Y31" s="92"/>
      <c r="Z31" s="229"/>
      <c r="AA31" s="92"/>
      <c r="AB31" s="92"/>
      <c r="AC31" s="229"/>
      <c r="AD31" s="92"/>
      <c r="AE31" s="92"/>
      <c r="AF31" s="229"/>
      <c r="AG31" s="93"/>
      <c r="AH31" s="93"/>
      <c r="AI31" s="229"/>
      <c r="AJ31" s="356"/>
      <c r="AK31" s="346"/>
      <c r="AL31" s="357"/>
      <c r="AM31" s="217"/>
      <c r="AN31" s="93"/>
      <c r="AO31" s="231" t="e">
        <f>#N/A</f>
        <v>#N/A</v>
      </c>
      <c r="AP31" s="234"/>
      <c r="AQ31" s="234"/>
    </row>
    <row r="32" spans="1:43" ht="27" customHeight="1" hidden="1" thickBot="1">
      <c r="A32" s="213" t="s">
        <v>24</v>
      </c>
      <c r="B32" s="227" t="s">
        <v>34</v>
      </c>
      <c r="C32" s="89"/>
      <c r="D32" s="89"/>
      <c r="E32" s="229">
        <f>E16/D16</f>
        <v>0.5407796995532776</v>
      </c>
      <c r="F32" s="89"/>
      <c r="G32" s="89"/>
      <c r="H32" s="229">
        <f>H16/G16</f>
        <v>0.4818399113166138</v>
      </c>
      <c r="I32" s="89"/>
      <c r="J32" s="89"/>
      <c r="K32" s="229" t="e">
        <f>#N/A</f>
        <v>#N/A</v>
      </c>
      <c r="L32" s="89"/>
      <c r="M32" s="89"/>
      <c r="N32" s="229" t="e">
        <f>#N/A</f>
        <v>#N/A</v>
      </c>
      <c r="O32" s="89"/>
      <c r="P32" s="89"/>
      <c r="Q32" s="229" t="e">
        <f>#N/A</f>
        <v>#N/A</v>
      </c>
      <c r="R32" s="89"/>
      <c r="S32" s="89"/>
      <c r="T32" s="229"/>
      <c r="U32" s="340"/>
      <c r="V32" s="341"/>
      <c r="W32" s="352" t="e">
        <f>#N/A</f>
        <v>#N/A</v>
      </c>
      <c r="X32" s="96"/>
      <c r="Y32" s="228"/>
      <c r="Z32" s="229">
        <f>Z16/Y16</f>
        <v>0.8880671494820405</v>
      </c>
      <c r="AA32" s="228"/>
      <c r="AB32" s="228"/>
      <c r="AC32" s="229">
        <f>AC16/AB16</f>
        <v>0.20640703192491822</v>
      </c>
      <c r="AD32" s="89"/>
      <c r="AE32" s="89"/>
      <c r="AF32" s="229">
        <f>AF16/AE16</f>
        <v>0.01016</v>
      </c>
      <c r="AG32" s="90"/>
      <c r="AH32" s="90"/>
      <c r="AI32" s="229">
        <f>AI16/AH16</f>
        <v>1</v>
      </c>
      <c r="AJ32" s="347"/>
      <c r="AK32" s="348"/>
      <c r="AL32" s="357">
        <f>AL16/AK16</f>
        <v>0.895672875098338</v>
      </c>
      <c r="AM32" s="215"/>
      <c r="AN32" s="90"/>
      <c r="AO32" s="231" t="e">
        <f>#N/A</f>
        <v>#N/A</v>
      </c>
      <c r="AP32" s="234"/>
      <c r="AQ32" s="234"/>
    </row>
    <row r="33" spans="1:43" ht="36" customHeight="1" hidden="1" thickBot="1">
      <c r="A33" s="218" t="s">
        <v>26</v>
      </c>
      <c r="B33" s="219" t="s">
        <v>36</v>
      </c>
      <c r="C33" s="220"/>
      <c r="D33" s="220"/>
      <c r="E33" s="230">
        <f>E17/D17</f>
        <v>0.5407796995532776</v>
      </c>
      <c r="F33" s="220"/>
      <c r="G33" s="220"/>
      <c r="H33" s="230">
        <f>H17/G17</f>
        <v>0.4818399113166138</v>
      </c>
      <c r="I33" s="220"/>
      <c r="J33" s="220"/>
      <c r="K33" s="230">
        <f>K17/J17</f>
        <v>0.3693154090915142</v>
      </c>
      <c r="L33" s="220"/>
      <c r="M33" s="220"/>
      <c r="N33" s="230">
        <f>N17/M17</f>
        <v>0.5116388912903199</v>
      </c>
      <c r="O33" s="220"/>
      <c r="P33" s="220"/>
      <c r="Q33" s="230">
        <f>Q17/P17</f>
        <v>1</v>
      </c>
      <c r="R33" s="220"/>
      <c r="S33" s="220"/>
      <c r="T33" s="230"/>
      <c r="U33" s="343"/>
      <c r="V33" s="375"/>
      <c r="W33" s="353">
        <f>W17/V17</f>
        <v>0.5856684954431137</v>
      </c>
      <c r="X33" s="224"/>
      <c r="Y33" s="220"/>
      <c r="Z33" s="230">
        <f>Z17/Y17</f>
        <v>0.8884800792461769</v>
      </c>
      <c r="AA33" s="220"/>
      <c r="AB33" s="220"/>
      <c r="AC33" s="230">
        <f>AC17/AB17</f>
        <v>0.20732282630999074</v>
      </c>
      <c r="AD33" s="220"/>
      <c r="AE33" s="220"/>
      <c r="AF33" s="230">
        <f>AF17/AE17</f>
        <v>0.01016</v>
      </c>
      <c r="AG33" s="220"/>
      <c r="AH33" s="220"/>
      <c r="AI33" s="230">
        <f>AI17/AH17</f>
        <v>1</v>
      </c>
      <c r="AJ33" s="366"/>
      <c r="AK33" s="367"/>
      <c r="AL33" s="358">
        <f>AL17/AK17</f>
        <v>0.8957310759214848</v>
      </c>
      <c r="AM33" s="226"/>
      <c r="AN33" s="221"/>
      <c r="AO33" s="232">
        <f>AO17/AN17</f>
        <v>0.7276416066876391</v>
      </c>
      <c r="AP33" s="235"/>
      <c r="AQ33" s="235"/>
    </row>
    <row r="34" ht="15.75" hidden="1"/>
    <row r="35" ht="15.75" hidden="1">
      <c r="B35" s="382" t="s">
        <v>401</v>
      </c>
    </row>
    <row r="36" spans="2:38" s="201" customFormat="1" ht="15.75" hidden="1">
      <c r="B36" s="201" t="s">
        <v>400</v>
      </c>
      <c r="E36" s="380"/>
      <c r="K36" s="188">
        <f>(50-22.35)/100*J16</f>
        <v>67709872.99999999</v>
      </c>
      <c r="U36" s="381"/>
      <c r="V36" s="381"/>
      <c r="W36" s="381"/>
      <c r="AJ36" s="381"/>
      <c r="AK36" s="381"/>
      <c r="AL36" s="381"/>
    </row>
    <row r="37" spans="36:41" ht="15.75" hidden="1">
      <c r="AJ37" s="347"/>
      <c r="AK37" s="348"/>
      <c r="AL37" s="342"/>
      <c r="AM37" s="204"/>
      <c r="AN37" s="204"/>
      <c r="AO37" s="204"/>
    </row>
    <row r="38" ht="15.75" hidden="1"/>
    <row r="39" ht="15.75" hidden="1"/>
    <row r="40" ht="15.75" hidden="1">
      <c r="AH40" s="204">
        <f>AH16+P16</f>
        <v>3153188358</v>
      </c>
    </row>
    <row r="41" ht="15.75" hidden="1"/>
    <row r="42" spans="39:41" ht="15.75" hidden="1">
      <c r="AM42" s="279">
        <v>3242711651</v>
      </c>
      <c r="AN42" s="279">
        <v>3539182637</v>
      </c>
      <c r="AO42" s="279">
        <v>1844099134</v>
      </c>
    </row>
    <row r="43" spans="39:41" ht="15.75" hidden="1">
      <c r="AM43" s="279">
        <v>3716350059</v>
      </c>
      <c r="AN43" s="279">
        <v>4212937087</v>
      </c>
      <c r="AO43" s="279">
        <v>3640342571</v>
      </c>
    </row>
    <row r="44" spans="39:41" ht="15.75" hidden="1">
      <c r="AM44" s="279">
        <f>SUM(AM42:AM43)</f>
        <v>6959061710</v>
      </c>
      <c r="AN44" s="279">
        <f>SUM(AN42:AN43)</f>
        <v>7752119724</v>
      </c>
      <c r="AO44" s="279">
        <f>SUM(AO42:AO43)</f>
        <v>5484441705</v>
      </c>
    </row>
    <row r="45" spans="33:41" ht="15.75" hidden="1">
      <c r="AG45" s="204"/>
      <c r="AH45" s="204"/>
      <c r="AI45" s="204"/>
      <c r="AM45" s="279">
        <f>AM44-AM17</f>
        <v>613838142</v>
      </c>
      <c r="AN45" s="279">
        <f>AN44-AN17</f>
        <v>619813356</v>
      </c>
      <c r="AO45" s="279">
        <f>AO44-AO17</f>
        <v>294678840</v>
      </c>
    </row>
    <row r="46" ht="15.75" hidden="1">
      <c r="AO46" s="204"/>
    </row>
    <row r="49" spans="39:42" ht="15.75" hidden="1">
      <c r="AM49" s="279"/>
      <c r="AN49" s="279"/>
      <c r="AO49" s="279"/>
      <c r="AP49" s="279"/>
    </row>
    <row r="50" spans="39:42" ht="15.75" hidden="1">
      <c r="AM50" s="279">
        <v>2512819261</v>
      </c>
      <c r="AN50" s="279">
        <v>2791234909</v>
      </c>
      <c r="AO50" s="279">
        <v>1460336121</v>
      </c>
      <c r="AP50" s="279"/>
    </row>
    <row r="51" spans="39:42" ht="15.75" hidden="1">
      <c r="AM51" s="279">
        <v>3093406138</v>
      </c>
      <c r="AN51" s="279">
        <v>3403188358</v>
      </c>
      <c r="AO51" s="279">
        <v>3155728358</v>
      </c>
      <c r="AP51" s="279"/>
    </row>
    <row r="52" spans="39:42" ht="15.75" hidden="1">
      <c r="AM52" s="279">
        <f>SUM(AM50:AM51)</f>
        <v>5606225399</v>
      </c>
      <c r="AN52" s="279">
        <f>SUM(AN50:AN51)</f>
        <v>6194423267</v>
      </c>
      <c r="AO52" s="279">
        <f>SUM(AO50:AO51)</f>
        <v>4616064479</v>
      </c>
      <c r="AP52" s="279"/>
    </row>
    <row r="53" spans="39:42" ht="15.75" hidden="1">
      <c r="AM53" s="279">
        <f>AM52-AM16</f>
        <v>613838142</v>
      </c>
      <c r="AN53" s="279">
        <f>AN52-AN16</f>
        <v>619813356</v>
      </c>
      <c r="AO53" s="279">
        <f>AO52-AO16</f>
        <v>294678840</v>
      </c>
      <c r="AP53" s="279"/>
    </row>
    <row r="54" spans="39:42" ht="15.75">
      <c r="AM54" s="279"/>
      <c r="AN54" s="279"/>
      <c r="AO54" s="279"/>
      <c r="AP54" s="279"/>
    </row>
    <row r="55" spans="39:42" ht="15.75">
      <c r="AM55" s="279"/>
      <c r="AN55" s="279"/>
      <c r="AO55" s="279"/>
      <c r="AP55" s="279"/>
    </row>
    <row r="56" spans="39:42" ht="15.75">
      <c r="AM56" s="279"/>
      <c r="AN56" s="279"/>
      <c r="AO56" s="279"/>
      <c r="AP56" s="279"/>
    </row>
    <row r="57" spans="39:42" ht="15.75">
      <c r="AM57" s="279"/>
      <c r="AN57" s="279"/>
      <c r="AO57" s="279"/>
      <c r="AP57" s="279"/>
    </row>
    <row r="58" spans="39:42" ht="15.75">
      <c r="AM58" s="279"/>
      <c r="AN58" s="279"/>
      <c r="AO58" s="279"/>
      <c r="AP58" s="279"/>
    </row>
    <row r="59" spans="39:42" ht="15.75">
      <c r="AM59" s="279"/>
      <c r="AN59" s="279"/>
      <c r="AO59" s="279"/>
      <c r="AP59" s="279"/>
    </row>
    <row r="60" spans="39:42" ht="15.75">
      <c r="AM60" s="279"/>
      <c r="AN60" s="279"/>
      <c r="AO60" s="279"/>
      <c r="AP60" s="279"/>
    </row>
    <row r="61" spans="39:42" ht="15.75">
      <c r="AM61" s="279"/>
      <c r="AN61" s="279"/>
      <c r="AO61" s="279"/>
      <c r="AP61" s="279"/>
    </row>
  </sheetData>
  <sheetProtection/>
  <mergeCells count="44">
    <mergeCell ref="AG24:AI24"/>
    <mergeCell ref="AP6:AR6"/>
    <mergeCell ref="AP7:AP9"/>
    <mergeCell ref="AQ7:AQ9"/>
    <mergeCell ref="AR7:AR9"/>
    <mergeCell ref="AM22:AO24"/>
    <mergeCell ref="AJ22:AL24"/>
    <mergeCell ref="AD7:AI7"/>
    <mergeCell ref="C23:E24"/>
    <mergeCell ref="F23:H24"/>
    <mergeCell ref="I23:K24"/>
    <mergeCell ref="L23:N24"/>
    <mergeCell ref="O23:T23"/>
    <mergeCell ref="X23:Z24"/>
    <mergeCell ref="AA23:AC24"/>
    <mergeCell ref="AD23:AI23"/>
    <mergeCell ref="A22:A25"/>
    <mergeCell ref="B22:B25"/>
    <mergeCell ref="C22:T22"/>
    <mergeCell ref="U22:W24"/>
    <mergeCell ref="X22:AI22"/>
    <mergeCell ref="O24:Q24"/>
    <mergeCell ref="R24:T24"/>
    <mergeCell ref="AD24:AF24"/>
    <mergeCell ref="C2:W2"/>
    <mergeCell ref="X2:AR2"/>
    <mergeCell ref="C6:T6"/>
    <mergeCell ref="U6:W8"/>
    <mergeCell ref="AJ6:AL8"/>
    <mergeCell ref="AM6:AO8"/>
    <mergeCell ref="AD8:AF8"/>
    <mergeCell ref="O8:Q8"/>
    <mergeCell ref="X6:AI6"/>
    <mergeCell ref="AG8:AI8"/>
    <mergeCell ref="A6:A9"/>
    <mergeCell ref="B6:B9"/>
    <mergeCell ref="C7:E8"/>
    <mergeCell ref="F7:H8"/>
    <mergeCell ref="R8:T8"/>
    <mergeCell ref="AA7:AC8"/>
    <mergeCell ref="I7:K8"/>
    <mergeCell ref="L7:N8"/>
    <mergeCell ref="O7:T7"/>
    <mergeCell ref="X7:Z8"/>
  </mergeCells>
  <printOptions/>
  <pageMargins left="0" right="0" top="0.3937007874015748" bottom="0.3937007874015748" header="0.5118110236220472" footer="0.5118110236220472"/>
  <pageSetup fitToHeight="0" fitToWidth="0" horizontalDpi="600" verticalDpi="600" orientation="landscape" paperSize="9" scale="50" r:id="rId1"/>
  <colBreaks count="1" manualBreakCount="1">
    <brk id="23" max="1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P23"/>
  <sheetViews>
    <sheetView zoomScale="120" zoomScaleNormal="120" zoomScalePageLayoutView="0" workbookViewId="0" topLeftCell="A1">
      <selection activeCell="I2" sqref="I2:O2"/>
    </sheetView>
  </sheetViews>
  <sheetFormatPr defaultColWidth="9.140625" defaultRowHeight="12.75"/>
  <cols>
    <col min="1" max="1" width="6.00390625" style="1" customWidth="1"/>
    <col min="2" max="2" width="31.421875" style="1" customWidth="1"/>
    <col min="3" max="3" width="12.7109375" style="1" bestFit="1" customWidth="1"/>
    <col min="4" max="15" width="11.140625" style="1" bestFit="1" customWidth="1"/>
    <col min="16" max="16" width="11.28125" style="1" hidden="1" customWidth="1"/>
    <col min="17" max="35" width="9.140625" style="1" customWidth="1"/>
    <col min="36" max="38" width="0" style="1" hidden="1" customWidth="1"/>
    <col min="39" max="16384" width="9.140625" style="1" customWidth="1"/>
  </cols>
  <sheetData>
    <row r="2" spans="1:15" ht="15.75">
      <c r="A2" s="4"/>
      <c r="B2" s="558"/>
      <c r="C2" s="558"/>
      <c r="D2" s="559"/>
      <c r="E2" s="559"/>
      <c r="F2" s="559"/>
      <c r="I2" s="560" t="s">
        <v>402</v>
      </c>
      <c r="J2" s="560"/>
      <c r="K2" s="560"/>
      <c r="L2" s="560"/>
      <c r="M2" s="560"/>
      <c r="N2" s="560"/>
      <c r="O2" s="560"/>
    </row>
    <row r="3" ht="12.75">
      <c r="A3" s="4"/>
    </row>
    <row r="4" ht="12.75">
      <c r="A4" s="4"/>
    </row>
    <row r="5" ht="12.75">
      <c r="A5" s="4"/>
    </row>
    <row r="6" spans="1:15" ht="20.25">
      <c r="A6" s="4"/>
      <c r="B6" s="555" t="s">
        <v>326</v>
      </c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5"/>
      <c r="O6" s="555"/>
    </row>
    <row r="7" spans="1:15" ht="20.25">
      <c r="A7" s="4"/>
      <c r="B7" s="555" t="s">
        <v>144</v>
      </c>
      <c r="C7" s="555"/>
      <c r="D7" s="555"/>
      <c r="E7" s="555"/>
      <c r="F7" s="555"/>
      <c r="G7" s="555"/>
      <c r="H7" s="555"/>
      <c r="I7" s="555"/>
      <c r="J7" s="555"/>
      <c r="K7" s="555"/>
      <c r="L7" s="555"/>
      <c r="M7" s="555"/>
      <c r="N7" s="555"/>
      <c r="O7" s="555"/>
    </row>
    <row r="8" spans="1:15" ht="19.5" customHeight="1">
      <c r="A8" s="4"/>
      <c r="B8" s="555" t="s">
        <v>127</v>
      </c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</row>
    <row r="9" spans="1:15" ht="12.75" customHeight="1">
      <c r="A9" s="4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66"/>
      <c r="N9" s="166"/>
      <c r="O9" s="154" t="s">
        <v>236</v>
      </c>
    </row>
    <row r="10" spans="1:15" ht="12.75" customHeight="1">
      <c r="A10" s="4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</row>
    <row r="11" spans="1:15" ht="12.75">
      <c r="A11" s="5"/>
      <c r="B11" s="27" t="s">
        <v>0</v>
      </c>
      <c r="C11" s="27" t="s">
        <v>1</v>
      </c>
      <c r="D11" s="27" t="s">
        <v>2</v>
      </c>
      <c r="E11" s="27" t="s">
        <v>3</v>
      </c>
      <c r="F11" s="27" t="s">
        <v>4</v>
      </c>
      <c r="G11" s="27" t="s">
        <v>5</v>
      </c>
      <c r="H11" s="27" t="s">
        <v>81</v>
      </c>
      <c r="I11" s="27" t="s">
        <v>6</v>
      </c>
      <c r="J11" s="27" t="s">
        <v>7</v>
      </c>
      <c r="K11" s="27" t="s">
        <v>39</v>
      </c>
      <c r="L11" s="27" t="s">
        <v>8</v>
      </c>
      <c r="M11" s="27" t="s">
        <v>94</v>
      </c>
      <c r="N11" s="27" t="s">
        <v>40</v>
      </c>
      <c r="O11" s="27" t="s">
        <v>9</v>
      </c>
    </row>
    <row r="12" spans="1:15" ht="25.5">
      <c r="A12" s="131" t="s">
        <v>10</v>
      </c>
      <c r="B12" s="132" t="s">
        <v>145</v>
      </c>
      <c r="C12" s="132" t="s">
        <v>130</v>
      </c>
      <c r="D12" s="133" t="s">
        <v>131</v>
      </c>
      <c r="E12" s="133" t="s">
        <v>132</v>
      </c>
      <c r="F12" s="133" t="s">
        <v>133</v>
      </c>
      <c r="G12" s="133" t="s">
        <v>134</v>
      </c>
      <c r="H12" s="133" t="s">
        <v>135</v>
      </c>
      <c r="I12" s="133" t="s">
        <v>136</v>
      </c>
      <c r="J12" s="133" t="s">
        <v>137</v>
      </c>
      <c r="K12" s="133" t="s">
        <v>138</v>
      </c>
      <c r="L12" s="133" t="s">
        <v>139</v>
      </c>
      <c r="M12" s="133" t="s">
        <v>140</v>
      </c>
      <c r="N12" s="133" t="s">
        <v>141</v>
      </c>
      <c r="O12" s="133" t="s">
        <v>142</v>
      </c>
    </row>
    <row r="13" spans="1:16" ht="24" customHeight="1">
      <c r="A13" s="131" t="s">
        <v>15</v>
      </c>
      <c r="B13" s="134" t="s">
        <v>42</v>
      </c>
      <c r="C13" s="135">
        <f>2!D17</f>
        <v>1121402626</v>
      </c>
      <c r="D13" s="136">
        <f>C13/12</f>
        <v>93450218.83333333</v>
      </c>
      <c r="E13" s="136">
        <f>D13</f>
        <v>93450218.83333333</v>
      </c>
      <c r="F13" s="136">
        <f aca="true" t="shared" si="0" ref="F13:O13">E13</f>
        <v>93450218.83333333</v>
      </c>
      <c r="G13" s="136">
        <f t="shared" si="0"/>
        <v>93450218.83333333</v>
      </c>
      <c r="H13" s="136">
        <f t="shared" si="0"/>
        <v>93450218.83333333</v>
      </c>
      <c r="I13" s="136">
        <f t="shared" si="0"/>
        <v>93450218.83333333</v>
      </c>
      <c r="J13" s="136">
        <f t="shared" si="0"/>
        <v>93450218.83333333</v>
      </c>
      <c r="K13" s="136">
        <f t="shared" si="0"/>
        <v>93450218.83333333</v>
      </c>
      <c r="L13" s="136">
        <f t="shared" si="0"/>
        <v>93450218.83333333</v>
      </c>
      <c r="M13" s="136">
        <f t="shared" si="0"/>
        <v>93450218.83333333</v>
      </c>
      <c r="N13" s="136">
        <f t="shared" si="0"/>
        <v>93450218.83333333</v>
      </c>
      <c r="O13" s="136">
        <f t="shared" si="0"/>
        <v>93450218.83333333</v>
      </c>
      <c r="P13" s="137">
        <f>SUM(D13:O13)-C13</f>
        <v>0</v>
      </c>
    </row>
    <row r="14" spans="1:16" ht="24.75" customHeight="1">
      <c r="A14" s="131" t="s">
        <v>22</v>
      </c>
      <c r="B14" s="134" t="s">
        <v>146</v>
      </c>
      <c r="C14" s="135">
        <f>2!G17</f>
        <v>211040627</v>
      </c>
      <c r="D14" s="136">
        <f aca="true" t="shared" si="1" ref="D14:D20">C14/12</f>
        <v>17586718.916666668</v>
      </c>
      <c r="E14" s="136">
        <f aca="true" t="shared" si="2" ref="E14:O17">D14</f>
        <v>17586718.916666668</v>
      </c>
      <c r="F14" s="136">
        <f t="shared" si="2"/>
        <v>17586718.916666668</v>
      </c>
      <c r="G14" s="136">
        <f t="shared" si="2"/>
        <v>17586718.916666668</v>
      </c>
      <c r="H14" s="136">
        <f t="shared" si="2"/>
        <v>17586718.916666668</v>
      </c>
      <c r="I14" s="136">
        <f t="shared" si="2"/>
        <v>17586718.916666668</v>
      </c>
      <c r="J14" s="136">
        <f t="shared" si="2"/>
        <v>17586718.916666668</v>
      </c>
      <c r="K14" s="136">
        <f t="shared" si="2"/>
        <v>17586718.916666668</v>
      </c>
      <c r="L14" s="136">
        <f t="shared" si="2"/>
        <v>17586718.916666668</v>
      </c>
      <c r="M14" s="136">
        <f t="shared" si="2"/>
        <v>17586718.916666668</v>
      </c>
      <c r="N14" s="136">
        <f t="shared" si="2"/>
        <v>17586718.916666668</v>
      </c>
      <c r="O14" s="136">
        <f t="shared" si="2"/>
        <v>17586718.916666668</v>
      </c>
      <c r="P14" s="137" t="e">
        <f>#N/A</f>
        <v>#N/A</v>
      </c>
    </row>
    <row r="15" spans="1:16" s="4" customFormat="1" ht="24.75" customHeight="1">
      <c r="A15" s="131" t="s">
        <v>23</v>
      </c>
      <c r="B15" s="138" t="s">
        <v>155</v>
      </c>
      <c r="C15" s="139">
        <f>2!J17</f>
        <v>1163736358</v>
      </c>
      <c r="D15" s="136">
        <f t="shared" si="1"/>
        <v>96978029.83333333</v>
      </c>
      <c r="E15" s="136">
        <f t="shared" si="2"/>
        <v>96978029.83333333</v>
      </c>
      <c r="F15" s="136">
        <f t="shared" si="2"/>
        <v>96978029.83333333</v>
      </c>
      <c r="G15" s="136">
        <f t="shared" si="2"/>
        <v>96978029.83333333</v>
      </c>
      <c r="H15" s="136">
        <f t="shared" si="2"/>
        <v>96978029.83333333</v>
      </c>
      <c r="I15" s="136">
        <f t="shared" si="2"/>
        <v>96978029.83333333</v>
      </c>
      <c r="J15" s="136">
        <f t="shared" si="2"/>
        <v>96978029.83333333</v>
      </c>
      <c r="K15" s="136">
        <f t="shared" si="2"/>
        <v>96978029.83333333</v>
      </c>
      <c r="L15" s="136">
        <f t="shared" si="2"/>
        <v>96978029.83333333</v>
      </c>
      <c r="M15" s="136">
        <f t="shared" si="2"/>
        <v>96978029.83333333</v>
      </c>
      <c r="N15" s="136">
        <f t="shared" si="2"/>
        <v>96978029.83333333</v>
      </c>
      <c r="O15" s="136">
        <f t="shared" si="2"/>
        <v>96978029.83333333</v>
      </c>
      <c r="P15" s="137" t="e">
        <f>#N/A</f>
        <v>#N/A</v>
      </c>
    </row>
    <row r="16" spans="1:16" ht="24.75" customHeight="1">
      <c r="A16" s="131" t="s">
        <v>54</v>
      </c>
      <c r="B16" s="134" t="s">
        <v>175</v>
      </c>
      <c r="C16" s="135">
        <f>2!M17</f>
        <v>136392000</v>
      </c>
      <c r="D16" s="136">
        <f t="shared" si="1"/>
        <v>11366000</v>
      </c>
      <c r="E16" s="136">
        <f t="shared" si="2"/>
        <v>11366000</v>
      </c>
      <c r="F16" s="136">
        <f t="shared" si="2"/>
        <v>11366000</v>
      </c>
      <c r="G16" s="136">
        <f t="shared" si="2"/>
        <v>11366000</v>
      </c>
      <c r="H16" s="136">
        <f t="shared" si="2"/>
        <v>11366000</v>
      </c>
      <c r="I16" s="136">
        <f t="shared" si="2"/>
        <v>11366000</v>
      </c>
      <c r="J16" s="136">
        <f t="shared" si="2"/>
        <v>11366000</v>
      </c>
      <c r="K16" s="136">
        <f t="shared" si="2"/>
        <v>11366000</v>
      </c>
      <c r="L16" s="136">
        <f t="shared" si="2"/>
        <v>11366000</v>
      </c>
      <c r="M16" s="136">
        <f t="shared" si="2"/>
        <v>11366000</v>
      </c>
      <c r="N16" s="136">
        <f t="shared" si="2"/>
        <v>11366000</v>
      </c>
      <c r="O16" s="136">
        <f t="shared" si="2"/>
        <v>11366000</v>
      </c>
      <c r="P16" s="137" t="e">
        <f>#N/A</f>
        <v>#N/A</v>
      </c>
    </row>
    <row r="17" spans="1:16" ht="24.75" customHeight="1">
      <c r="A17" s="131" t="s">
        <v>52</v>
      </c>
      <c r="B17" s="134" t="s">
        <v>147</v>
      </c>
      <c r="C17" s="135">
        <f>2!P17</f>
        <v>995706304</v>
      </c>
      <c r="D17" s="136">
        <f t="shared" si="1"/>
        <v>82975525.33333333</v>
      </c>
      <c r="E17" s="136">
        <f t="shared" si="2"/>
        <v>82975525.33333333</v>
      </c>
      <c r="F17" s="136">
        <f t="shared" si="2"/>
        <v>82975525.33333333</v>
      </c>
      <c r="G17" s="136">
        <f t="shared" si="2"/>
        <v>82975525.33333333</v>
      </c>
      <c r="H17" s="136">
        <f t="shared" si="2"/>
        <v>82975525.33333333</v>
      </c>
      <c r="I17" s="136">
        <f t="shared" si="2"/>
        <v>82975525.33333333</v>
      </c>
      <c r="J17" s="136">
        <f t="shared" si="2"/>
        <v>82975525.33333333</v>
      </c>
      <c r="K17" s="136">
        <f t="shared" si="2"/>
        <v>82975525.33333333</v>
      </c>
      <c r="L17" s="136">
        <f t="shared" si="2"/>
        <v>82975525.33333333</v>
      </c>
      <c r="M17" s="136">
        <f t="shared" si="2"/>
        <v>82975525.33333333</v>
      </c>
      <c r="N17" s="136">
        <f t="shared" si="2"/>
        <v>82975525.33333333</v>
      </c>
      <c r="O17" s="136">
        <f t="shared" si="2"/>
        <v>82975525.33333333</v>
      </c>
      <c r="P17" s="137" t="e">
        <f>#N/A</f>
        <v>#N/A</v>
      </c>
    </row>
    <row r="18" spans="1:16" ht="24.75" customHeight="1">
      <c r="A18" s="131" t="s">
        <v>48</v>
      </c>
      <c r="B18" s="134" t="s">
        <v>166</v>
      </c>
      <c r="C18" s="135">
        <f>2!V17</f>
        <v>47170372</v>
      </c>
      <c r="D18" s="136">
        <v>47170372</v>
      </c>
      <c r="E18" s="136">
        <v>0</v>
      </c>
      <c r="F18" s="136">
        <v>0</v>
      </c>
      <c r="G18" s="141">
        <v>0</v>
      </c>
      <c r="H18" s="136">
        <v>0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136">
        <v>0</v>
      </c>
      <c r="P18" s="137" t="e">
        <f>#N/A</f>
        <v>#N/A</v>
      </c>
    </row>
    <row r="19" spans="1:16" ht="24.75" customHeight="1">
      <c r="A19" s="131" t="s">
        <v>24</v>
      </c>
      <c r="B19" s="134" t="s">
        <v>148</v>
      </c>
      <c r="C19" s="135">
        <f>2!AB17+2!AE17</f>
        <v>1424886865</v>
      </c>
      <c r="D19" s="136">
        <f t="shared" si="1"/>
        <v>118740572.08333333</v>
      </c>
      <c r="E19" s="136">
        <f>D19</f>
        <v>118740572.08333333</v>
      </c>
      <c r="F19" s="136">
        <f aca="true" t="shared" si="3" ref="F19:O19">E19</f>
        <v>118740572.08333333</v>
      </c>
      <c r="G19" s="136">
        <f t="shared" si="3"/>
        <v>118740572.08333333</v>
      </c>
      <c r="H19" s="136">
        <f t="shared" si="3"/>
        <v>118740572.08333333</v>
      </c>
      <c r="I19" s="136">
        <f t="shared" si="3"/>
        <v>118740572.08333333</v>
      </c>
      <c r="J19" s="136">
        <f t="shared" si="3"/>
        <v>118740572.08333333</v>
      </c>
      <c r="K19" s="136">
        <f t="shared" si="3"/>
        <v>118740572.08333333</v>
      </c>
      <c r="L19" s="136">
        <f t="shared" si="3"/>
        <v>118740572.08333333</v>
      </c>
      <c r="M19" s="136">
        <f t="shared" si="3"/>
        <v>118740572.08333333</v>
      </c>
      <c r="N19" s="136">
        <f t="shared" si="3"/>
        <v>118740572.08333333</v>
      </c>
      <c r="O19" s="136">
        <f t="shared" si="3"/>
        <v>118740572.08333333</v>
      </c>
      <c r="P19" s="137" t="e">
        <f>#N/A</f>
        <v>#N/A</v>
      </c>
    </row>
    <row r="20" spans="1:16" ht="24.75" customHeight="1">
      <c r="A20" s="131" t="s">
        <v>26</v>
      </c>
      <c r="B20" s="134" t="s">
        <v>149</v>
      </c>
      <c r="C20" s="135">
        <f>2!S17+2!AH17</f>
        <v>2031971216</v>
      </c>
      <c r="D20" s="136">
        <f t="shared" si="1"/>
        <v>169330934.66666666</v>
      </c>
      <c r="E20" s="136">
        <f>D20</f>
        <v>169330934.66666666</v>
      </c>
      <c r="F20" s="136">
        <f aca="true" t="shared" si="4" ref="F20:O20">E20</f>
        <v>169330934.66666666</v>
      </c>
      <c r="G20" s="136">
        <f t="shared" si="4"/>
        <v>169330934.66666666</v>
      </c>
      <c r="H20" s="136">
        <f t="shared" si="4"/>
        <v>169330934.66666666</v>
      </c>
      <c r="I20" s="136">
        <f t="shared" si="4"/>
        <v>169330934.66666666</v>
      </c>
      <c r="J20" s="136">
        <f t="shared" si="4"/>
        <v>169330934.66666666</v>
      </c>
      <c r="K20" s="136">
        <f t="shared" si="4"/>
        <v>169330934.66666666</v>
      </c>
      <c r="L20" s="136">
        <f t="shared" si="4"/>
        <v>169330934.66666666</v>
      </c>
      <c r="M20" s="136">
        <f t="shared" si="4"/>
        <v>169330934.66666666</v>
      </c>
      <c r="N20" s="136">
        <f t="shared" si="4"/>
        <v>169330934.66666666</v>
      </c>
      <c r="O20" s="136">
        <f t="shared" si="4"/>
        <v>169330934.66666666</v>
      </c>
      <c r="P20" s="137" t="e">
        <f>#N/A</f>
        <v>#N/A</v>
      </c>
    </row>
    <row r="21" spans="1:16" ht="24.75" customHeight="1">
      <c r="A21" s="131" t="s">
        <v>28</v>
      </c>
      <c r="B21" s="140" t="s">
        <v>150</v>
      </c>
      <c r="C21" s="135">
        <f>SUM(C13:C20)</f>
        <v>7132306368</v>
      </c>
      <c r="D21" s="135">
        <f aca="true" t="shared" si="5" ref="D21:O21">SUM(D13:D20)</f>
        <v>637598371.6666666</v>
      </c>
      <c r="E21" s="135">
        <f t="shared" si="5"/>
        <v>590427999.6666666</v>
      </c>
      <c r="F21" s="135">
        <f t="shared" si="5"/>
        <v>590427999.6666666</v>
      </c>
      <c r="G21" s="135">
        <f t="shared" si="5"/>
        <v>590427999.6666666</v>
      </c>
      <c r="H21" s="135">
        <f t="shared" si="5"/>
        <v>590427999.6666666</v>
      </c>
      <c r="I21" s="135">
        <f t="shared" si="5"/>
        <v>590427999.6666666</v>
      </c>
      <c r="J21" s="135">
        <f t="shared" si="5"/>
        <v>590427999.6666666</v>
      </c>
      <c r="K21" s="135">
        <f t="shared" si="5"/>
        <v>590427999.6666666</v>
      </c>
      <c r="L21" s="135">
        <f t="shared" si="5"/>
        <v>590427999.6666666</v>
      </c>
      <c r="M21" s="135">
        <f t="shared" si="5"/>
        <v>590427999.6666666</v>
      </c>
      <c r="N21" s="135">
        <f t="shared" si="5"/>
        <v>590427999.6666666</v>
      </c>
      <c r="O21" s="135">
        <f t="shared" si="5"/>
        <v>590427999.6666666</v>
      </c>
      <c r="P21" s="137" t="e">
        <f>#N/A</f>
        <v>#N/A</v>
      </c>
    </row>
    <row r="22" ht="12.75" hidden="1">
      <c r="C22" s="137">
        <f>2!AN17</f>
        <v>7132306368</v>
      </c>
    </row>
    <row r="23" ht="12.75" hidden="1">
      <c r="C23" s="137">
        <f>C22-C21</f>
        <v>0</v>
      </c>
    </row>
  </sheetData>
  <sheetProtection/>
  <mergeCells count="5">
    <mergeCell ref="B8:O8"/>
    <mergeCell ref="B2:F2"/>
    <mergeCell ref="I2:O2"/>
    <mergeCell ref="B6:O6"/>
    <mergeCell ref="B7:O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70"/>
  <sheetViews>
    <sheetView zoomScale="80" zoomScaleNormal="80" zoomScaleSheetLayoutView="80" zoomScalePageLayoutView="0" workbookViewId="0" topLeftCell="A1">
      <pane xSplit="2" ySplit="9" topLeftCell="V13" activePane="bottomRight" state="frozen"/>
      <selection pane="topLeft" activeCell="AJ1" sqref="AJ1:AL16384"/>
      <selection pane="topRight" activeCell="AJ1" sqref="AJ1:AL16384"/>
      <selection pane="bottomLeft" activeCell="AJ1" sqref="AJ1:AL16384"/>
      <selection pane="bottomRight" activeCell="AR1" sqref="AR1"/>
    </sheetView>
  </sheetViews>
  <sheetFormatPr defaultColWidth="9.140625" defaultRowHeight="12.75"/>
  <cols>
    <col min="1" max="1" width="4.28125" style="67" customWidth="1"/>
    <col min="2" max="2" width="19.7109375" style="67" customWidth="1"/>
    <col min="3" max="3" width="14.28125" style="67" customWidth="1"/>
    <col min="4" max="4" width="15.7109375" style="67" customWidth="1"/>
    <col min="5" max="5" width="15.00390625" style="67" bestFit="1" customWidth="1"/>
    <col min="6" max="6" width="14.00390625" style="67" customWidth="1"/>
    <col min="7" max="7" width="14.28125" style="67" customWidth="1"/>
    <col min="8" max="8" width="12.57421875" style="67" customWidth="1"/>
    <col min="9" max="9" width="15.00390625" style="67" bestFit="1" customWidth="1"/>
    <col min="10" max="10" width="15.7109375" style="67" customWidth="1"/>
    <col min="11" max="11" width="15.00390625" style="67" customWidth="1"/>
    <col min="12" max="13" width="13.8515625" style="67" customWidth="1"/>
    <col min="14" max="14" width="13.140625" style="67" customWidth="1"/>
    <col min="15" max="15" width="15.00390625" style="67" bestFit="1" customWidth="1"/>
    <col min="16" max="16" width="13.8515625" style="67" customWidth="1"/>
    <col min="17" max="17" width="15.140625" style="67" customWidth="1"/>
    <col min="18" max="18" width="13.8515625" style="67" customWidth="1"/>
    <col min="19" max="19" width="14.28125" style="67" customWidth="1"/>
    <col min="20" max="20" width="10.421875" style="67" customWidth="1"/>
    <col min="21" max="21" width="13.57421875" style="67" customWidth="1"/>
    <col min="22" max="22" width="13.28125" style="67" customWidth="1"/>
    <col min="23" max="23" width="13.57421875" style="67" customWidth="1"/>
    <col min="24" max="24" width="16.28125" style="355" hidden="1" customWidth="1"/>
    <col min="25" max="25" width="15.28125" style="355" hidden="1" customWidth="1"/>
    <col min="26" max="26" width="16.57421875" style="355" hidden="1" customWidth="1"/>
    <col min="27" max="27" width="15.57421875" style="67" customWidth="1"/>
    <col min="28" max="28" width="17.7109375" style="67" bestFit="1" customWidth="1"/>
    <col min="29" max="29" width="15.57421875" style="67" customWidth="1"/>
    <col min="30" max="30" width="14.7109375" style="67" bestFit="1" customWidth="1"/>
    <col min="31" max="32" width="14.28125" style="67" customWidth="1"/>
    <col min="33" max="34" width="17.7109375" style="67" bestFit="1" customWidth="1"/>
    <col min="35" max="35" width="16.140625" style="67" customWidth="1"/>
    <col min="36" max="37" width="17.7109375" style="355" hidden="1" customWidth="1"/>
    <col min="38" max="38" width="15.8515625" style="355" hidden="1" customWidth="1"/>
    <col min="39" max="40" width="18.8515625" style="67" customWidth="1"/>
    <col min="41" max="41" width="17.8515625" style="67" customWidth="1"/>
    <col min="42" max="42" width="15.57421875" style="67" customWidth="1"/>
    <col min="43" max="43" width="16.28125" style="67" customWidth="1"/>
    <col min="44" max="44" width="15.7109375" style="67" customWidth="1"/>
    <col min="45" max="45" width="14.28125" style="67" hidden="1" customWidth="1"/>
    <col min="46" max="46" width="14.7109375" style="67" customWidth="1"/>
    <col min="47" max="47" width="9.140625" style="67" customWidth="1"/>
    <col min="48" max="48" width="45.7109375" style="67" customWidth="1"/>
    <col min="49" max="16384" width="9.140625" style="67" customWidth="1"/>
  </cols>
  <sheetData>
    <row r="1" spans="23:44" s="156" customFormat="1" ht="15.75" customHeight="1">
      <c r="W1" s="164" t="s">
        <v>410</v>
      </c>
      <c r="X1" s="332"/>
      <c r="Y1" s="332"/>
      <c r="Z1" s="332"/>
      <c r="AJ1" s="332"/>
      <c r="AK1" s="332"/>
      <c r="AL1" s="332"/>
      <c r="AR1" s="164" t="s">
        <v>410</v>
      </c>
    </row>
    <row r="2" spans="3:56" s="156" customFormat="1" ht="21.75" customHeight="1">
      <c r="C2" s="397" t="s">
        <v>352</v>
      </c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 t="s">
        <v>352</v>
      </c>
      <c r="AB2" s="397"/>
      <c r="AC2" s="397"/>
      <c r="AD2" s="397"/>
      <c r="AE2" s="397"/>
      <c r="AF2" s="397"/>
      <c r="AG2" s="397"/>
      <c r="AH2" s="397"/>
      <c r="AI2" s="397"/>
      <c r="AJ2" s="397"/>
      <c r="AK2" s="397"/>
      <c r="AL2" s="397"/>
      <c r="AM2" s="397"/>
      <c r="AN2" s="397"/>
      <c r="AO2" s="397"/>
      <c r="AP2" s="397"/>
      <c r="AQ2" s="397"/>
      <c r="AR2" s="397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</row>
    <row r="3" spans="23:44" s="156" customFormat="1" ht="15.75" customHeight="1">
      <c r="W3" s="83" t="s">
        <v>236</v>
      </c>
      <c r="X3" s="332"/>
      <c r="Y3" s="332"/>
      <c r="Z3" s="332"/>
      <c r="AJ3" s="332"/>
      <c r="AK3" s="332"/>
      <c r="AL3" s="332"/>
      <c r="AP3" s="83"/>
      <c r="AQ3" s="83"/>
      <c r="AR3" s="154" t="s">
        <v>236</v>
      </c>
    </row>
    <row r="4" spans="24:38" s="156" customFormat="1" ht="15.75" customHeight="1">
      <c r="X4" s="332"/>
      <c r="Y4" s="332"/>
      <c r="Z4" s="332"/>
      <c r="AJ4" s="332"/>
      <c r="AK4" s="332"/>
      <c r="AL4" s="332"/>
    </row>
    <row r="5" spans="1:44" ht="16.5" thickBot="1">
      <c r="A5" s="68"/>
      <c r="B5" s="69" t="s">
        <v>0</v>
      </c>
      <c r="C5" s="70" t="s">
        <v>1</v>
      </c>
      <c r="D5" s="70" t="s">
        <v>2</v>
      </c>
      <c r="E5" s="70" t="s">
        <v>3</v>
      </c>
      <c r="F5" s="70" t="s">
        <v>336</v>
      </c>
      <c r="G5" s="70" t="s">
        <v>5</v>
      </c>
      <c r="H5" s="70" t="s">
        <v>81</v>
      </c>
      <c r="I5" s="70" t="s">
        <v>6</v>
      </c>
      <c r="J5" s="70" t="s">
        <v>7</v>
      </c>
      <c r="K5" s="70" t="s">
        <v>39</v>
      </c>
      <c r="L5" s="70" t="s">
        <v>8</v>
      </c>
      <c r="M5" s="70" t="s">
        <v>94</v>
      </c>
      <c r="N5" s="70" t="s">
        <v>40</v>
      </c>
      <c r="O5" s="70" t="s">
        <v>9</v>
      </c>
      <c r="P5" s="70" t="s">
        <v>95</v>
      </c>
      <c r="Q5" s="70" t="s">
        <v>337</v>
      </c>
      <c r="R5" s="70" t="s">
        <v>338</v>
      </c>
      <c r="S5" s="70" t="s">
        <v>339</v>
      </c>
      <c r="T5" s="70" t="s">
        <v>340</v>
      </c>
      <c r="U5" s="70" t="s">
        <v>344</v>
      </c>
      <c r="V5" s="70" t="s">
        <v>345</v>
      </c>
      <c r="W5" s="70" t="s">
        <v>346</v>
      </c>
      <c r="X5" s="333"/>
      <c r="Y5" s="333"/>
      <c r="Z5" s="333"/>
      <c r="AA5" s="70" t="s">
        <v>0</v>
      </c>
      <c r="AB5" s="70" t="s">
        <v>1</v>
      </c>
      <c r="AC5" s="70" t="s">
        <v>2</v>
      </c>
      <c r="AD5" s="70" t="s">
        <v>3</v>
      </c>
      <c r="AE5" s="70" t="s">
        <v>336</v>
      </c>
      <c r="AF5" s="70" t="s">
        <v>5</v>
      </c>
      <c r="AG5" s="70" t="s">
        <v>81</v>
      </c>
      <c r="AH5" s="70" t="s">
        <v>6</v>
      </c>
      <c r="AI5" s="70" t="s">
        <v>7</v>
      </c>
      <c r="AJ5" s="333"/>
      <c r="AK5" s="333"/>
      <c r="AL5" s="333"/>
      <c r="AM5" s="70" t="s">
        <v>39</v>
      </c>
      <c r="AN5" s="70" t="s">
        <v>8</v>
      </c>
      <c r="AO5" s="249" t="s">
        <v>94</v>
      </c>
      <c r="AP5" s="250" t="s">
        <v>391</v>
      </c>
      <c r="AQ5" s="198" t="s">
        <v>9</v>
      </c>
      <c r="AR5" s="212" t="s">
        <v>95</v>
      </c>
    </row>
    <row r="6" spans="1:44" ht="24.75" customHeight="1">
      <c r="A6" s="385" t="s">
        <v>10</v>
      </c>
      <c r="B6" s="439" t="s">
        <v>11</v>
      </c>
      <c r="C6" s="438" t="s">
        <v>37</v>
      </c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30" t="s">
        <v>56</v>
      </c>
      <c r="Y6" s="431"/>
      <c r="Z6" s="432"/>
      <c r="AA6" s="415" t="s">
        <v>38</v>
      </c>
      <c r="AB6" s="415"/>
      <c r="AC6" s="415"/>
      <c r="AD6" s="415"/>
      <c r="AE6" s="415"/>
      <c r="AF6" s="415"/>
      <c r="AG6" s="415"/>
      <c r="AH6" s="415"/>
      <c r="AI6" s="415"/>
      <c r="AJ6" s="430" t="s">
        <v>70</v>
      </c>
      <c r="AK6" s="431"/>
      <c r="AL6" s="432"/>
      <c r="AM6" s="436" t="s">
        <v>41</v>
      </c>
      <c r="AN6" s="437"/>
      <c r="AO6" s="437"/>
      <c r="AP6" s="407" t="s">
        <v>363</v>
      </c>
      <c r="AQ6" s="408"/>
      <c r="AR6" s="409"/>
    </row>
    <row r="7" spans="1:44" ht="36.75" customHeight="1">
      <c r="A7" s="386"/>
      <c r="B7" s="440"/>
      <c r="C7" s="391" t="s">
        <v>348</v>
      </c>
      <c r="D7" s="392"/>
      <c r="E7" s="393"/>
      <c r="F7" s="391" t="s">
        <v>349</v>
      </c>
      <c r="G7" s="392"/>
      <c r="H7" s="393"/>
      <c r="I7" s="391" t="s">
        <v>350</v>
      </c>
      <c r="J7" s="392"/>
      <c r="K7" s="393"/>
      <c r="L7" s="391" t="s">
        <v>351</v>
      </c>
      <c r="M7" s="392"/>
      <c r="N7" s="393"/>
      <c r="O7" s="391" t="s">
        <v>205</v>
      </c>
      <c r="P7" s="392"/>
      <c r="Q7" s="393"/>
      <c r="R7" s="391" t="s">
        <v>45</v>
      </c>
      <c r="S7" s="392"/>
      <c r="T7" s="393"/>
      <c r="U7" s="413" t="s">
        <v>368</v>
      </c>
      <c r="V7" s="413"/>
      <c r="W7" s="413"/>
      <c r="X7" s="433"/>
      <c r="Y7" s="434"/>
      <c r="Z7" s="435"/>
      <c r="AA7" s="391" t="s">
        <v>354</v>
      </c>
      <c r="AB7" s="392"/>
      <c r="AC7" s="393"/>
      <c r="AD7" s="391" t="s">
        <v>353</v>
      </c>
      <c r="AE7" s="392"/>
      <c r="AF7" s="393"/>
      <c r="AG7" s="391" t="s">
        <v>47</v>
      </c>
      <c r="AH7" s="392"/>
      <c r="AI7" s="393"/>
      <c r="AJ7" s="433"/>
      <c r="AK7" s="434"/>
      <c r="AL7" s="435"/>
      <c r="AM7" s="421"/>
      <c r="AN7" s="395"/>
      <c r="AO7" s="395"/>
      <c r="AP7" s="410" t="s">
        <v>365</v>
      </c>
      <c r="AQ7" s="390" t="s">
        <v>366</v>
      </c>
      <c r="AR7" s="411" t="s">
        <v>102</v>
      </c>
    </row>
    <row r="8" spans="1:44" ht="49.5" customHeight="1">
      <c r="A8" s="386"/>
      <c r="B8" s="440"/>
      <c r="C8" s="417"/>
      <c r="D8" s="418"/>
      <c r="E8" s="419"/>
      <c r="F8" s="417"/>
      <c r="G8" s="418"/>
      <c r="H8" s="419"/>
      <c r="I8" s="417"/>
      <c r="J8" s="418"/>
      <c r="K8" s="419"/>
      <c r="L8" s="417"/>
      <c r="M8" s="418"/>
      <c r="N8" s="419"/>
      <c r="O8" s="417"/>
      <c r="P8" s="418"/>
      <c r="Q8" s="419"/>
      <c r="R8" s="417"/>
      <c r="S8" s="418"/>
      <c r="T8" s="419"/>
      <c r="U8" s="412" t="s">
        <v>367</v>
      </c>
      <c r="V8" s="413"/>
      <c r="W8" s="413"/>
      <c r="X8" s="433"/>
      <c r="Y8" s="434"/>
      <c r="Z8" s="435"/>
      <c r="AA8" s="417"/>
      <c r="AB8" s="418"/>
      <c r="AC8" s="419"/>
      <c r="AD8" s="417" t="s">
        <v>206</v>
      </c>
      <c r="AE8" s="418"/>
      <c r="AF8" s="419"/>
      <c r="AG8" s="417"/>
      <c r="AH8" s="418"/>
      <c r="AI8" s="419"/>
      <c r="AJ8" s="433"/>
      <c r="AK8" s="434"/>
      <c r="AL8" s="435"/>
      <c r="AM8" s="422"/>
      <c r="AN8" s="418"/>
      <c r="AO8" s="418"/>
      <c r="AP8" s="410"/>
      <c r="AQ8" s="390"/>
      <c r="AR8" s="411"/>
    </row>
    <row r="9" spans="1:44" ht="78.75" customHeight="1">
      <c r="A9" s="387"/>
      <c r="B9" s="441"/>
      <c r="C9" s="184" t="s">
        <v>153</v>
      </c>
      <c r="D9" s="184" t="s">
        <v>170</v>
      </c>
      <c r="E9" s="184" t="s">
        <v>99</v>
      </c>
      <c r="F9" s="184" t="s">
        <v>153</v>
      </c>
      <c r="G9" s="184" t="s">
        <v>170</v>
      </c>
      <c r="H9" s="184" t="s">
        <v>99</v>
      </c>
      <c r="I9" s="184" t="s">
        <v>153</v>
      </c>
      <c r="J9" s="184" t="s">
        <v>170</v>
      </c>
      <c r="K9" s="184" t="s">
        <v>99</v>
      </c>
      <c r="L9" s="184" t="s">
        <v>153</v>
      </c>
      <c r="M9" s="184" t="s">
        <v>170</v>
      </c>
      <c r="N9" s="184" t="s">
        <v>99</v>
      </c>
      <c r="O9" s="184" t="s">
        <v>153</v>
      </c>
      <c r="P9" s="184" t="s">
        <v>170</v>
      </c>
      <c r="Q9" s="184" t="s">
        <v>99</v>
      </c>
      <c r="R9" s="184" t="s">
        <v>153</v>
      </c>
      <c r="S9" s="184" t="s">
        <v>170</v>
      </c>
      <c r="T9" s="184" t="s">
        <v>99</v>
      </c>
      <c r="U9" s="184" t="s">
        <v>153</v>
      </c>
      <c r="V9" s="184" t="s">
        <v>170</v>
      </c>
      <c r="W9" s="192" t="s">
        <v>99</v>
      </c>
      <c r="X9" s="334" t="s">
        <v>153</v>
      </c>
      <c r="Y9" s="335" t="s">
        <v>170</v>
      </c>
      <c r="Z9" s="336" t="s">
        <v>99</v>
      </c>
      <c r="AA9" s="184" t="s">
        <v>153</v>
      </c>
      <c r="AB9" s="184" t="s">
        <v>170</v>
      </c>
      <c r="AC9" s="184" t="s">
        <v>99</v>
      </c>
      <c r="AD9" s="184" t="s">
        <v>153</v>
      </c>
      <c r="AE9" s="184" t="s">
        <v>170</v>
      </c>
      <c r="AF9" s="184" t="s">
        <v>99</v>
      </c>
      <c r="AG9" s="184" t="s">
        <v>153</v>
      </c>
      <c r="AH9" s="184" t="s">
        <v>170</v>
      </c>
      <c r="AI9" s="184" t="s">
        <v>99</v>
      </c>
      <c r="AJ9" s="334" t="s">
        <v>153</v>
      </c>
      <c r="AK9" s="335" t="s">
        <v>170</v>
      </c>
      <c r="AL9" s="336" t="s">
        <v>99</v>
      </c>
      <c r="AM9" s="193" t="s">
        <v>153</v>
      </c>
      <c r="AN9" s="184" t="s">
        <v>170</v>
      </c>
      <c r="AO9" s="192" t="s">
        <v>99</v>
      </c>
      <c r="AP9" s="410"/>
      <c r="AQ9" s="390"/>
      <c r="AR9" s="411"/>
    </row>
    <row r="10" spans="1:48" s="83" customFormat="1" ht="72" customHeight="1">
      <c r="A10" s="38" t="s">
        <v>15</v>
      </c>
      <c r="B10" s="255" t="s">
        <v>204</v>
      </c>
      <c r="C10" s="84">
        <v>340389469</v>
      </c>
      <c r="D10" s="86">
        <v>398048049</v>
      </c>
      <c r="E10" s="86">
        <v>176628411</v>
      </c>
      <c r="F10" s="85">
        <v>66016000</v>
      </c>
      <c r="G10" s="85">
        <v>80927345</v>
      </c>
      <c r="H10" s="85">
        <v>37733118</v>
      </c>
      <c r="I10" s="85">
        <v>194161000</v>
      </c>
      <c r="J10" s="85">
        <v>227299888</v>
      </c>
      <c r="K10" s="85">
        <v>114048945</v>
      </c>
      <c r="L10" s="85">
        <v>0</v>
      </c>
      <c r="M10" s="85">
        <v>0</v>
      </c>
      <c r="N10" s="85">
        <v>0</v>
      </c>
      <c r="O10" s="85">
        <v>3500000</v>
      </c>
      <c r="P10" s="85">
        <v>4420000</v>
      </c>
      <c r="Q10" s="85">
        <v>2204516</v>
      </c>
      <c r="R10" s="85">
        <v>0</v>
      </c>
      <c r="S10" s="85">
        <v>0</v>
      </c>
      <c r="T10" s="85">
        <v>0</v>
      </c>
      <c r="U10" s="85">
        <v>0</v>
      </c>
      <c r="V10" s="85">
        <v>0</v>
      </c>
      <c r="W10" s="85">
        <v>0</v>
      </c>
      <c r="X10" s="337">
        <f aca="true" t="shared" si="0" ref="X10:Z13">C10+F10+I10+L10+O10+R10+U10</f>
        <v>604066469</v>
      </c>
      <c r="Y10" s="338">
        <f t="shared" si="0"/>
        <v>710695282</v>
      </c>
      <c r="Z10" s="339">
        <f t="shared" si="0"/>
        <v>330614990</v>
      </c>
      <c r="AA10" s="86">
        <v>0</v>
      </c>
      <c r="AB10" s="86">
        <v>8525622</v>
      </c>
      <c r="AC10" s="86">
        <v>8344963</v>
      </c>
      <c r="AD10" s="85">
        <v>0</v>
      </c>
      <c r="AE10" s="87">
        <v>0</v>
      </c>
      <c r="AF10" s="87">
        <v>0</v>
      </c>
      <c r="AG10" s="87">
        <v>0</v>
      </c>
      <c r="AH10" s="87">
        <v>0</v>
      </c>
      <c r="AI10" s="87">
        <v>0</v>
      </c>
      <c r="AJ10" s="337">
        <f aca="true" t="shared" si="1" ref="AJ10:AL13">AA10+AD10+AG10</f>
        <v>0</v>
      </c>
      <c r="AK10" s="337">
        <f t="shared" si="1"/>
        <v>8525622</v>
      </c>
      <c r="AL10" s="337">
        <f t="shared" si="1"/>
        <v>8344963</v>
      </c>
      <c r="AM10" s="84">
        <f aca="true" t="shared" si="2" ref="AM10:AO13">X10+AJ10</f>
        <v>604066469</v>
      </c>
      <c r="AN10" s="84">
        <f t="shared" si="2"/>
        <v>719220904</v>
      </c>
      <c r="AO10" s="84">
        <f t="shared" si="2"/>
        <v>338959953</v>
      </c>
      <c r="AP10" s="236">
        <f>Z10/Y10</f>
        <v>0.4651993595195979</v>
      </c>
      <c r="AQ10" s="240">
        <f>AL10/AK10</f>
        <v>0.9788098745170734</v>
      </c>
      <c r="AR10" s="241">
        <f>AO10/AN10</f>
        <v>0.4712876824280958</v>
      </c>
      <c r="AS10" s="204">
        <f>AM10-1!AM10</f>
        <v>0</v>
      </c>
      <c r="AT10" s="204">
        <f>AN10-1!AN10</f>
        <v>0</v>
      </c>
      <c r="AV10" s="279" t="e">
        <f>#N/A</f>
        <v>#N/A</v>
      </c>
    </row>
    <row r="11" spans="1:48" s="83" customFormat="1" ht="44.25" customHeight="1">
      <c r="A11" s="38" t="s">
        <v>22</v>
      </c>
      <c r="B11" s="255" t="s">
        <v>25</v>
      </c>
      <c r="C11" s="84">
        <v>51164500</v>
      </c>
      <c r="D11" s="86">
        <v>90488285</v>
      </c>
      <c r="E11" s="86">
        <v>35627985</v>
      </c>
      <c r="F11" s="85">
        <v>9921130</v>
      </c>
      <c r="G11" s="85">
        <v>15454183</v>
      </c>
      <c r="H11" s="85">
        <v>6146578</v>
      </c>
      <c r="I11" s="85">
        <v>51692000</v>
      </c>
      <c r="J11" s="85">
        <v>62853061</v>
      </c>
      <c r="K11" s="85">
        <v>42455526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5">
        <v>0</v>
      </c>
      <c r="W11" s="85">
        <v>0</v>
      </c>
      <c r="X11" s="337">
        <f t="shared" si="0"/>
        <v>112777630</v>
      </c>
      <c r="Y11" s="338">
        <f t="shared" si="0"/>
        <v>168795529</v>
      </c>
      <c r="Z11" s="339">
        <f t="shared" si="0"/>
        <v>84230089</v>
      </c>
      <c r="AA11" s="86">
        <v>0</v>
      </c>
      <c r="AB11" s="86">
        <v>1202519</v>
      </c>
      <c r="AC11" s="86">
        <v>1201524</v>
      </c>
      <c r="AD11" s="85">
        <v>0</v>
      </c>
      <c r="AE11" s="87">
        <v>0</v>
      </c>
      <c r="AF11" s="87">
        <v>0</v>
      </c>
      <c r="AG11" s="87">
        <v>0</v>
      </c>
      <c r="AH11" s="87">
        <v>0</v>
      </c>
      <c r="AI11" s="87">
        <v>0</v>
      </c>
      <c r="AJ11" s="337">
        <f t="shared" si="1"/>
        <v>0</v>
      </c>
      <c r="AK11" s="337">
        <f t="shared" si="1"/>
        <v>1202519</v>
      </c>
      <c r="AL11" s="337">
        <f t="shared" si="1"/>
        <v>1201524</v>
      </c>
      <c r="AM11" s="84">
        <f t="shared" si="2"/>
        <v>112777630</v>
      </c>
      <c r="AN11" s="84">
        <f t="shared" si="2"/>
        <v>169998048</v>
      </c>
      <c r="AO11" s="84">
        <f t="shared" si="2"/>
        <v>85431613</v>
      </c>
      <c r="AP11" s="236">
        <f aca="true" t="shared" si="3" ref="AP11:AP17">Z11/Y11</f>
        <v>0.4990066354186431</v>
      </c>
      <c r="AQ11" s="240">
        <f aca="true" t="shared" si="4" ref="AQ11:AQ17">AL11/AK11</f>
        <v>0.9991725702462914</v>
      </c>
      <c r="AR11" s="241">
        <f aca="true" t="shared" si="5" ref="AR11:AR17">AO11/AN11</f>
        <v>0.5025446703952742</v>
      </c>
      <c r="AS11" s="204">
        <f>AM11-1!AM11</f>
        <v>0</v>
      </c>
      <c r="AT11" s="204">
        <f>AN11-1!AN11</f>
        <v>0</v>
      </c>
      <c r="AV11" s="279" t="e">
        <f>#N/A</f>
        <v>#N/A</v>
      </c>
    </row>
    <row r="12" spans="1:48" s="83" customFormat="1" ht="48" customHeight="1">
      <c r="A12" s="38" t="s">
        <v>23</v>
      </c>
      <c r="B12" s="255" t="s">
        <v>29</v>
      </c>
      <c r="C12" s="84">
        <v>23157648</v>
      </c>
      <c r="D12" s="86">
        <v>34128391</v>
      </c>
      <c r="E12" s="86">
        <v>16064688</v>
      </c>
      <c r="F12" s="85">
        <v>4469000</v>
      </c>
      <c r="G12" s="85">
        <v>7162641</v>
      </c>
      <c r="H12" s="85">
        <v>2968290</v>
      </c>
      <c r="I12" s="85">
        <v>6700000</v>
      </c>
      <c r="J12" s="85">
        <v>11923240</v>
      </c>
      <c r="K12" s="85">
        <v>3094968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85">
        <v>0</v>
      </c>
      <c r="W12" s="85">
        <v>0</v>
      </c>
      <c r="X12" s="337">
        <f t="shared" si="0"/>
        <v>34326648</v>
      </c>
      <c r="Y12" s="338">
        <f t="shared" si="0"/>
        <v>53214272</v>
      </c>
      <c r="Z12" s="339">
        <f t="shared" si="0"/>
        <v>22127946</v>
      </c>
      <c r="AA12" s="86">
        <v>0</v>
      </c>
      <c r="AB12" s="86">
        <v>2986760</v>
      </c>
      <c r="AC12" s="86">
        <v>683232</v>
      </c>
      <c r="AD12" s="85">
        <v>0</v>
      </c>
      <c r="AE12" s="85">
        <v>0</v>
      </c>
      <c r="AF12" s="85">
        <v>0</v>
      </c>
      <c r="AG12" s="85">
        <v>0</v>
      </c>
      <c r="AH12" s="85">
        <v>0</v>
      </c>
      <c r="AI12" s="85">
        <v>0</v>
      </c>
      <c r="AJ12" s="337">
        <f t="shared" si="1"/>
        <v>0</v>
      </c>
      <c r="AK12" s="337">
        <f t="shared" si="1"/>
        <v>2986760</v>
      </c>
      <c r="AL12" s="337">
        <f t="shared" si="1"/>
        <v>683232</v>
      </c>
      <c r="AM12" s="84">
        <f t="shared" si="2"/>
        <v>34326648</v>
      </c>
      <c r="AN12" s="84">
        <f t="shared" si="2"/>
        <v>56201032</v>
      </c>
      <c r="AO12" s="84">
        <f t="shared" si="2"/>
        <v>22811178</v>
      </c>
      <c r="AP12" s="236">
        <f t="shared" si="3"/>
        <v>0.4158272803205877</v>
      </c>
      <c r="AQ12" s="240">
        <f t="shared" si="4"/>
        <v>0.22875356573678501</v>
      </c>
      <c r="AR12" s="241">
        <f t="shared" si="5"/>
        <v>0.4058853937059376</v>
      </c>
      <c r="AS12" s="204">
        <f>AM12-1!AM12</f>
        <v>0</v>
      </c>
      <c r="AT12" s="204">
        <f>AN12-1!AN12</f>
        <v>0</v>
      </c>
      <c r="AV12" s="279" t="e">
        <f>#N/A</f>
        <v>#N/A</v>
      </c>
    </row>
    <row r="13" spans="1:48" s="83" customFormat="1" ht="40.5" customHeight="1" thickBot="1">
      <c r="A13" s="213" t="s">
        <v>52</v>
      </c>
      <c r="B13" s="82" t="s">
        <v>27</v>
      </c>
      <c r="C13" s="88">
        <v>13983500</v>
      </c>
      <c r="D13" s="189">
        <v>16289523</v>
      </c>
      <c r="E13" s="189">
        <v>7322045</v>
      </c>
      <c r="F13" s="89">
        <v>2631000</v>
      </c>
      <c r="G13" s="89">
        <v>4401616</v>
      </c>
      <c r="H13" s="89">
        <v>1396816</v>
      </c>
      <c r="I13" s="89">
        <v>5707000</v>
      </c>
      <c r="J13" s="89">
        <v>6623619</v>
      </c>
      <c r="K13" s="89">
        <v>3297657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>
        <v>0</v>
      </c>
      <c r="U13" s="89">
        <v>0</v>
      </c>
      <c r="V13" s="89">
        <v>0</v>
      </c>
      <c r="W13" s="89">
        <v>0</v>
      </c>
      <c r="X13" s="340">
        <f t="shared" si="0"/>
        <v>22321500</v>
      </c>
      <c r="Y13" s="341">
        <f t="shared" si="0"/>
        <v>27314758</v>
      </c>
      <c r="Z13" s="342">
        <f t="shared" si="0"/>
        <v>12016518</v>
      </c>
      <c r="AA13" s="189">
        <v>0</v>
      </c>
      <c r="AB13" s="189">
        <v>0</v>
      </c>
      <c r="AC13" s="189">
        <v>0</v>
      </c>
      <c r="AD13" s="189">
        <v>0</v>
      </c>
      <c r="AE13" s="189">
        <v>0</v>
      </c>
      <c r="AF13" s="189">
        <v>0</v>
      </c>
      <c r="AG13" s="189">
        <v>0</v>
      </c>
      <c r="AH13" s="189">
        <v>0</v>
      </c>
      <c r="AI13" s="189">
        <v>0</v>
      </c>
      <c r="AJ13" s="337">
        <f t="shared" si="1"/>
        <v>0</v>
      </c>
      <c r="AK13" s="337">
        <f t="shared" si="1"/>
        <v>0</v>
      </c>
      <c r="AL13" s="337">
        <f t="shared" si="1"/>
        <v>0</v>
      </c>
      <c r="AM13" s="84">
        <f t="shared" si="2"/>
        <v>22321500</v>
      </c>
      <c r="AN13" s="84">
        <f t="shared" si="2"/>
        <v>27314758</v>
      </c>
      <c r="AO13" s="84">
        <f t="shared" si="2"/>
        <v>12016518</v>
      </c>
      <c r="AP13" s="237">
        <f t="shared" si="3"/>
        <v>0.4399276757275316</v>
      </c>
      <c r="AQ13" s="242"/>
      <c r="AR13" s="243">
        <f t="shared" si="5"/>
        <v>0.4399276757275316</v>
      </c>
      <c r="AS13" s="204">
        <f>AM13-1!AM13</f>
        <v>0</v>
      </c>
      <c r="AT13" s="204">
        <f>AN13-1!AN13</f>
        <v>0</v>
      </c>
      <c r="AV13" s="279" t="e">
        <f>#N/A</f>
        <v>#N/A</v>
      </c>
    </row>
    <row r="14" spans="1:48" ht="46.5" customHeight="1" thickBot="1">
      <c r="A14" s="218" t="s">
        <v>54</v>
      </c>
      <c r="B14" s="252" t="s">
        <v>364</v>
      </c>
      <c r="C14" s="222">
        <f>SUM(C10:C13)</f>
        <v>428695117</v>
      </c>
      <c r="D14" s="224">
        <f>SUM(D10:D13)</f>
        <v>538954248</v>
      </c>
      <c r="E14" s="224">
        <f aca="true" t="shared" si="6" ref="E14:AA14">SUM(E10:E13)</f>
        <v>235643129</v>
      </c>
      <c r="F14" s="224">
        <f t="shared" si="6"/>
        <v>83037130</v>
      </c>
      <c r="G14" s="224">
        <f t="shared" si="6"/>
        <v>107945785</v>
      </c>
      <c r="H14" s="224">
        <f t="shared" si="6"/>
        <v>48244802</v>
      </c>
      <c r="I14" s="224">
        <f t="shared" si="6"/>
        <v>258260000</v>
      </c>
      <c r="J14" s="224">
        <f t="shared" si="6"/>
        <v>308699808</v>
      </c>
      <c r="K14" s="224">
        <f t="shared" si="6"/>
        <v>162897096</v>
      </c>
      <c r="L14" s="224">
        <f t="shared" si="6"/>
        <v>0</v>
      </c>
      <c r="M14" s="224">
        <f t="shared" si="6"/>
        <v>0</v>
      </c>
      <c r="N14" s="224">
        <f t="shared" si="6"/>
        <v>0</v>
      </c>
      <c r="O14" s="224">
        <f t="shared" si="6"/>
        <v>3500000</v>
      </c>
      <c r="P14" s="224">
        <f t="shared" si="6"/>
        <v>4420000</v>
      </c>
      <c r="Q14" s="224">
        <f t="shared" si="6"/>
        <v>2204516</v>
      </c>
      <c r="R14" s="224">
        <f t="shared" si="6"/>
        <v>0</v>
      </c>
      <c r="S14" s="224">
        <f t="shared" si="6"/>
        <v>0</v>
      </c>
      <c r="T14" s="224">
        <f t="shared" si="6"/>
        <v>0</v>
      </c>
      <c r="U14" s="224">
        <f t="shared" si="6"/>
        <v>0</v>
      </c>
      <c r="V14" s="224">
        <f t="shared" si="6"/>
        <v>0</v>
      </c>
      <c r="W14" s="224">
        <f t="shared" si="6"/>
        <v>0</v>
      </c>
      <c r="X14" s="224">
        <f t="shared" si="6"/>
        <v>773492247</v>
      </c>
      <c r="Y14" s="224">
        <f t="shared" si="6"/>
        <v>960019841</v>
      </c>
      <c r="Z14" s="224">
        <f t="shared" si="6"/>
        <v>448989543</v>
      </c>
      <c r="AA14" s="224">
        <f t="shared" si="6"/>
        <v>0</v>
      </c>
      <c r="AB14" s="220">
        <f aca="true" t="shared" si="7" ref="AB14:AI14">SUM(AB10:AB13)</f>
        <v>12714901</v>
      </c>
      <c r="AC14" s="220">
        <f t="shared" si="7"/>
        <v>10229719</v>
      </c>
      <c r="AD14" s="220">
        <f t="shared" si="7"/>
        <v>0</v>
      </c>
      <c r="AE14" s="220">
        <f t="shared" si="7"/>
        <v>0</v>
      </c>
      <c r="AF14" s="220">
        <f t="shared" si="7"/>
        <v>0</v>
      </c>
      <c r="AG14" s="220">
        <f t="shared" si="7"/>
        <v>0</v>
      </c>
      <c r="AH14" s="220">
        <f t="shared" si="7"/>
        <v>0</v>
      </c>
      <c r="AI14" s="220">
        <f t="shared" si="7"/>
        <v>0</v>
      </c>
      <c r="AJ14" s="343">
        <f aca="true" t="shared" si="8" ref="AJ14:AO14">SUM(AJ10:AJ13)</f>
        <v>0</v>
      </c>
      <c r="AK14" s="343">
        <f t="shared" si="8"/>
        <v>12714901</v>
      </c>
      <c r="AL14" s="343">
        <f t="shared" si="8"/>
        <v>10229719</v>
      </c>
      <c r="AM14" s="222">
        <f t="shared" si="8"/>
        <v>773492247</v>
      </c>
      <c r="AN14" s="222">
        <f t="shared" si="8"/>
        <v>972734742</v>
      </c>
      <c r="AO14" s="222">
        <f t="shared" si="8"/>
        <v>459219262</v>
      </c>
      <c r="AP14" s="238">
        <f t="shared" si="3"/>
        <v>0.4676877745904837</v>
      </c>
      <c r="AQ14" s="244">
        <f t="shared" si="4"/>
        <v>0.8045457058611781</v>
      </c>
      <c r="AR14" s="245">
        <f t="shared" si="5"/>
        <v>0.4720909433704589</v>
      </c>
      <c r="AS14" s="204">
        <f>AM14-1!AM14</f>
        <v>0</v>
      </c>
      <c r="AT14" s="204">
        <f>AN14-1!AN14</f>
        <v>0</v>
      </c>
      <c r="AV14" s="279" t="e">
        <f>#N/A</f>
        <v>#N/A</v>
      </c>
    </row>
    <row r="15" spans="1:48" s="83" customFormat="1" ht="51" customHeight="1">
      <c r="A15" s="207" t="s">
        <v>48</v>
      </c>
      <c r="B15" s="81" t="s">
        <v>32</v>
      </c>
      <c r="C15" s="91">
        <v>276365064</v>
      </c>
      <c r="D15" s="94">
        <v>281237287</v>
      </c>
      <c r="E15" s="94">
        <v>123093697</v>
      </c>
      <c r="F15" s="92">
        <v>61345000</v>
      </c>
      <c r="G15" s="92">
        <v>62090428</v>
      </c>
      <c r="H15" s="92">
        <v>25561006</v>
      </c>
      <c r="I15" s="92">
        <v>241634000</v>
      </c>
      <c r="J15" s="92">
        <v>240324754</v>
      </c>
      <c r="K15" s="92">
        <v>109849539</v>
      </c>
      <c r="L15" s="92">
        <v>0</v>
      </c>
      <c r="M15" s="93">
        <v>0</v>
      </c>
      <c r="N15" s="93">
        <v>0</v>
      </c>
      <c r="O15" s="93">
        <v>0</v>
      </c>
      <c r="P15" s="93">
        <v>0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93">
        <v>0</v>
      </c>
      <c r="W15" s="93">
        <v>0</v>
      </c>
      <c r="X15" s="345">
        <f aca="true" t="shared" si="9" ref="X15:Z16">C15+F15+I15+L15+O15+R15+U15</f>
        <v>579344064</v>
      </c>
      <c r="Y15" s="346">
        <f t="shared" si="9"/>
        <v>583652469</v>
      </c>
      <c r="Z15" s="346">
        <f t="shared" si="9"/>
        <v>258504242</v>
      </c>
      <c r="AA15" s="92">
        <f>'[1]PH'!D42</f>
        <v>0</v>
      </c>
      <c r="AB15" s="94">
        <v>1309246</v>
      </c>
      <c r="AC15" s="94">
        <f>731483+560258</f>
        <v>1291741</v>
      </c>
      <c r="AD15" s="92">
        <v>0</v>
      </c>
      <c r="AE15" s="92">
        <v>0</v>
      </c>
      <c r="AF15" s="92">
        <v>0</v>
      </c>
      <c r="AG15" s="92">
        <v>0</v>
      </c>
      <c r="AH15" s="92">
        <v>0</v>
      </c>
      <c r="AI15" s="92">
        <v>0</v>
      </c>
      <c r="AJ15" s="337">
        <f aca="true" t="shared" si="10" ref="AJ15:AL16">AA15+AD15+AG15</f>
        <v>0</v>
      </c>
      <c r="AK15" s="337">
        <f t="shared" si="10"/>
        <v>1309246</v>
      </c>
      <c r="AL15" s="337">
        <f t="shared" si="10"/>
        <v>1291741</v>
      </c>
      <c r="AM15" s="84">
        <f aca="true" t="shared" si="11" ref="AM15:AO16">X15+AJ15</f>
        <v>579344064</v>
      </c>
      <c r="AN15" s="84">
        <f t="shared" si="11"/>
        <v>584961715</v>
      </c>
      <c r="AO15" s="84">
        <f t="shared" si="11"/>
        <v>259795983</v>
      </c>
      <c r="AP15" s="239">
        <f t="shared" si="3"/>
        <v>0.4429078188307981</v>
      </c>
      <c r="AQ15" s="246">
        <f t="shared" si="4"/>
        <v>0.9866297090080856</v>
      </c>
      <c r="AR15" s="247">
        <f t="shared" si="5"/>
        <v>0.44412476293427167</v>
      </c>
      <c r="AS15" s="204">
        <f>AM15-1!AM15</f>
        <v>0</v>
      </c>
      <c r="AT15" s="204">
        <f>AN15-1!AN15</f>
        <v>0</v>
      </c>
      <c r="AV15" s="279" t="e">
        <f>#N/A</f>
        <v>#N/A</v>
      </c>
    </row>
    <row r="16" spans="1:48" s="83" customFormat="1" ht="36" customHeight="1" thickBot="1">
      <c r="A16" s="213" t="s">
        <v>24</v>
      </c>
      <c r="B16" s="82" t="s">
        <v>50</v>
      </c>
      <c r="C16" s="88">
        <v>236904500</v>
      </c>
      <c r="D16" s="189">
        <v>301211091</v>
      </c>
      <c r="E16" s="189">
        <v>137802330</v>
      </c>
      <c r="F16" s="89">
        <v>31170200</v>
      </c>
      <c r="G16" s="89">
        <v>41004414</v>
      </c>
      <c r="H16" s="89">
        <v>18234340</v>
      </c>
      <c r="I16" s="89">
        <v>456310768</v>
      </c>
      <c r="J16" s="89">
        <v>614711796</v>
      </c>
      <c r="K16" s="89">
        <v>270551893</v>
      </c>
      <c r="L16" s="95">
        <v>135700000</v>
      </c>
      <c r="M16" s="190">
        <v>136392000</v>
      </c>
      <c r="N16" s="190">
        <v>34779428</v>
      </c>
      <c r="O16" s="127">
        <v>938286461</v>
      </c>
      <c r="P16" s="127">
        <v>991286304</v>
      </c>
      <c r="Q16" s="127">
        <v>485908185</v>
      </c>
      <c r="R16" s="127">
        <v>82529439</v>
      </c>
      <c r="S16" s="127">
        <f>5!F24</f>
        <v>186184378</v>
      </c>
      <c r="T16" s="127">
        <v>0</v>
      </c>
      <c r="U16" s="127">
        <v>47170372</v>
      </c>
      <c r="V16" s="127">
        <v>47170372</v>
      </c>
      <c r="W16" s="127">
        <v>47170372</v>
      </c>
      <c r="X16" s="347">
        <f t="shared" si="9"/>
        <v>1928071740</v>
      </c>
      <c r="Y16" s="348">
        <f t="shared" si="9"/>
        <v>2317960355</v>
      </c>
      <c r="Z16" s="348">
        <f t="shared" si="9"/>
        <v>994446548</v>
      </c>
      <c r="AA16" s="228">
        <v>310321999</v>
      </c>
      <c r="AB16" s="96">
        <v>1371662718</v>
      </c>
      <c r="AC16" s="96">
        <v>957263424</v>
      </c>
      <c r="AD16" s="89">
        <v>39200000</v>
      </c>
      <c r="AE16" s="90">
        <v>39200000</v>
      </c>
      <c r="AF16" s="90">
        <v>4900000</v>
      </c>
      <c r="AG16" s="90">
        <v>2714793518</v>
      </c>
      <c r="AH16" s="90">
        <f>5!F56</f>
        <v>1845786838</v>
      </c>
      <c r="AI16" s="90">
        <v>0</v>
      </c>
      <c r="AJ16" s="337">
        <f t="shared" si="10"/>
        <v>3064315517</v>
      </c>
      <c r="AK16" s="337">
        <f t="shared" si="10"/>
        <v>3256649556</v>
      </c>
      <c r="AL16" s="337">
        <f t="shared" si="10"/>
        <v>962163424</v>
      </c>
      <c r="AM16" s="84">
        <f t="shared" si="11"/>
        <v>4992387257</v>
      </c>
      <c r="AN16" s="84">
        <f t="shared" si="11"/>
        <v>5574609911</v>
      </c>
      <c r="AO16" s="84">
        <f t="shared" si="11"/>
        <v>1956609972</v>
      </c>
      <c r="AP16" s="237">
        <f t="shared" si="3"/>
        <v>0.4290179277030819</v>
      </c>
      <c r="AQ16" s="242">
        <f t="shared" si="4"/>
        <v>0.2954457971160345</v>
      </c>
      <c r="AR16" s="243">
        <f t="shared" si="5"/>
        <v>0.35098598883827803</v>
      </c>
      <c r="AS16" s="204">
        <f>AM16-1!AM16</f>
        <v>0</v>
      </c>
      <c r="AT16" s="204">
        <f>AN16-1!AN16</f>
        <v>0</v>
      </c>
      <c r="AV16" s="279" t="e">
        <f>#N/A</f>
        <v>#N/A</v>
      </c>
    </row>
    <row r="17" spans="1:48" ht="46.5" customHeight="1" thickBot="1">
      <c r="A17" s="218" t="s">
        <v>26</v>
      </c>
      <c r="B17" s="252" t="s">
        <v>36</v>
      </c>
      <c r="C17" s="222">
        <f aca="true" t="shared" si="12" ref="C17:V17">SUM(C14:C16)</f>
        <v>941964681</v>
      </c>
      <c r="D17" s="224">
        <f t="shared" si="12"/>
        <v>1121402626</v>
      </c>
      <c r="E17" s="224">
        <f t="shared" si="12"/>
        <v>496539156</v>
      </c>
      <c r="F17" s="224">
        <f t="shared" si="12"/>
        <v>175552330</v>
      </c>
      <c r="G17" s="224">
        <f t="shared" si="12"/>
        <v>211040627</v>
      </c>
      <c r="H17" s="224">
        <f t="shared" si="12"/>
        <v>92040148</v>
      </c>
      <c r="I17" s="224">
        <f t="shared" si="12"/>
        <v>956204768</v>
      </c>
      <c r="J17" s="224">
        <f t="shared" si="12"/>
        <v>1163736358</v>
      </c>
      <c r="K17" s="224">
        <f t="shared" si="12"/>
        <v>543298528</v>
      </c>
      <c r="L17" s="224">
        <f t="shared" si="12"/>
        <v>135700000</v>
      </c>
      <c r="M17" s="224">
        <f t="shared" si="12"/>
        <v>136392000</v>
      </c>
      <c r="N17" s="224">
        <f t="shared" si="12"/>
        <v>34779428</v>
      </c>
      <c r="O17" s="224">
        <f t="shared" si="12"/>
        <v>941786461</v>
      </c>
      <c r="P17" s="224">
        <f t="shared" si="12"/>
        <v>995706304</v>
      </c>
      <c r="Q17" s="224">
        <f t="shared" si="12"/>
        <v>488112701</v>
      </c>
      <c r="R17" s="224">
        <f t="shared" si="12"/>
        <v>82529439</v>
      </c>
      <c r="S17" s="224">
        <f t="shared" si="12"/>
        <v>186184378</v>
      </c>
      <c r="T17" s="224">
        <f t="shared" si="12"/>
        <v>0</v>
      </c>
      <c r="U17" s="224">
        <f t="shared" si="12"/>
        <v>47170372</v>
      </c>
      <c r="V17" s="224">
        <f t="shared" si="12"/>
        <v>47170372</v>
      </c>
      <c r="W17" s="226">
        <f>SUM(W14:W16)</f>
        <v>47170372</v>
      </c>
      <c r="X17" s="343">
        <f>SUM(X14:X16)</f>
        <v>3280908051</v>
      </c>
      <c r="Y17" s="343">
        <f aca="true" t="shared" si="13" ref="Y17:AH17">SUM(Y14:Y16)</f>
        <v>3861632665</v>
      </c>
      <c r="Z17" s="343">
        <f t="shared" si="13"/>
        <v>1701940333</v>
      </c>
      <c r="AA17" s="220">
        <f t="shared" si="13"/>
        <v>310321999</v>
      </c>
      <c r="AB17" s="220">
        <f t="shared" si="13"/>
        <v>1385686865</v>
      </c>
      <c r="AC17" s="220">
        <f t="shared" si="13"/>
        <v>968784884</v>
      </c>
      <c r="AD17" s="220">
        <f t="shared" si="13"/>
        <v>39200000</v>
      </c>
      <c r="AE17" s="220">
        <f t="shared" si="13"/>
        <v>39200000</v>
      </c>
      <c r="AF17" s="220">
        <f t="shared" si="13"/>
        <v>4900000</v>
      </c>
      <c r="AG17" s="220">
        <f t="shared" si="13"/>
        <v>2714793518</v>
      </c>
      <c r="AH17" s="220">
        <f t="shared" si="13"/>
        <v>1845786838</v>
      </c>
      <c r="AI17" s="220">
        <f aca="true" t="shared" si="14" ref="AI17:AO17">SUM(AI14:AI16)</f>
        <v>0</v>
      </c>
      <c r="AJ17" s="343">
        <f t="shared" si="14"/>
        <v>3064315517</v>
      </c>
      <c r="AK17" s="343">
        <f t="shared" si="14"/>
        <v>3270673703</v>
      </c>
      <c r="AL17" s="343">
        <f t="shared" si="14"/>
        <v>973684884</v>
      </c>
      <c r="AM17" s="222">
        <f t="shared" si="14"/>
        <v>6345223568</v>
      </c>
      <c r="AN17" s="222">
        <f t="shared" si="14"/>
        <v>7132306368</v>
      </c>
      <c r="AO17" s="222">
        <f t="shared" si="14"/>
        <v>2675625217</v>
      </c>
      <c r="AP17" s="238">
        <f t="shared" si="3"/>
        <v>0.4407307687304328</v>
      </c>
      <c r="AQ17" s="244">
        <f t="shared" si="4"/>
        <v>0.2977016273763094</v>
      </c>
      <c r="AR17" s="245">
        <f t="shared" si="5"/>
        <v>0.37514165530024524</v>
      </c>
      <c r="AS17" s="204">
        <f>AM17-1!AM17</f>
        <v>0</v>
      </c>
      <c r="AT17" s="204">
        <f>AN17-1!AN17</f>
        <v>0</v>
      </c>
      <c r="AV17" s="279">
        <f>AN17-AM17</f>
        <v>787082800</v>
      </c>
    </row>
    <row r="18" spans="24:44" ht="15.75" hidden="1">
      <c r="X18" s="349">
        <f>C17+F17+I17+L17+O17+R17+U17-X17</f>
        <v>0</v>
      </c>
      <c r="Y18" s="349">
        <f>D17+G17+J17+M17+P17+S17+V17-Y17</f>
        <v>0</v>
      </c>
      <c r="Z18" s="349">
        <f>E17+H17+K17+N17+Q17+T17+W17-Z17</f>
        <v>0</v>
      </c>
      <c r="AJ18" s="349">
        <f>AA17+AD17+AG17-AJ17</f>
        <v>0</v>
      </c>
      <c r="AK18" s="349">
        <f>AB17+AE17+AH17-AK17</f>
        <v>0</v>
      </c>
      <c r="AL18" s="349">
        <f>AC17+AF17+AI17-AL17</f>
        <v>0</v>
      </c>
      <c r="AM18" s="200">
        <f>X17+AJ17-AM17</f>
        <v>0</v>
      </c>
      <c r="AN18" s="200">
        <f>Y17+AK17-AN17</f>
        <v>0</v>
      </c>
      <c r="AO18" s="200">
        <f>Z17+AL17-AO17</f>
        <v>0</v>
      </c>
      <c r="AP18" s="200"/>
      <c r="AQ18" s="200"/>
      <c r="AR18" s="200"/>
    </row>
    <row r="19" spans="1:41" s="248" customFormat="1" ht="12" hidden="1">
      <c r="A19" s="248" t="s">
        <v>359</v>
      </c>
      <c r="C19" s="248">
        <v>941964681</v>
      </c>
      <c r="D19" s="248">
        <v>1121402626</v>
      </c>
      <c r="E19" s="248">
        <v>496539156</v>
      </c>
      <c r="F19" s="248">
        <v>175552330</v>
      </c>
      <c r="G19" s="248">
        <v>211040627</v>
      </c>
      <c r="H19" s="248">
        <v>92040148</v>
      </c>
      <c r="I19" s="248">
        <v>956204768</v>
      </c>
      <c r="J19" s="248">
        <v>1163736358</v>
      </c>
      <c r="K19" s="248">
        <v>543298528</v>
      </c>
      <c r="L19" s="248">
        <v>135700000</v>
      </c>
      <c r="M19" s="248">
        <v>136392000</v>
      </c>
      <c r="N19" s="248">
        <v>34779428</v>
      </c>
      <c r="O19" s="248">
        <v>941786461</v>
      </c>
      <c r="P19" s="248">
        <v>995706304</v>
      </c>
      <c r="Q19" s="248">
        <v>488112701</v>
      </c>
      <c r="R19" s="248">
        <v>2797322957</v>
      </c>
      <c r="S19" s="248">
        <v>2031971216</v>
      </c>
      <c r="T19" s="248">
        <v>0</v>
      </c>
      <c r="U19" s="248">
        <v>47170372</v>
      </c>
      <c r="V19" s="248">
        <v>47170372</v>
      </c>
      <c r="W19" s="248">
        <v>47170372</v>
      </c>
      <c r="X19" s="350"/>
      <c r="Y19" s="350"/>
      <c r="Z19" s="350"/>
      <c r="AA19" s="248">
        <f>250000000+60321999</f>
        <v>310321999</v>
      </c>
      <c r="AB19" s="248">
        <v>1385686865</v>
      </c>
      <c r="AC19" s="248">
        <v>968784884</v>
      </c>
      <c r="AD19" s="248">
        <v>39200000</v>
      </c>
      <c r="AE19" s="248">
        <v>39200000</v>
      </c>
      <c r="AF19" s="248">
        <v>4900000</v>
      </c>
      <c r="AJ19" s="350"/>
      <c r="AK19" s="350"/>
      <c r="AL19" s="350"/>
      <c r="AM19" s="248">
        <f>6298053196+47170372</f>
        <v>6345223568</v>
      </c>
      <c r="AN19" s="248">
        <f>7085135996+47170372</f>
        <v>7132306368</v>
      </c>
      <c r="AO19" s="248">
        <f>47170372+2628454845</f>
        <v>2675625217</v>
      </c>
    </row>
    <row r="20" spans="3:42" s="205" customFormat="1" ht="15.75" hidden="1">
      <c r="C20" s="205">
        <f>C19-C17</f>
        <v>0</v>
      </c>
      <c r="D20" s="205" t="e">
        <f>#N/A</f>
        <v>#N/A</v>
      </c>
      <c r="E20" s="205" t="e">
        <f>#N/A</f>
        <v>#N/A</v>
      </c>
      <c r="F20" s="205" t="e">
        <f>#N/A</f>
        <v>#N/A</v>
      </c>
      <c r="G20" s="205" t="e">
        <f>#N/A</f>
        <v>#N/A</v>
      </c>
      <c r="H20" s="205" t="e">
        <f>#N/A</f>
        <v>#N/A</v>
      </c>
      <c r="I20" s="205" t="e">
        <f>#N/A</f>
        <v>#N/A</v>
      </c>
      <c r="J20" s="205" t="e">
        <f>#N/A</f>
        <v>#N/A</v>
      </c>
      <c r="K20" s="205" t="e">
        <f>#N/A</f>
        <v>#N/A</v>
      </c>
      <c r="L20" s="205" t="e">
        <f>#N/A</f>
        <v>#N/A</v>
      </c>
      <c r="M20" s="205" t="e">
        <f>#N/A</f>
        <v>#N/A</v>
      </c>
      <c r="N20" s="205" t="e">
        <f>#N/A</f>
        <v>#N/A</v>
      </c>
      <c r="O20" s="205">
        <f>O19-O17</f>
        <v>0</v>
      </c>
      <c r="P20" s="205">
        <f>P19-P17</f>
        <v>0</v>
      </c>
      <c r="Q20" s="205">
        <f>Q19-Q17</f>
        <v>0</v>
      </c>
      <c r="R20" s="205">
        <f>R19-R17-AG16</f>
        <v>0</v>
      </c>
      <c r="S20" s="205">
        <f>S19-S17-AH16</f>
        <v>0</v>
      </c>
      <c r="T20" s="205">
        <f>T19-T17</f>
        <v>0</v>
      </c>
      <c r="U20" s="205">
        <f>U19-U17</f>
        <v>0</v>
      </c>
      <c r="V20" s="205">
        <f>V19-V17</f>
        <v>0</v>
      </c>
      <c r="W20" s="205">
        <f>W19-W17</f>
        <v>0</v>
      </c>
      <c r="X20" s="351"/>
      <c r="Y20" s="351"/>
      <c r="Z20" s="351"/>
      <c r="AA20" s="205" t="e">
        <f>#N/A</f>
        <v>#N/A</v>
      </c>
      <c r="AB20" s="205" t="e">
        <f>#N/A</f>
        <v>#N/A</v>
      </c>
      <c r="AC20" s="205" t="e">
        <f>#N/A</f>
        <v>#N/A</v>
      </c>
      <c r="AD20" s="205" t="e">
        <f>#N/A</f>
        <v>#N/A</v>
      </c>
      <c r="AE20" s="205" t="e">
        <f>#N/A</f>
        <v>#N/A</v>
      </c>
      <c r="AF20" s="205" t="e">
        <f>#N/A</f>
        <v>#N/A</v>
      </c>
      <c r="AJ20" s="351"/>
      <c r="AK20" s="351"/>
      <c r="AL20" s="351"/>
      <c r="AM20" s="205">
        <f>AM19-AM17</f>
        <v>0</v>
      </c>
      <c r="AN20" s="205">
        <f>AN19-AN17</f>
        <v>0</v>
      </c>
      <c r="AO20" s="205">
        <f>AO19-AO17</f>
        <v>0</v>
      </c>
      <c r="AP20" s="205">
        <f>AN16-AM16</f>
        <v>582222654</v>
      </c>
    </row>
    <row r="21" spans="1:41" ht="36" customHeight="1" hidden="1">
      <c r="A21" s="385" t="s">
        <v>10</v>
      </c>
      <c r="B21" s="439" t="s">
        <v>11</v>
      </c>
      <c r="C21" s="438" t="s">
        <v>37</v>
      </c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  <c r="V21" s="415"/>
      <c r="W21" s="415"/>
      <c r="X21" s="430" t="s">
        <v>56</v>
      </c>
      <c r="Y21" s="431"/>
      <c r="Z21" s="432"/>
      <c r="AA21" s="415" t="s">
        <v>38</v>
      </c>
      <c r="AB21" s="415"/>
      <c r="AC21" s="415"/>
      <c r="AD21" s="415"/>
      <c r="AE21" s="415"/>
      <c r="AF21" s="415"/>
      <c r="AG21" s="415"/>
      <c r="AH21" s="415"/>
      <c r="AI21" s="415"/>
      <c r="AJ21" s="430" t="s">
        <v>70</v>
      </c>
      <c r="AK21" s="431"/>
      <c r="AL21" s="432"/>
      <c r="AM21" s="436" t="s">
        <v>41</v>
      </c>
      <c r="AN21" s="437"/>
      <c r="AO21" s="442"/>
    </row>
    <row r="22" spans="1:41" ht="15.75" hidden="1">
      <c r="A22" s="386"/>
      <c r="B22" s="440"/>
      <c r="C22" s="391" t="s">
        <v>348</v>
      </c>
      <c r="D22" s="392"/>
      <c r="E22" s="393"/>
      <c r="F22" s="391" t="s">
        <v>349</v>
      </c>
      <c r="G22" s="392"/>
      <c r="H22" s="393"/>
      <c r="I22" s="391" t="s">
        <v>350</v>
      </c>
      <c r="J22" s="392"/>
      <c r="K22" s="393"/>
      <c r="L22" s="391" t="s">
        <v>351</v>
      </c>
      <c r="M22" s="392"/>
      <c r="N22" s="393"/>
      <c r="O22" s="391" t="s">
        <v>205</v>
      </c>
      <c r="P22" s="392"/>
      <c r="Q22" s="393"/>
      <c r="R22" s="391" t="s">
        <v>45</v>
      </c>
      <c r="S22" s="392"/>
      <c r="T22" s="393"/>
      <c r="U22" s="413"/>
      <c r="V22" s="413"/>
      <c r="W22" s="413"/>
      <c r="X22" s="433"/>
      <c r="Y22" s="434"/>
      <c r="Z22" s="435"/>
      <c r="AA22" s="392" t="s">
        <v>354</v>
      </c>
      <c r="AB22" s="392"/>
      <c r="AC22" s="393"/>
      <c r="AD22" s="391" t="s">
        <v>353</v>
      </c>
      <c r="AE22" s="392"/>
      <c r="AF22" s="393"/>
      <c r="AG22" s="391" t="s">
        <v>47</v>
      </c>
      <c r="AH22" s="392"/>
      <c r="AI22" s="393"/>
      <c r="AJ22" s="433"/>
      <c r="AK22" s="434"/>
      <c r="AL22" s="435"/>
      <c r="AM22" s="421"/>
      <c r="AN22" s="395"/>
      <c r="AO22" s="427"/>
    </row>
    <row r="23" spans="1:41" ht="53.25" customHeight="1" hidden="1">
      <c r="A23" s="386"/>
      <c r="B23" s="440"/>
      <c r="C23" s="417"/>
      <c r="D23" s="418"/>
      <c r="E23" s="419"/>
      <c r="F23" s="417"/>
      <c r="G23" s="418"/>
      <c r="H23" s="419"/>
      <c r="I23" s="417"/>
      <c r="J23" s="418"/>
      <c r="K23" s="419"/>
      <c r="L23" s="417"/>
      <c r="M23" s="418"/>
      <c r="N23" s="419"/>
      <c r="O23" s="417"/>
      <c r="P23" s="418"/>
      <c r="Q23" s="419"/>
      <c r="R23" s="417"/>
      <c r="S23" s="418"/>
      <c r="T23" s="419"/>
      <c r="U23" s="412" t="s">
        <v>335</v>
      </c>
      <c r="V23" s="413"/>
      <c r="W23" s="413"/>
      <c r="X23" s="433"/>
      <c r="Y23" s="434"/>
      <c r="Z23" s="435"/>
      <c r="AA23" s="418"/>
      <c r="AB23" s="418"/>
      <c r="AC23" s="419"/>
      <c r="AD23" s="417" t="s">
        <v>206</v>
      </c>
      <c r="AE23" s="418"/>
      <c r="AF23" s="419"/>
      <c r="AG23" s="417"/>
      <c r="AH23" s="418"/>
      <c r="AI23" s="419"/>
      <c r="AJ23" s="433"/>
      <c r="AK23" s="434"/>
      <c r="AL23" s="435"/>
      <c r="AM23" s="422"/>
      <c r="AN23" s="418"/>
      <c r="AO23" s="428"/>
    </row>
    <row r="24" spans="1:41" ht="28.5" hidden="1">
      <c r="A24" s="387"/>
      <c r="B24" s="441"/>
      <c r="C24" s="184"/>
      <c r="D24" s="184"/>
      <c r="E24" s="184" t="s">
        <v>99</v>
      </c>
      <c r="F24" s="184"/>
      <c r="G24" s="184"/>
      <c r="H24" s="184" t="s">
        <v>99</v>
      </c>
      <c r="I24" s="184"/>
      <c r="J24" s="184"/>
      <c r="K24" s="184" t="s">
        <v>99</v>
      </c>
      <c r="L24" s="184"/>
      <c r="M24" s="184"/>
      <c r="N24" s="184" t="s">
        <v>99</v>
      </c>
      <c r="O24" s="184"/>
      <c r="P24" s="184"/>
      <c r="Q24" s="184" t="s">
        <v>99</v>
      </c>
      <c r="R24" s="184"/>
      <c r="S24" s="184"/>
      <c r="T24" s="184" t="s">
        <v>99</v>
      </c>
      <c r="U24" s="184"/>
      <c r="V24" s="184"/>
      <c r="W24" s="192" t="s">
        <v>99</v>
      </c>
      <c r="X24" s="334"/>
      <c r="Y24" s="335"/>
      <c r="Z24" s="336" t="s">
        <v>99</v>
      </c>
      <c r="AA24" s="197"/>
      <c r="AB24" s="184"/>
      <c r="AC24" s="184" t="s">
        <v>99</v>
      </c>
      <c r="AD24" s="184" t="s">
        <v>153</v>
      </c>
      <c r="AE24" s="184" t="s">
        <v>170</v>
      </c>
      <c r="AF24" s="184" t="s">
        <v>99</v>
      </c>
      <c r="AG24" s="184" t="s">
        <v>153</v>
      </c>
      <c r="AH24" s="184" t="s">
        <v>170</v>
      </c>
      <c r="AI24" s="184" t="s">
        <v>99</v>
      </c>
      <c r="AJ24" s="334" t="s">
        <v>153</v>
      </c>
      <c r="AK24" s="335" t="s">
        <v>170</v>
      </c>
      <c r="AL24" s="336" t="s">
        <v>99</v>
      </c>
      <c r="AM24" s="193" t="s">
        <v>153</v>
      </c>
      <c r="AN24" s="184" t="s">
        <v>170</v>
      </c>
      <c r="AO24" s="194" t="s">
        <v>99</v>
      </c>
    </row>
    <row r="25" spans="1:41" ht="66" customHeight="1" hidden="1">
      <c r="A25" s="38" t="s">
        <v>15</v>
      </c>
      <c r="B25" s="80" t="s">
        <v>204</v>
      </c>
      <c r="C25" s="84"/>
      <c r="D25" s="86"/>
      <c r="E25" s="229">
        <f>E10/D10</f>
        <v>0.4437364068075108</v>
      </c>
      <c r="F25" s="85"/>
      <c r="G25" s="85"/>
      <c r="H25" s="229">
        <f>H10/G10</f>
        <v>0.4662591859401788</v>
      </c>
      <c r="I25" s="85"/>
      <c r="J25" s="85"/>
      <c r="K25" s="229">
        <f>K10/J10</f>
        <v>0.5017553946177044</v>
      </c>
      <c r="L25" s="85"/>
      <c r="M25" s="85"/>
      <c r="N25" s="229"/>
      <c r="O25" s="85"/>
      <c r="P25" s="85"/>
      <c r="Q25" s="229">
        <f>Q10/P10</f>
        <v>0.49875927601809955</v>
      </c>
      <c r="R25" s="85"/>
      <c r="S25" s="85"/>
      <c r="T25" s="229"/>
      <c r="U25" s="85"/>
      <c r="V25" s="85"/>
      <c r="W25" s="229"/>
      <c r="X25" s="337"/>
      <c r="Y25" s="338"/>
      <c r="Z25" s="352">
        <f>Z10/Y10</f>
        <v>0.4651993595195979</v>
      </c>
      <c r="AA25" s="86"/>
      <c r="AB25" s="86"/>
      <c r="AC25" s="229">
        <f>AC10/AB10</f>
        <v>0.9788098745170734</v>
      </c>
      <c r="AD25" s="85"/>
      <c r="AE25" s="87"/>
      <c r="AF25" s="229"/>
      <c r="AG25" s="87"/>
      <c r="AH25" s="87"/>
      <c r="AI25" s="229"/>
      <c r="AJ25" s="337"/>
      <c r="AK25" s="338"/>
      <c r="AL25" s="357">
        <f>AL10/AK10</f>
        <v>0.9788098745170734</v>
      </c>
      <c r="AM25" s="84"/>
      <c r="AN25" s="85"/>
      <c r="AO25" s="229">
        <f>AO10/AN10</f>
        <v>0.4712876824280958</v>
      </c>
    </row>
    <row r="26" spans="1:41" ht="61.5" customHeight="1" hidden="1">
      <c r="A26" s="38" t="s">
        <v>22</v>
      </c>
      <c r="B26" s="80" t="s">
        <v>25</v>
      </c>
      <c r="C26" s="84"/>
      <c r="D26" s="86"/>
      <c r="E26" s="229" t="e">
        <f>#N/A</f>
        <v>#N/A</v>
      </c>
      <c r="F26" s="85"/>
      <c r="G26" s="85"/>
      <c r="H26" s="229" t="e">
        <f>#N/A</f>
        <v>#N/A</v>
      </c>
      <c r="I26" s="85"/>
      <c r="J26" s="85"/>
      <c r="K26" s="229" t="e">
        <f>#N/A</f>
        <v>#N/A</v>
      </c>
      <c r="L26" s="85"/>
      <c r="M26" s="85"/>
      <c r="N26" s="229"/>
      <c r="O26" s="85"/>
      <c r="P26" s="85"/>
      <c r="Q26" s="229"/>
      <c r="R26" s="85"/>
      <c r="S26" s="85"/>
      <c r="T26" s="229"/>
      <c r="U26" s="85"/>
      <c r="V26" s="85"/>
      <c r="W26" s="229"/>
      <c r="X26" s="337"/>
      <c r="Y26" s="338"/>
      <c r="Z26" s="352" t="e">
        <f>#N/A</f>
        <v>#N/A</v>
      </c>
      <c r="AA26" s="86"/>
      <c r="AB26" s="86"/>
      <c r="AC26" s="229">
        <f>AC11/AB11</f>
        <v>0.9991725702462914</v>
      </c>
      <c r="AD26" s="85"/>
      <c r="AE26" s="87"/>
      <c r="AF26" s="229"/>
      <c r="AG26" s="87"/>
      <c r="AH26" s="87"/>
      <c r="AI26" s="229"/>
      <c r="AJ26" s="337"/>
      <c r="AK26" s="338"/>
      <c r="AL26" s="357">
        <f>AL11/AK11</f>
        <v>0.9991725702462914</v>
      </c>
      <c r="AM26" s="84"/>
      <c r="AN26" s="85"/>
      <c r="AO26" s="229" t="e">
        <f>#N/A</f>
        <v>#N/A</v>
      </c>
    </row>
    <row r="27" spans="1:41" ht="31.5" hidden="1">
      <c r="A27" s="38" t="s">
        <v>23</v>
      </c>
      <c r="B27" s="80" t="s">
        <v>29</v>
      </c>
      <c r="C27" s="84"/>
      <c r="D27" s="86"/>
      <c r="E27" s="229" t="e">
        <f>#N/A</f>
        <v>#N/A</v>
      </c>
      <c r="F27" s="85"/>
      <c r="G27" s="85"/>
      <c r="H27" s="229" t="e">
        <f>#N/A</f>
        <v>#N/A</v>
      </c>
      <c r="I27" s="85"/>
      <c r="J27" s="85"/>
      <c r="K27" s="229" t="e">
        <f>#N/A</f>
        <v>#N/A</v>
      </c>
      <c r="L27" s="85"/>
      <c r="M27" s="85"/>
      <c r="N27" s="229"/>
      <c r="O27" s="85"/>
      <c r="P27" s="85"/>
      <c r="Q27" s="229"/>
      <c r="R27" s="85"/>
      <c r="S27" s="85"/>
      <c r="T27" s="229"/>
      <c r="U27" s="85"/>
      <c r="V27" s="85"/>
      <c r="W27" s="229"/>
      <c r="X27" s="337"/>
      <c r="Y27" s="338"/>
      <c r="Z27" s="352" t="e">
        <f>#N/A</f>
        <v>#N/A</v>
      </c>
      <c r="AA27" s="86"/>
      <c r="AB27" s="86"/>
      <c r="AC27" s="229">
        <f>AC12/AB12</f>
        <v>0.22875356573678501</v>
      </c>
      <c r="AD27" s="85"/>
      <c r="AE27" s="85"/>
      <c r="AF27" s="229"/>
      <c r="AG27" s="85"/>
      <c r="AH27" s="85"/>
      <c r="AI27" s="229"/>
      <c r="AJ27" s="337"/>
      <c r="AK27" s="338"/>
      <c r="AL27" s="357">
        <f>AL12/AK12</f>
        <v>0.22875356573678501</v>
      </c>
      <c r="AM27" s="84"/>
      <c r="AN27" s="85"/>
      <c r="AO27" s="229" t="e">
        <f>#N/A</f>
        <v>#N/A</v>
      </c>
    </row>
    <row r="28" spans="1:41" ht="39" customHeight="1" hidden="1" thickBot="1">
      <c r="A28" s="213" t="s">
        <v>52</v>
      </c>
      <c r="B28" s="251" t="s">
        <v>27</v>
      </c>
      <c r="C28" s="88"/>
      <c r="D28" s="189"/>
      <c r="E28" s="229" t="e">
        <f>#N/A</f>
        <v>#N/A</v>
      </c>
      <c r="F28" s="89"/>
      <c r="G28" s="89"/>
      <c r="H28" s="229" t="e">
        <f>#N/A</f>
        <v>#N/A</v>
      </c>
      <c r="I28" s="89"/>
      <c r="J28" s="89"/>
      <c r="K28" s="229" t="e">
        <f>#N/A</f>
        <v>#N/A</v>
      </c>
      <c r="L28" s="89"/>
      <c r="M28" s="89"/>
      <c r="N28" s="229"/>
      <c r="O28" s="89"/>
      <c r="P28" s="89"/>
      <c r="Q28" s="229"/>
      <c r="R28" s="89"/>
      <c r="S28" s="89"/>
      <c r="T28" s="229"/>
      <c r="U28" s="89"/>
      <c r="V28" s="89"/>
      <c r="W28" s="229"/>
      <c r="X28" s="340"/>
      <c r="Y28" s="341"/>
      <c r="Z28" s="352" t="e">
        <f>#N/A</f>
        <v>#N/A</v>
      </c>
      <c r="AA28" s="189"/>
      <c r="AB28" s="189"/>
      <c r="AC28" s="229"/>
      <c r="AD28" s="189"/>
      <c r="AE28" s="189"/>
      <c r="AF28" s="229"/>
      <c r="AG28" s="189"/>
      <c r="AH28" s="189"/>
      <c r="AI28" s="229"/>
      <c r="AJ28" s="340"/>
      <c r="AK28" s="341"/>
      <c r="AL28" s="357"/>
      <c r="AM28" s="88"/>
      <c r="AN28" s="89"/>
      <c r="AO28" s="229" t="e">
        <f>#N/A</f>
        <v>#N/A</v>
      </c>
    </row>
    <row r="29" spans="1:41" ht="32.25" customHeight="1" hidden="1" thickBot="1">
      <c r="A29" s="218" t="s">
        <v>54</v>
      </c>
      <c r="B29" s="252" t="s">
        <v>30</v>
      </c>
      <c r="C29" s="222"/>
      <c r="D29" s="224"/>
      <c r="E29" s="230" t="e">
        <f>#N/A</f>
        <v>#N/A</v>
      </c>
      <c r="F29" s="224"/>
      <c r="G29" s="224"/>
      <c r="H29" s="230" t="e">
        <f>#N/A</f>
        <v>#N/A</v>
      </c>
      <c r="I29" s="224"/>
      <c r="J29" s="224"/>
      <c r="K29" s="230" t="e">
        <f>#N/A</f>
        <v>#N/A</v>
      </c>
      <c r="L29" s="224"/>
      <c r="M29" s="224"/>
      <c r="N29" s="230"/>
      <c r="O29" s="224"/>
      <c r="P29" s="224"/>
      <c r="Q29" s="230">
        <f>Q14/P14</f>
        <v>0.49875927601809955</v>
      </c>
      <c r="R29" s="224"/>
      <c r="S29" s="224"/>
      <c r="T29" s="230"/>
      <c r="U29" s="224"/>
      <c r="V29" s="224"/>
      <c r="W29" s="230"/>
      <c r="X29" s="343"/>
      <c r="Y29" s="344"/>
      <c r="Z29" s="353" t="e">
        <f>#N/A</f>
        <v>#N/A</v>
      </c>
      <c r="AA29" s="224"/>
      <c r="AB29" s="224"/>
      <c r="AC29" s="230">
        <f>AC14/AB14</f>
        <v>0.8045457058611781</v>
      </c>
      <c r="AD29" s="224"/>
      <c r="AE29" s="224"/>
      <c r="AF29" s="230"/>
      <c r="AG29" s="224"/>
      <c r="AH29" s="224"/>
      <c r="AI29" s="230"/>
      <c r="AJ29" s="343"/>
      <c r="AK29" s="344"/>
      <c r="AL29" s="358">
        <f>AL14/AK14</f>
        <v>0.8045457058611781</v>
      </c>
      <c r="AM29" s="222"/>
      <c r="AN29" s="224"/>
      <c r="AO29" s="230" t="e">
        <f>#N/A</f>
        <v>#N/A</v>
      </c>
    </row>
    <row r="30" spans="1:41" ht="37.5" customHeight="1" hidden="1">
      <c r="A30" s="207" t="s">
        <v>48</v>
      </c>
      <c r="B30" s="81" t="s">
        <v>32</v>
      </c>
      <c r="C30" s="91"/>
      <c r="D30" s="94"/>
      <c r="E30" s="253" t="e">
        <f>#N/A</f>
        <v>#N/A</v>
      </c>
      <c r="F30" s="92"/>
      <c r="G30" s="92"/>
      <c r="H30" s="253" t="e">
        <f>#N/A</f>
        <v>#N/A</v>
      </c>
      <c r="I30" s="92"/>
      <c r="J30" s="92"/>
      <c r="K30" s="253" t="e">
        <f>#N/A</f>
        <v>#N/A</v>
      </c>
      <c r="L30" s="92"/>
      <c r="M30" s="93"/>
      <c r="N30" s="253"/>
      <c r="O30" s="93"/>
      <c r="P30" s="93"/>
      <c r="Q30" s="253"/>
      <c r="R30" s="93"/>
      <c r="S30" s="93"/>
      <c r="T30" s="253"/>
      <c r="U30" s="93"/>
      <c r="V30" s="93"/>
      <c r="W30" s="253"/>
      <c r="X30" s="345"/>
      <c r="Y30" s="346"/>
      <c r="Z30" s="354" t="e">
        <f>#N/A</f>
        <v>#N/A</v>
      </c>
      <c r="AA30" s="94"/>
      <c r="AB30" s="94"/>
      <c r="AC30" s="253">
        <f>AC15/AB15</f>
        <v>0.9866297090080856</v>
      </c>
      <c r="AD30" s="92"/>
      <c r="AE30" s="92"/>
      <c r="AF30" s="253"/>
      <c r="AG30" s="92"/>
      <c r="AH30" s="92"/>
      <c r="AI30" s="253"/>
      <c r="AJ30" s="356"/>
      <c r="AK30" s="346"/>
      <c r="AL30" s="359">
        <f>AL15/AK15</f>
        <v>0.9866297090080856</v>
      </c>
      <c r="AM30" s="195"/>
      <c r="AN30" s="93"/>
      <c r="AO30" s="253" t="e">
        <f>#N/A</f>
        <v>#N/A</v>
      </c>
    </row>
    <row r="31" spans="1:41" ht="35.25" customHeight="1" hidden="1" thickBot="1">
      <c r="A31" s="213" t="s">
        <v>24</v>
      </c>
      <c r="B31" s="82" t="s">
        <v>50</v>
      </c>
      <c r="C31" s="88"/>
      <c r="D31" s="189"/>
      <c r="E31" s="229" t="e">
        <f>#N/A</f>
        <v>#N/A</v>
      </c>
      <c r="F31" s="89"/>
      <c r="G31" s="89"/>
      <c r="H31" s="229" t="e">
        <f>#N/A</f>
        <v>#N/A</v>
      </c>
      <c r="I31" s="89"/>
      <c r="J31" s="89"/>
      <c r="K31" s="229" t="e">
        <f>#N/A</f>
        <v>#N/A</v>
      </c>
      <c r="L31" s="95"/>
      <c r="M31" s="190"/>
      <c r="N31" s="229">
        <f>N16/M16</f>
        <v>0.25499609947797525</v>
      </c>
      <c r="O31" s="127"/>
      <c r="P31" s="127"/>
      <c r="Q31" s="229">
        <f>Q16/P16</f>
        <v>0.4901794597981251</v>
      </c>
      <c r="R31" s="127">
        <v>82529439</v>
      </c>
      <c r="S31" s="127">
        <v>202464397</v>
      </c>
      <c r="T31" s="229">
        <f>T16/S16</f>
        <v>0</v>
      </c>
      <c r="U31" s="127">
        <v>47170372</v>
      </c>
      <c r="V31" s="127">
        <v>47170372</v>
      </c>
      <c r="W31" s="229">
        <f>W16/V16</f>
        <v>1</v>
      </c>
      <c r="X31" s="347"/>
      <c r="Y31" s="348"/>
      <c r="Z31" s="352" t="e">
        <f>#N/A</f>
        <v>#N/A</v>
      </c>
      <c r="AA31" s="96"/>
      <c r="AB31" s="96"/>
      <c r="AC31" s="229">
        <f>AC16/AB16</f>
        <v>0.6978854287122208</v>
      </c>
      <c r="AD31" s="89"/>
      <c r="AE31" s="90"/>
      <c r="AF31" s="229">
        <f>AF16/AE16</f>
        <v>0.125</v>
      </c>
      <c r="AG31" s="90"/>
      <c r="AH31" s="90"/>
      <c r="AI31" s="229">
        <f>AI16/AH16</f>
        <v>0</v>
      </c>
      <c r="AJ31" s="347"/>
      <c r="AK31" s="348"/>
      <c r="AL31" s="357">
        <f>AL16/AK16</f>
        <v>0.2954457971160345</v>
      </c>
      <c r="AM31" s="196"/>
      <c r="AN31" s="127"/>
      <c r="AO31" s="229" t="e">
        <f>#N/A</f>
        <v>#N/A</v>
      </c>
    </row>
    <row r="32" spans="1:41" ht="32.25" hidden="1" thickBot="1">
      <c r="A32" s="218" t="s">
        <v>26</v>
      </c>
      <c r="B32" s="252" t="s">
        <v>36</v>
      </c>
      <c r="C32" s="222"/>
      <c r="D32" s="224"/>
      <c r="E32" s="230" t="e">
        <f>#N/A</f>
        <v>#N/A</v>
      </c>
      <c r="F32" s="224"/>
      <c r="G32" s="224"/>
      <c r="H32" s="230" t="e">
        <f>#N/A</f>
        <v>#N/A</v>
      </c>
      <c r="I32" s="224"/>
      <c r="J32" s="224"/>
      <c r="K32" s="230" t="e">
        <f>#N/A</f>
        <v>#N/A</v>
      </c>
      <c r="L32" s="224"/>
      <c r="M32" s="224"/>
      <c r="N32" s="230">
        <f>N17/M17</f>
        <v>0.25499609947797525</v>
      </c>
      <c r="O32" s="224"/>
      <c r="P32" s="224"/>
      <c r="Q32" s="230">
        <f>Q17/P17</f>
        <v>0.4902175461168919</v>
      </c>
      <c r="R32" s="224">
        <f>SUM(R29:R31)</f>
        <v>82529439</v>
      </c>
      <c r="S32" s="224">
        <f>SUM(S29:S31)</f>
        <v>202464397</v>
      </c>
      <c r="T32" s="230">
        <f>T17/S17</f>
        <v>0</v>
      </c>
      <c r="U32" s="224">
        <f>SUM(U29:U31)</f>
        <v>47170372</v>
      </c>
      <c r="V32" s="224">
        <f>SUM(V29:V31)</f>
        <v>47170372</v>
      </c>
      <c r="W32" s="230">
        <f>W17/V17</f>
        <v>1</v>
      </c>
      <c r="X32" s="343"/>
      <c r="Y32" s="344"/>
      <c r="Z32" s="353" t="e">
        <f>#N/A</f>
        <v>#N/A</v>
      </c>
      <c r="AA32" s="224"/>
      <c r="AB32" s="224"/>
      <c r="AC32" s="230">
        <f>AC17/AB17</f>
        <v>0.6991369467877578</v>
      </c>
      <c r="AD32" s="224"/>
      <c r="AE32" s="224"/>
      <c r="AF32" s="230">
        <f>AF17/AE17</f>
        <v>0.125</v>
      </c>
      <c r="AG32" s="224"/>
      <c r="AH32" s="224"/>
      <c r="AI32" s="230">
        <f>AI17/AH17</f>
        <v>0</v>
      </c>
      <c r="AJ32" s="343"/>
      <c r="AK32" s="344"/>
      <c r="AL32" s="358">
        <f>AL17/AK17</f>
        <v>0.2977016273763094</v>
      </c>
      <c r="AM32" s="222"/>
      <c r="AN32" s="224"/>
      <c r="AO32" s="230" t="e">
        <f>#N/A</f>
        <v>#N/A</v>
      </c>
    </row>
    <row r="33" ht="15.75" hidden="1"/>
    <row r="34" ht="15.75" hidden="1">
      <c r="B34" s="382" t="s">
        <v>401</v>
      </c>
    </row>
    <row r="35" spans="2:38" s="378" customFormat="1" ht="24" customHeight="1" hidden="1">
      <c r="B35" s="378" t="s">
        <v>102</v>
      </c>
      <c r="K35" s="205">
        <f>(50-46.69)/100*J17</f>
        <v>38519673.44980003</v>
      </c>
      <c r="X35" s="379"/>
      <c r="Y35" s="379"/>
      <c r="Z35" s="379"/>
      <c r="AJ35" s="379"/>
      <c r="AK35" s="379"/>
      <c r="AL35" s="379"/>
    </row>
    <row r="36" spans="2:38" s="378" customFormat="1" ht="24" customHeight="1" hidden="1">
      <c r="B36" s="378" t="s">
        <v>399</v>
      </c>
      <c r="E36" s="205">
        <f>(50-46)/100*D16</f>
        <v>12048443.64</v>
      </c>
      <c r="H36" s="205">
        <f>(50-45)/100*G16</f>
        <v>2050220.7000000002</v>
      </c>
      <c r="K36" s="205">
        <f>(50-44)/100*J16</f>
        <v>36882707.76</v>
      </c>
      <c r="X36" s="379"/>
      <c r="Y36" s="379"/>
      <c r="Z36" s="379"/>
      <c r="AJ36" s="379"/>
      <c r="AK36" s="379"/>
      <c r="AL36" s="379"/>
    </row>
    <row r="37" ht="15.75" hidden="1">
      <c r="B37" s="257">
        <v>-131625326</v>
      </c>
    </row>
    <row r="38" ht="15.75" hidden="1">
      <c r="B38" s="257">
        <v>-394051437</v>
      </c>
    </row>
    <row r="39" ht="15.75" hidden="1">
      <c r="B39" s="257">
        <v>-172165386</v>
      </c>
    </row>
    <row r="40" ht="15.75" hidden="1">
      <c r="B40" s="257">
        <v>-14959283</v>
      </c>
    </row>
    <row r="41" ht="15.75" hidden="1">
      <c r="B41" s="257">
        <v>-29219616</v>
      </c>
    </row>
    <row r="42" ht="15.75" hidden="1">
      <c r="B42" s="257">
        <v>-84545</v>
      </c>
    </row>
    <row r="43" ht="15.75" hidden="1">
      <c r="B43" s="257">
        <v>-12039600</v>
      </c>
    </row>
    <row r="44" ht="15.75" hidden="1">
      <c r="B44" s="257">
        <v>-63216332</v>
      </c>
    </row>
    <row r="45" ht="15.75" hidden="1">
      <c r="B45" s="257">
        <v>-2402162</v>
      </c>
    </row>
    <row r="46" ht="15.75" hidden="1">
      <c r="B46" s="257">
        <v>-13970000</v>
      </c>
    </row>
    <row r="47" ht="15.75" hidden="1">
      <c r="B47" s="257">
        <v>-30312344</v>
      </c>
    </row>
    <row r="48" ht="15.75" hidden="1">
      <c r="B48" s="257">
        <v>-3874897</v>
      </c>
    </row>
    <row r="49" ht="15.75" hidden="1">
      <c r="B49" s="257">
        <v>-1149697</v>
      </c>
    </row>
    <row r="50" ht="15.75" hidden="1">
      <c r="B50" s="257">
        <v>-17616970</v>
      </c>
    </row>
    <row r="51" ht="15.75" hidden="1">
      <c r="B51" s="257">
        <v>1149697</v>
      </c>
    </row>
    <row r="52" ht="15.75" hidden="1">
      <c r="B52" s="257">
        <v>-7225665</v>
      </c>
    </row>
    <row r="53" ht="15.75" hidden="1">
      <c r="B53" s="257">
        <v>-6741084</v>
      </c>
    </row>
    <row r="54" ht="15.75" hidden="1">
      <c r="B54" s="257">
        <v>-19898</v>
      </c>
    </row>
    <row r="55" ht="15.75" hidden="1">
      <c r="B55" s="257">
        <v>-1016100</v>
      </c>
    </row>
    <row r="56" ht="15.75" hidden="1">
      <c r="B56" s="257">
        <v>-34343762</v>
      </c>
    </row>
    <row r="57" ht="15.75" hidden="1">
      <c r="B57" s="257">
        <v>-99060</v>
      </c>
    </row>
    <row r="58" ht="15.75" hidden="1">
      <c r="B58" s="257">
        <v>-381000</v>
      </c>
    </row>
    <row r="59" ht="15.75" hidden="1">
      <c r="B59" s="257">
        <v>-12028200</v>
      </c>
    </row>
    <row r="60" ht="15.75" hidden="1">
      <c r="B60" s="257">
        <v>-30215411</v>
      </c>
    </row>
    <row r="61" ht="15.75" hidden="1">
      <c r="B61" s="257">
        <v>-6741084</v>
      </c>
    </row>
    <row r="62" ht="15.75" hidden="1">
      <c r="B62" s="257">
        <v>5821748</v>
      </c>
    </row>
    <row r="63" ht="15.75" hidden="1">
      <c r="B63" s="257">
        <f>SUM(B37:B62)</f>
        <v>-978527414</v>
      </c>
    </row>
    <row r="64" ht="15.75" hidden="1"/>
    <row r="65" ht="15.75" hidden="1"/>
    <row r="66" ht="15.75" hidden="1"/>
    <row r="67" spans="39:41" ht="15.75" hidden="1">
      <c r="AM67" s="279">
        <v>6298053196</v>
      </c>
      <c r="AN67" s="279">
        <v>7085135996</v>
      </c>
      <c r="AO67" s="279">
        <v>2628454845</v>
      </c>
    </row>
    <row r="68" spans="39:41" ht="15.75" hidden="1">
      <c r="AM68" s="279">
        <v>661008514</v>
      </c>
      <c r="AN68" s="279">
        <v>666983728</v>
      </c>
      <c r="AO68" s="279">
        <v>341849212</v>
      </c>
    </row>
    <row r="69" spans="39:41" ht="15.75" hidden="1">
      <c r="AM69" s="279">
        <f>SUM(AM67:AM68)</f>
        <v>6959061710</v>
      </c>
      <c r="AN69" s="279">
        <f>SUM(AN67:AN68)</f>
        <v>7752119724</v>
      </c>
      <c r="AO69" s="279">
        <f>SUM(AO67:AO68)</f>
        <v>2970304057</v>
      </c>
    </row>
    <row r="70" spans="39:41" ht="15.75" hidden="1">
      <c r="AM70" s="279">
        <f>AM69-AM17</f>
        <v>613838142</v>
      </c>
      <c r="AN70" s="279">
        <f>AN69-AN17</f>
        <v>619813356</v>
      </c>
      <c r="AO70" s="279">
        <f>AO69-AO17</f>
        <v>294678840</v>
      </c>
    </row>
    <row r="71" ht="15.75" hidden="1"/>
    <row r="72" ht="15.75" hidden="1"/>
  </sheetData>
  <sheetProtection/>
  <mergeCells count="42">
    <mergeCell ref="U23:W23"/>
    <mergeCell ref="AA2:AR2"/>
    <mergeCell ref="AA22:AC23"/>
    <mergeCell ref="AD22:AF23"/>
    <mergeCell ref="AG22:AI23"/>
    <mergeCell ref="AJ21:AL23"/>
    <mergeCell ref="AM21:AO23"/>
    <mergeCell ref="U22:W22"/>
    <mergeCell ref="AP7:AP9"/>
    <mergeCell ref="AQ7:AQ9"/>
    <mergeCell ref="C22:E23"/>
    <mergeCell ref="F22:H23"/>
    <mergeCell ref="I22:K23"/>
    <mergeCell ref="L22:N23"/>
    <mergeCell ref="O22:Q23"/>
    <mergeCell ref="R22:T23"/>
    <mergeCell ref="AR7:AR9"/>
    <mergeCell ref="A21:A24"/>
    <mergeCell ref="B21:B24"/>
    <mergeCell ref="C21:W21"/>
    <mergeCell ref="X21:Z23"/>
    <mergeCell ref="AA21:AI21"/>
    <mergeCell ref="U7:W7"/>
    <mergeCell ref="A6:A9"/>
    <mergeCell ref="B6:B9"/>
    <mergeCell ref="L7:N8"/>
    <mergeCell ref="C2:Z2"/>
    <mergeCell ref="AP6:AR6"/>
    <mergeCell ref="I7:K8"/>
    <mergeCell ref="O7:Q8"/>
    <mergeCell ref="R7:T8"/>
    <mergeCell ref="AD7:AF8"/>
    <mergeCell ref="AG7:AI8"/>
    <mergeCell ref="AA6:AI6"/>
    <mergeCell ref="C6:W6"/>
    <mergeCell ref="U8:W8"/>
    <mergeCell ref="AJ6:AL8"/>
    <mergeCell ref="AM6:AO8"/>
    <mergeCell ref="X6:Z8"/>
    <mergeCell ref="AA7:AC8"/>
    <mergeCell ref="C7:E8"/>
    <mergeCell ref="F7:H8"/>
  </mergeCells>
  <printOptions/>
  <pageMargins left="0" right="0" top="0.5905511811023623" bottom="0.5905511811023623" header="0.31496062992125984" footer="0.31496062992125984"/>
  <pageSetup fitToHeight="1" fitToWidth="1" horizontalDpi="600" verticalDpi="600" orientation="landscape" paperSize="9" scale="25" r:id="rId1"/>
  <colBreaks count="1" manualBreakCount="1">
    <brk id="26" max="1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B1" sqref="B1:E1"/>
    </sheetView>
  </sheetViews>
  <sheetFormatPr defaultColWidth="9.140625" defaultRowHeight="12.75"/>
  <cols>
    <col min="1" max="1" width="3.8515625" style="83" bestFit="1" customWidth="1"/>
    <col min="2" max="2" width="34.00390625" style="118" bestFit="1" customWidth="1"/>
    <col min="3" max="3" width="19.57421875" style="118" bestFit="1" customWidth="1"/>
    <col min="4" max="4" width="37.00390625" style="118" customWidth="1"/>
    <col min="5" max="5" width="20.57421875" style="118" customWidth="1"/>
    <col min="6" max="6" width="0" style="118" hidden="1" customWidth="1"/>
    <col min="7" max="7" width="18.57421875" style="118" hidden="1" customWidth="1"/>
    <col min="8" max="8" width="18.00390625" style="118" hidden="1" customWidth="1"/>
    <col min="9" max="9" width="15.140625" style="118" hidden="1" customWidth="1"/>
    <col min="10" max="35" width="9.140625" style="118" customWidth="1"/>
    <col min="36" max="38" width="0" style="118" hidden="1" customWidth="1"/>
    <col min="39" max="16384" width="9.140625" style="118" customWidth="1"/>
  </cols>
  <sheetData>
    <row r="1" spans="1:5" ht="15.75">
      <c r="A1" s="156"/>
      <c r="B1" s="462" t="s">
        <v>409</v>
      </c>
      <c r="C1" s="462"/>
      <c r="D1" s="462"/>
      <c r="E1" s="463"/>
    </row>
    <row r="2" spans="1:5" ht="15.75">
      <c r="A2" s="156"/>
      <c r="B2" s="83"/>
      <c r="C2" s="83"/>
      <c r="D2" s="83"/>
      <c r="E2" s="83"/>
    </row>
    <row r="3" spans="1:5" ht="15.75">
      <c r="A3" s="156"/>
      <c r="B3" s="83"/>
      <c r="C3" s="83"/>
      <c r="D3" s="83"/>
      <c r="E3" s="83"/>
    </row>
    <row r="4" spans="1:5" ht="42.75" customHeight="1">
      <c r="A4" s="156"/>
      <c r="B4" s="464" t="s">
        <v>282</v>
      </c>
      <c r="C4" s="464"/>
      <c r="D4" s="464"/>
      <c r="E4" s="464"/>
    </row>
    <row r="5" spans="1:5" ht="15.75">
      <c r="A5" s="156"/>
      <c r="B5" s="83"/>
      <c r="C5" s="83"/>
      <c r="D5" s="83"/>
      <c r="E5" s="2" t="s">
        <v>236</v>
      </c>
    </row>
    <row r="6" spans="1:5" ht="16.5" thickBot="1">
      <c r="A6" s="157"/>
      <c r="B6" s="158" t="s">
        <v>0</v>
      </c>
      <c r="C6" s="159" t="s">
        <v>1</v>
      </c>
      <c r="D6" s="159" t="s">
        <v>2</v>
      </c>
      <c r="E6" s="159" t="s">
        <v>3</v>
      </c>
    </row>
    <row r="7" spans="1:5" ht="23.25" customHeight="1">
      <c r="A7" s="160" t="s">
        <v>10</v>
      </c>
      <c r="B7" s="465" t="s">
        <v>217</v>
      </c>
      <c r="C7" s="466"/>
      <c r="D7" s="466"/>
      <c r="E7" s="467"/>
    </row>
    <row r="8" spans="1:5" ht="15.75">
      <c r="A8" s="160" t="s">
        <v>15</v>
      </c>
      <c r="B8" s="455" t="s">
        <v>12</v>
      </c>
      <c r="C8" s="456"/>
      <c r="D8" s="456" t="s">
        <v>37</v>
      </c>
      <c r="E8" s="457"/>
    </row>
    <row r="9" spans="1:5" ht="25.5" customHeight="1">
      <c r="A9" s="160" t="s">
        <v>22</v>
      </c>
      <c r="B9" s="66" t="s">
        <v>51</v>
      </c>
      <c r="C9" s="64" t="s">
        <v>202</v>
      </c>
      <c r="D9" s="64" t="s">
        <v>51</v>
      </c>
      <c r="E9" s="65" t="s">
        <v>202</v>
      </c>
    </row>
    <row r="10" spans="1:5" ht="24" customHeight="1">
      <c r="A10" s="160" t="s">
        <v>23</v>
      </c>
      <c r="B10" s="71" t="s">
        <v>16</v>
      </c>
      <c r="C10" s="6">
        <f>1!J17</f>
        <v>525787000</v>
      </c>
      <c r="D10" s="72" t="s">
        <v>42</v>
      </c>
      <c r="E10" s="26">
        <f>2!D17</f>
        <v>1121402626</v>
      </c>
    </row>
    <row r="11" spans="1:5" ht="26.25" customHeight="1">
      <c r="A11" s="160" t="s">
        <v>52</v>
      </c>
      <c r="B11" s="71" t="s">
        <v>17</v>
      </c>
      <c r="C11" s="6">
        <f>1!G17</f>
        <v>580041000</v>
      </c>
      <c r="D11" s="72" t="s">
        <v>53</v>
      </c>
      <c r="E11" s="26">
        <f>2!G17</f>
        <v>211040627</v>
      </c>
    </row>
    <row r="12" spans="1:5" ht="21.75" customHeight="1">
      <c r="A12" s="160" t="s">
        <v>54</v>
      </c>
      <c r="B12" s="71" t="s">
        <v>18</v>
      </c>
      <c r="C12" s="6">
        <f>1!D17</f>
        <v>1345333232</v>
      </c>
      <c r="D12" s="72" t="s">
        <v>43</v>
      </c>
      <c r="E12" s="26">
        <f>2!J17</f>
        <v>1163736358</v>
      </c>
    </row>
    <row r="13" spans="1:5" ht="31.5" customHeight="1">
      <c r="A13" s="160" t="s">
        <v>48</v>
      </c>
      <c r="B13" s="71" t="s">
        <v>19</v>
      </c>
      <c r="C13" s="6">
        <f>1!M17</f>
        <v>720901183</v>
      </c>
      <c r="D13" s="458" t="s">
        <v>44</v>
      </c>
      <c r="E13" s="460">
        <f>2!M17</f>
        <v>136392000</v>
      </c>
    </row>
    <row r="14" spans="1:5" ht="36" customHeight="1">
      <c r="A14" s="160" t="s">
        <v>24</v>
      </c>
      <c r="B14" s="73"/>
      <c r="C14" s="74"/>
      <c r="D14" s="459"/>
      <c r="E14" s="461"/>
    </row>
    <row r="15" spans="1:5" ht="31.5">
      <c r="A15" s="160" t="s">
        <v>26</v>
      </c>
      <c r="B15" s="71"/>
      <c r="C15" s="6"/>
      <c r="D15" s="72" t="s">
        <v>109</v>
      </c>
      <c r="E15" s="26">
        <f>2!P17</f>
        <v>995706304</v>
      </c>
    </row>
    <row r="16" spans="1:5" ht="21.75" customHeight="1">
      <c r="A16" s="160" t="s">
        <v>28</v>
      </c>
      <c r="B16" s="71"/>
      <c r="C16" s="6"/>
      <c r="D16" s="72" t="s">
        <v>55</v>
      </c>
      <c r="E16" s="26">
        <f>2!S17</f>
        <v>186184378</v>
      </c>
    </row>
    <row r="17" spans="1:5" ht="30" customHeight="1">
      <c r="A17" s="160" t="s">
        <v>31</v>
      </c>
      <c r="B17" s="71"/>
      <c r="C17" s="6"/>
      <c r="D17" s="72" t="s">
        <v>356</v>
      </c>
      <c r="E17" s="26">
        <f>2!V17</f>
        <v>47170372</v>
      </c>
    </row>
    <row r="18" spans="1:9" ht="22.5" customHeight="1">
      <c r="A18" s="160" t="s">
        <v>49</v>
      </c>
      <c r="B18" s="73" t="s">
        <v>159</v>
      </c>
      <c r="C18" s="74">
        <f>SUM(C10:C17)</f>
        <v>3172062415</v>
      </c>
      <c r="D18" s="75" t="s">
        <v>56</v>
      </c>
      <c r="E18" s="76">
        <f>SUM(E10:E17)</f>
        <v>3861632665</v>
      </c>
      <c r="G18" s="179">
        <f>C18+E20</f>
        <v>3866527815</v>
      </c>
      <c r="H18" s="179">
        <f>G18-1!V17</f>
        <v>0</v>
      </c>
      <c r="I18" s="179">
        <f>E18-2!Y17</f>
        <v>0</v>
      </c>
    </row>
    <row r="19" spans="1:7" ht="19.5" customHeight="1">
      <c r="A19" s="160" t="s">
        <v>33</v>
      </c>
      <c r="B19" s="445" t="s">
        <v>57</v>
      </c>
      <c r="C19" s="446"/>
      <c r="D19" s="446"/>
      <c r="E19" s="77">
        <f>C18-E18</f>
        <v>-689570250</v>
      </c>
      <c r="G19" s="161"/>
    </row>
    <row r="20" spans="1:5" ht="22.5" customHeight="1">
      <c r="A20" s="160" t="s">
        <v>35</v>
      </c>
      <c r="B20" s="447" t="s">
        <v>370</v>
      </c>
      <c r="C20" s="448"/>
      <c r="D20" s="448"/>
      <c r="E20" s="202">
        <f>1!P17</f>
        <v>694465400</v>
      </c>
    </row>
    <row r="21" spans="1:5" ht="21" customHeight="1">
      <c r="A21" s="160" t="s">
        <v>59</v>
      </c>
      <c r="B21" s="445" t="s">
        <v>58</v>
      </c>
      <c r="C21" s="446"/>
      <c r="D21" s="446"/>
      <c r="E21" s="77">
        <f>E20+E19</f>
        <v>4895150</v>
      </c>
    </row>
    <row r="22" spans="1:5" ht="30.75" customHeight="1">
      <c r="A22" s="160" t="s">
        <v>61</v>
      </c>
      <c r="B22" s="452" t="s">
        <v>218</v>
      </c>
      <c r="C22" s="453"/>
      <c r="D22" s="453"/>
      <c r="E22" s="454"/>
    </row>
    <row r="23" spans="1:5" ht="15.75">
      <c r="A23" s="160" t="s">
        <v>62</v>
      </c>
      <c r="B23" s="455" t="s">
        <v>13</v>
      </c>
      <c r="C23" s="456"/>
      <c r="D23" s="456" t="s">
        <v>38</v>
      </c>
      <c r="E23" s="457"/>
    </row>
    <row r="24" spans="1:5" ht="15.75">
      <c r="A24" s="160" t="s">
        <v>63</v>
      </c>
      <c r="B24" s="66" t="s">
        <v>51</v>
      </c>
      <c r="C24" s="64" t="s">
        <v>202</v>
      </c>
      <c r="D24" s="64" t="s">
        <v>51</v>
      </c>
      <c r="E24" s="65" t="s">
        <v>202</v>
      </c>
    </row>
    <row r="25" spans="1:5" ht="32.25" customHeight="1">
      <c r="A25" s="160" t="s">
        <v>64</v>
      </c>
      <c r="B25" s="71" t="s">
        <v>20</v>
      </c>
      <c r="C25" s="6">
        <f>1!Y17</f>
        <v>290606322</v>
      </c>
      <c r="D25" s="72" t="s">
        <v>46</v>
      </c>
      <c r="E25" s="26">
        <f>2!AB17</f>
        <v>1385686865</v>
      </c>
    </row>
    <row r="26" spans="1:5" ht="36" customHeight="1">
      <c r="A26" s="160" t="s">
        <v>65</v>
      </c>
      <c r="B26" s="71" t="s">
        <v>21</v>
      </c>
      <c r="C26" s="6">
        <f>1!AB17</f>
        <v>76513900</v>
      </c>
      <c r="D26" s="72" t="s">
        <v>110</v>
      </c>
      <c r="E26" s="26">
        <f>2!AE17</f>
        <v>39200000</v>
      </c>
    </row>
    <row r="27" spans="1:5" ht="24" customHeight="1">
      <c r="A27" s="160" t="s">
        <v>66</v>
      </c>
      <c r="B27" s="71"/>
      <c r="C27" s="6">
        <v>0</v>
      </c>
      <c r="D27" s="72" t="s">
        <v>67</v>
      </c>
      <c r="E27" s="26">
        <f>2!AH17</f>
        <v>1845786838</v>
      </c>
    </row>
    <row r="28" spans="1:9" ht="24" customHeight="1">
      <c r="A28" s="160" t="s">
        <v>68</v>
      </c>
      <c r="B28" s="73" t="s">
        <v>69</v>
      </c>
      <c r="C28" s="7">
        <f>SUM(C25:C27)</f>
        <v>367120222</v>
      </c>
      <c r="D28" s="75" t="s">
        <v>70</v>
      </c>
      <c r="E28" s="77">
        <f>SUM(E25:E27)</f>
        <v>3270673703</v>
      </c>
      <c r="G28" s="179">
        <f>C28+E30+E31</f>
        <v>3265778553</v>
      </c>
      <c r="H28" s="179">
        <f>G28-1!AK17</f>
        <v>0</v>
      </c>
      <c r="I28" s="179">
        <f>E28-2!AK17</f>
        <v>0</v>
      </c>
    </row>
    <row r="29" spans="1:7" ht="19.5" customHeight="1">
      <c r="A29" s="160" t="s">
        <v>71</v>
      </c>
      <c r="B29" s="445" t="s">
        <v>72</v>
      </c>
      <c r="C29" s="446"/>
      <c r="D29" s="446"/>
      <c r="E29" s="77">
        <f>C28-E28</f>
        <v>-2903553481</v>
      </c>
      <c r="G29" s="161"/>
    </row>
    <row r="30" spans="1:7" ht="19.5" customHeight="1">
      <c r="A30" s="160" t="s">
        <v>73</v>
      </c>
      <c r="B30" s="447" t="s">
        <v>355</v>
      </c>
      <c r="C30" s="448"/>
      <c r="D30" s="448"/>
      <c r="E30" s="77">
        <f>1!AE17</f>
        <v>250000000</v>
      </c>
      <c r="G30" s="161"/>
    </row>
    <row r="31" spans="1:7" ht="19.5" customHeight="1">
      <c r="A31" s="160" t="s">
        <v>75</v>
      </c>
      <c r="B31" s="447" t="s">
        <v>74</v>
      </c>
      <c r="C31" s="448"/>
      <c r="D31" s="448"/>
      <c r="E31" s="77">
        <f>1!AH17</f>
        <v>2648658331</v>
      </c>
      <c r="G31" s="161"/>
    </row>
    <row r="32" spans="1:7" ht="19.5" customHeight="1">
      <c r="A32" s="160" t="s">
        <v>77</v>
      </c>
      <c r="B32" s="445" t="s">
        <v>76</v>
      </c>
      <c r="C32" s="446"/>
      <c r="D32" s="446"/>
      <c r="E32" s="77">
        <f>E31+E30+E29</f>
        <v>-4895150</v>
      </c>
      <c r="G32" s="161"/>
    </row>
    <row r="33" spans="1:7" ht="35.25" customHeight="1">
      <c r="A33" s="160" t="s">
        <v>78</v>
      </c>
      <c r="B33" s="449" t="s">
        <v>111</v>
      </c>
      <c r="C33" s="450"/>
      <c r="D33" s="451"/>
      <c r="E33" s="77">
        <f>E21</f>
        <v>4895150</v>
      </c>
      <c r="G33" s="161"/>
    </row>
    <row r="34" spans="1:7" ht="25.5" customHeight="1" thickBot="1">
      <c r="A34" s="160" t="s">
        <v>79</v>
      </c>
      <c r="B34" s="443" t="s">
        <v>112</v>
      </c>
      <c r="C34" s="444"/>
      <c r="D34" s="444"/>
      <c r="E34" s="79">
        <f>E32+E33</f>
        <v>0</v>
      </c>
      <c r="G34" s="162"/>
    </row>
    <row r="35" spans="2:5" ht="15.75">
      <c r="B35" s="83"/>
      <c r="C35" s="83"/>
      <c r="D35" s="83"/>
      <c r="E35" s="83"/>
    </row>
    <row r="36" ht="15.75">
      <c r="G36" s="161"/>
    </row>
    <row r="38" ht="15.75">
      <c r="G38" s="161"/>
    </row>
  </sheetData>
  <sheetProtection/>
  <mergeCells count="19">
    <mergeCell ref="D13:D14"/>
    <mergeCell ref="E13:E14"/>
    <mergeCell ref="B19:D19"/>
    <mergeCell ref="B20:D20"/>
    <mergeCell ref="B1:E1"/>
    <mergeCell ref="B4:E4"/>
    <mergeCell ref="B7:E7"/>
    <mergeCell ref="B8:C8"/>
    <mergeCell ref="D8:E8"/>
    <mergeCell ref="B34:D34"/>
    <mergeCell ref="B29:D29"/>
    <mergeCell ref="B31:D31"/>
    <mergeCell ref="B32:D32"/>
    <mergeCell ref="B33:D33"/>
    <mergeCell ref="B21:D21"/>
    <mergeCell ref="B22:E22"/>
    <mergeCell ref="B23:C23"/>
    <mergeCell ref="D23:E23"/>
    <mergeCell ref="B30:D3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1"/>
  <sheetViews>
    <sheetView zoomScalePageLayoutView="0" workbookViewId="0" topLeftCell="A1">
      <pane xSplit="1" ySplit="8" topLeftCell="B63" activePane="bottomRight" state="frozen"/>
      <selection pane="topLeft" activeCell="AJ1" sqref="AJ1:AL16384"/>
      <selection pane="topRight" activeCell="AJ1" sqref="AJ1:AL16384"/>
      <selection pane="bottomLeft" activeCell="AJ1" sqref="AJ1:AL16384"/>
      <selection pane="bottomRight" activeCell="B1" sqref="B1:J1"/>
    </sheetView>
  </sheetViews>
  <sheetFormatPr defaultColWidth="9.140625" defaultRowHeight="12.75"/>
  <cols>
    <col min="1" max="1" width="4.421875" style="183" customWidth="1"/>
    <col min="2" max="2" width="4.421875" style="118" customWidth="1"/>
    <col min="3" max="8" width="9.140625" style="118" customWidth="1"/>
    <col min="9" max="9" width="17.421875" style="118" customWidth="1"/>
    <col min="10" max="10" width="14.28125" style="118" customWidth="1"/>
    <col min="11" max="11" width="15.00390625" style="118" customWidth="1"/>
    <col min="12" max="12" width="13.8515625" style="118" customWidth="1"/>
    <col min="13" max="13" width="12.140625" style="118" hidden="1" customWidth="1"/>
    <col min="14" max="14" width="17.140625" style="118" hidden="1" customWidth="1"/>
    <col min="15" max="15" width="13.00390625" style="118" hidden="1" customWidth="1"/>
    <col min="16" max="16" width="8.8515625" style="118" hidden="1" customWidth="1"/>
    <col min="17" max="19" width="0" style="118" hidden="1" customWidth="1"/>
    <col min="20" max="35" width="9.140625" style="118" customWidth="1"/>
    <col min="36" max="38" width="0" style="118" hidden="1" customWidth="1"/>
    <col min="39" max="16384" width="9.140625" style="118" customWidth="1"/>
  </cols>
  <sheetData>
    <row r="1" spans="1:10" ht="15.75">
      <c r="A1" s="176"/>
      <c r="B1" s="488" t="s">
        <v>408</v>
      </c>
      <c r="C1" s="488"/>
      <c r="D1" s="488"/>
      <c r="E1" s="488"/>
      <c r="F1" s="488"/>
      <c r="G1" s="488"/>
      <c r="H1" s="488"/>
      <c r="I1" s="488"/>
      <c r="J1" s="488"/>
    </row>
    <row r="2" spans="1:10" ht="15.75">
      <c r="A2" s="176"/>
      <c r="B2" s="37"/>
      <c r="C2" s="37"/>
      <c r="D2" s="37"/>
      <c r="E2" s="37"/>
      <c r="F2" s="37"/>
      <c r="G2" s="37"/>
      <c r="H2" s="37"/>
      <c r="I2" s="37"/>
      <c r="J2" s="37"/>
    </row>
    <row r="3" spans="1:10" ht="15.75">
      <c r="A3" s="176"/>
      <c r="B3" s="489" t="s">
        <v>113</v>
      </c>
      <c r="C3" s="489"/>
      <c r="D3" s="489"/>
      <c r="E3" s="489"/>
      <c r="F3" s="489"/>
      <c r="G3" s="489"/>
      <c r="H3" s="489"/>
      <c r="I3" s="489"/>
      <c r="J3" s="489"/>
    </row>
    <row r="4" spans="1:10" ht="15.75">
      <c r="A4" s="176"/>
      <c r="B4" s="489" t="s">
        <v>310</v>
      </c>
      <c r="C4" s="489"/>
      <c r="D4" s="489"/>
      <c r="E4" s="489"/>
      <c r="F4" s="489"/>
      <c r="G4" s="489"/>
      <c r="H4" s="489"/>
      <c r="I4" s="489"/>
      <c r="J4" s="489"/>
    </row>
    <row r="5" spans="1:10" ht="15.75">
      <c r="A5" s="176"/>
      <c r="B5" s="489" t="s">
        <v>82</v>
      </c>
      <c r="C5" s="489"/>
      <c r="D5" s="489"/>
      <c r="E5" s="489"/>
      <c r="F5" s="489"/>
      <c r="G5" s="489"/>
      <c r="H5" s="489"/>
      <c r="I5" s="489"/>
      <c r="J5" s="489"/>
    </row>
    <row r="6" spans="1:10" ht="24" customHeight="1">
      <c r="A6" s="78"/>
      <c r="B6" s="163"/>
      <c r="C6" s="163"/>
      <c r="D6" s="163"/>
      <c r="E6" s="163"/>
      <c r="F6" s="163"/>
      <c r="G6" s="163"/>
      <c r="H6" s="163"/>
      <c r="I6" s="163"/>
      <c r="J6" s="153" t="s">
        <v>236</v>
      </c>
    </row>
    <row r="7" spans="1:12" ht="14.25" customHeight="1">
      <c r="A7" s="177"/>
      <c r="B7" s="158" t="s">
        <v>0</v>
      </c>
      <c r="C7" s="159" t="s">
        <v>1</v>
      </c>
      <c r="D7" s="159" t="s">
        <v>2</v>
      </c>
      <c r="E7" s="159" t="s">
        <v>3</v>
      </c>
      <c r="F7" s="159" t="s">
        <v>4</v>
      </c>
      <c r="G7" s="159" t="s">
        <v>5</v>
      </c>
      <c r="H7" s="159" t="s">
        <v>81</v>
      </c>
      <c r="I7" s="159" t="s">
        <v>6</v>
      </c>
      <c r="J7" s="159" t="s">
        <v>7</v>
      </c>
      <c r="K7" s="159" t="s">
        <v>39</v>
      </c>
      <c r="L7" s="159" t="s">
        <v>8</v>
      </c>
    </row>
    <row r="8" spans="1:12" ht="42" customHeight="1">
      <c r="A8" s="321" t="s">
        <v>10</v>
      </c>
      <c r="B8" s="492" t="s">
        <v>11</v>
      </c>
      <c r="C8" s="492"/>
      <c r="D8" s="492"/>
      <c r="E8" s="492"/>
      <c r="F8" s="492"/>
      <c r="G8" s="492"/>
      <c r="H8" s="492"/>
      <c r="I8" s="493"/>
      <c r="J8" s="324" t="s">
        <v>371</v>
      </c>
      <c r="K8" s="324" t="s">
        <v>170</v>
      </c>
      <c r="L8" s="324" t="s">
        <v>99</v>
      </c>
    </row>
    <row r="9" spans="1:12" ht="22.5" customHeight="1">
      <c r="A9" s="321" t="s">
        <v>15</v>
      </c>
      <c r="B9" s="478" t="s">
        <v>322</v>
      </c>
      <c r="C9" s="479"/>
      <c r="D9" s="479"/>
      <c r="E9" s="479"/>
      <c r="F9" s="479"/>
      <c r="G9" s="479"/>
      <c r="H9" s="479"/>
      <c r="I9" s="479"/>
      <c r="J9" s="325"/>
      <c r="K9" s="325"/>
      <c r="L9" s="325"/>
    </row>
    <row r="10" spans="1:15" ht="23.25" customHeight="1">
      <c r="A10" s="321" t="s">
        <v>22</v>
      </c>
      <c r="B10" s="490" t="s">
        <v>323</v>
      </c>
      <c r="C10" s="487"/>
      <c r="D10" s="487"/>
      <c r="E10" s="487"/>
      <c r="F10" s="487"/>
      <c r="G10" s="487"/>
      <c r="H10" s="487"/>
      <c r="I10" s="487"/>
      <c r="J10" s="326">
        <f>J11+J14</f>
        <v>310321999</v>
      </c>
      <c r="K10" s="326">
        <f>K11+K14</f>
        <v>308053133</v>
      </c>
      <c r="L10" s="326">
        <f>L11+L14</f>
        <v>6972543</v>
      </c>
      <c r="M10" s="179"/>
      <c r="N10" s="179"/>
      <c r="O10" s="179"/>
    </row>
    <row r="11" spans="1:15" ht="18" customHeight="1">
      <c r="A11" s="321" t="s">
        <v>23</v>
      </c>
      <c r="B11" s="125" t="s">
        <v>319</v>
      </c>
      <c r="C11" s="446" t="s">
        <v>167</v>
      </c>
      <c r="D11" s="446"/>
      <c r="E11" s="446"/>
      <c r="F11" s="446"/>
      <c r="G11" s="446"/>
      <c r="H11" s="446"/>
      <c r="I11" s="490"/>
      <c r="J11" s="327">
        <f>SUM(J12:J13)</f>
        <v>4284000</v>
      </c>
      <c r="K11" s="327">
        <f>SUM(K12:K13)</f>
        <v>2015134</v>
      </c>
      <c r="L11" s="327">
        <f>SUM(L12:L13)</f>
        <v>800851</v>
      </c>
      <c r="M11" s="179"/>
      <c r="N11" s="179"/>
      <c r="O11" s="179"/>
    </row>
    <row r="12" spans="1:14" ht="18" customHeight="1">
      <c r="A12" s="321" t="s">
        <v>52</v>
      </c>
      <c r="B12" s="322"/>
      <c r="C12" s="28" t="s">
        <v>10</v>
      </c>
      <c r="D12" s="485" t="s">
        <v>176</v>
      </c>
      <c r="E12" s="485"/>
      <c r="F12" s="485"/>
      <c r="G12" s="485"/>
      <c r="H12" s="485"/>
      <c r="I12" s="471"/>
      <c r="J12" s="328">
        <v>2284000</v>
      </c>
      <c r="K12" s="328">
        <v>-866</v>
      </c>
      <c r="L12" s="328">
        <v>0</v>
      </c>
      <c r="N12" s="179"/>
    </row>
    <row r="13" spans="1:15" ht="18" customHeight="1">
      <c r="A13" s="321" t="s">
        <v>54</v>
      </c>
      <c r="B13" s="322"/>
      <c r="C13" s="28" t="s">
        <v>15</v>
      </c>
      <c r="D13" s="486" t="s">
        <v>193</v>
      </c>
      <c r="E13" s="487"/>
      <c r="F13" s="487"/>
      <c r="G13" s="487"/>
      <c r="H13" s="487"/>
      <c r="I13" s="487"/>
      <c r="J13" s="141">
        <v>2000000</v>
      </c>
      <c r="K13" s="141">
        <v>2016000</v>
      </c>
      <c r="L13" s="141">
        <v>800851</v>
      </c>
      <c r="N13" s="179"/>
      <c r="O13" s="179"/>
    </row>
    <row r="14" spans="1:12" ht="18" customHeight="1">
      <c r="A14" s="321" t="s">
        <v>48</v>
      </c>
      <c r="B14" s="125" t="s">
        <v>320</v>
      </c>
      <c r="C14" s="490" t="s">
        <v>283</v>
      </c>
      <c r="D14" s="491"/>
      <c r="E14" s="491"/>
      <c r="F14" s="491"/>
      <c r="G14" s="491"/>
      <c r="H14" s="491"/>
      <c r="I14" s="491"/>
      <c r="J14" s="326">
        <f>SUM(J15:J31)</f>
        <v>306037999</v>
      </c>
      <c r="K14" s="326">
        <f>SUM(K15:K31)</f>
        <v>306037999</v>
      </c>
      <c r="L14" s="326">
        <f>SUM(L15:L31)</f>
        <v>6171692</v>
      </c>
    </row>
    <row r="15" spans="1:15" ht="18" customHeight="1">
      <c r="A15" s="321" t="s">
        <v>24</v>
      </c>
      <c r="B15" s="322"/>
      <c r="C15" s="28" t="s">
        <v>10</v>
      </c>
      <c r="D15" s="486" t="s">
        <v>386</v>
      </c>
      <c r="E15" s="487"/>
      <c r="F15" s="487"/>
      <c r="G15" s="487"/>
      <c r="H15" s="487"/>
      <c r="I15" s="487"/>
      <c r="J15" s="141">
        <v>3000000</v>
      </c>
      <c r="K15" s="141">
        <v>3000000</v>
      </c>
      <c r="L15" s="141">
        <v>2159000</v>
      </c>
      <c r="O15" s="179"/>
    </row>
    <row r="16" spans="1:12" ht="18" customHeight="1">
      <c r="A16" s="321" t="s">
        <v>26</v>
      </c>
      <c r="B16" s="322"/>
      <c r="C16" s="28" t="s">
        <v>15</v>
      </c>
      <c r="D16" s="486" t="s">
        <v>219</v>
      </c>
      <c r="E16" s="487"/>
      <c r="F16" s="487"/>
      <c r="G16" s="487"/>
      <c r="H16" s="487"/>
      <c r="I16" s="487"/>
      <c r="J16" s="141">
        <v>2000000</v>
      </c>
      <c r="K16" s="141">
        <v>2000000</v>
      </c>
      <c r="L16" s="141">
        <v>0</v>
      </c>
    </row>
    <row r="17" spans="1:12" ht="18" customHeight="1">
      <c r="A17" s="321" t="s">
        <v>28</v>
      </c>
      <c r="B17" s="322"/>
      <c r="C17" s="28" t="s">
        <v>22</v>
      </c>
      <c r="D17" s="486" t="s">
        <v>220</v>
      </c>
      <c r="E17" s="487"/>
      <c r="F17" s="487"/>
      <c r="G17" s="487"/>
      <c r="H17" s="487"/>
      <c r="I17" s="487"/>
      <c r="J17" s="141">
        <v>2540000</v>
      </c>
      <c r="K17" s="141">
        <v>2540000</v>
      </c>
      <c r="L17" s="141">
        <v>0</v>
      </c>
    </row>
    <row r="18" spans="1:12" ht="18" customHeight="1">
      <c r="A18" s="321" t="s">
        <v>31</v>
      </c>
      <c r="B18" s="322"/>
      <c r="C18" s="28" t="s">
        <v>23</v>
      </c>
      <c r="D18" s="486" t="s">
        <v>221</v>
      </c>
      <c r="E18" s="487"/>
      <c r="F18" s="487"/>
      <c r="G18" s="487"/>
      <c r="H18" s="487"/>
      <c r="I18" s="487"/>
      <c r="J18" s="141">
        <v>1905000</v>
      </c>
      <c r="K18" s="141">
        <v>1905000</v>
      </c>
      <c r="L18" s="141">
        <v>0</v>
      </c>
    </row>
    <row r="19" spans="1:12" ht="18" customHeight="1">
      <c r="A19" s="321" t="s">
        <v>49</v>
      </c>
      <c r="B19" s="322"/>
      <c r="C19" s="28" t="s">
        <v>52</v>
      </c>
      <c r="D19" s="486" t="s">
        <v>227</v>
      </c>
      <c r="E19" s="487"/>
      <c r="F19" s="487"/>
      <c r="G19" s="487"/>
      <c r="H19" s="487"/>
      <c r="I19" s="487"/>
      <c r="J19" s="141">
        <v>4000000</v>
      </c>
      <c r="K19" s="141">
        <v>4000000</v>
      </c>
      <c r="L19" s="141">
        <v>0</v>
      </c>
    </row>
    <row r="20" spans="1:12" ht="18" customHeight="1">
      <c r="A20" s="321" t="s">
        <v>33</v>
      </c>
      <c r="B20" s="322"/>
      <c r="C20" s="28" t="s">
        <v>54</v>
      </c>
      <c r="D20" s="486" t="s">
        <v>222</v>
      </c>
      <c r="E20" s="487"/>
      <c r="F20" s="487"/>
      <c r="G20" s="487"/>
      <c r="H20" s="487"/>
      <c r="I20" s="487"/>
      <c r="J20" s="141">
        <v>1978000</v>
      </c>
      <c r="K20" s="141">
        <v>1978000</v>
      </c>
      <c r="L20" s="141">
        <v>0</v>
      </c>
    </row>
    <row r="21" spans="1:12" ht="18" customHeight="1">
      <c r="A21" s="321" t="s">
        <v>35</v>
      </c>
      <c r="B21" s="322"/>
      <c r="C21" s="28" t="s">
        <v>48</v>
      </c>
      <c r="D21" s="486" t="s">
        <v>195</v>
      </c>
      <c r="E21" s="487" t="s">
        <v>195</v>
      </c>
      <c r="F21" s="487" t="s">
        <v>195</v>
      </c>
      <c r="G21" s="487" t="s">
        <v>195</v>
      </c>
      <c r="H21" s="487" t="s">
        <v>195</v>
      </c>
      <c r="I21" s="487" t="s">
        <v>195</v>
      </c>
      <c r="J21" s="141">
        <v>1905000</v>
      </c>
      <c r="K21" s="141">
        <v>1905000</v>
      </c>
      <c r="L21" s="141">
        <v>0</v>
      </c>
    </row>
    <row r="22" spans="1:12" ht="18" customHeight="1">
      <c r="A22" s="321" t="s">
        <v>59</v>
      </c>
      <c r="B22" s="322"/>
      <c r="C22" s="28" t="s">
        <v>24</v>
      </c>
      <c r="D22" s="486" t="s">
        <v>226</v>
      </c>
      <c r="E22" s="487" t="s">
        <v>168</v>
      </c>
      <c r="F22" s="487" t="s">
        <v>168</v>
      </c>
      <c r="G22" s="487" t="s">
        <v>168</v>
      </c>
      <c r="H22" s="487" t="s">
        <v>168</v>
      </c>
      <c r="I22" s="487" t="s">
        <v>168</v>
      </c>
      <c r="J22" s="141">
        <v>6350000</v>
      </c>
      <c r="K22" s="141">
        <v>6350000</v>
      </c>
      <c r="L22" s="141">
        <v>0</v>
      </c>
    </row>
    <row r="23" spans="1:12" ht="18" customHeight="1">
      <c r="A23" s="321" t="s">
        <v>60</v>
      </c>
      <c r="B23" s="322"/>
      <c r="C23" s="28" t="s">
        <v>26</v>
      </c>
      <c r="D23" s="486" t="s">
        <v>196</v>
      </c>
      <c r="E23" s="487" t="s">
        <v>196</v>
      </c>
      <c r="F23" s="487" t="s">
        <v>196</v>
      </c>
      <c r="G23" s="487" t="s">
        <v>196</v>
      </c>
      <c r="H23" s="487" t="s">
        <v>196</v>
      </c>
      <c r="I23" s="487" t="s">
        <v>196</v>
      </c>
      <c r="J23" s="141">
        <v>2540000</v>
      </c>
      <c r="K23" s="141">
        <v>2540000</v>
      </c>
      <c r="L23" s="141">
        <v>0</v>
      </c>
    </row>
    <row r="24" spans="1:12" ht="18" customHeight="1">
      <c r="A24" s="321" t="s">
        <v>61</v>
      </c>
      <c r="B24" s="322"/>
      <c r="C24" s="28" t="s">
        <v>28</v>
      </c>
      <c r="D24" s="486" t="s">
        <v>197</v>
      </c>
      <c r="E24" s="487" t="s">
        <v>197</v>
      </c>
      <c r="F24" s="487" t="s">
        <v>197</v>
      </c>
      <c r="G24" s="487" t="s">
        <v>197</v>
      </c>
      <c r="H24" s="487" t="s">
        <v>197</v>
      </c>
      <c r="I24" s="487" t="s">
        <v>197</v>
      </c>
      <c r="J24" s="141">
        <v>1270000</v>
      </c>
      <c r="K24" s="141">
        <v>1270000</v>
      </c>
      <c r="L24" s="141">
        <v>0</v>
      </c>
    </row>
    <row r="25" spans="1:12" ht="18" customHeight="1">
      <c r="A25" s="321" t="s">
        <v>62</v>
      </c>
      <c r="B25" s="322"/>
      <c r="C25" s="28" t="s">
        <v>31</v>
      </c>
      <c r="D25" s="486" t="s">
        <v>223</v>
      </c>
      <c r="E25" s="494"/>
      <c r="F25" s="494"/>
      <c r="G25" s="494"/>
      <c r="H25" s="494"/>
      <c r="I25" s="494"/>
      <c r="J25" s="141">
        <v>2540000</v>
      </c>
      <c r="K25" s="141">
        <v>2540000</v>
      </c>
      <c r="L25" s="141">
        <v>0</v>
      </c>
    </row>
    <row r="26" spans="1:12" ht="18" customHeight="1">
      <c r="A26" s="321" t="s">
        <v>63</v>
      </c>
      <c r="B26" s="322"/>
      <c r="C26" s="28" t="s">
        <v>49</v>
      </c>
      <c r="D26" s="486" t="s">
        <v>198</v>
      </c>
      <c r="E26" s="487" t="s">
        <v>198</v>
      </c>
      <c r="F26" s="487" t="s">
        <v>198</v>
      </c>
      <c r="G26" s="487" t="s">
        <v>198</v>
      </c>
      <c r="H26" s="487" t="s">
        <v>198</v>
      </c>
      <c r="I26" s="487" t="s">
        <v>198</v>
      </c>
      <c r="J26" s="141">
        <v>2540000</v>
      </c>
      <c r="K26" s="141">
        <v>2540000</v>
      </c>
      <c r="L26" s="141">
        <v>0</v>
      </c>
    </row>
    <row r="27" spans="1:13" ht="18" customHeight="1">
      <c r="A27" s="321" t="s">
        <v>64</v>
      </c>
      <c r="B27" s="322"/>
      <c r="C27" s="28" t="s">
        <v>33</v>
      </c>
      <c r="D27" s="486" t="s">
        <v>225</v>
      </c>
      <c r="E27" s="487" t="s">
        <v>194</v>
      </c>
      <c r="F27" s="487" t="s">
        <v>194</v>
      </c>
      <c r="G27" s="487" t="s">
        <v>194</v>
      </c>
      <c r="H27" s="487" t="s">
        <v>194</v>
      </c>
      <c r="I27" s="487" t="s">
        <v>194</v>
      </c>
      <c r="J27" s="141">
        <v>250000000</v>
      </c>
      <c r="K27" s="141">
        <v>250000000</v>
      </c>
      <c r="L27" s="141">
        <v>4012692</v>
      </c>
      <c r="M27" s="179"/>
    </row>
    <row r="28" spans="1:14" ht="18" customHeight="1">
      <c r="A28" s="321" t="s">
        <v>65</v>
      </c>
      <c r="B28" s="322"/>
      <c r="C28" s="28" t="s">
        <v>35</v>
      </c>
      <c r="D28" s="486" t="s">
        <v>224</v>
      </c>
      <c r="E28" s="487"/>
      <c r="F28" s="487"/>
      <c r="G28" s="487"/>
      <c r="H28" s="487"/>
      <c r="I28" s="487"/>
      <c r="J28" s="141">
        <v>20000000</v>
      </c>
      <c r="K28" s="141">
        <v>20000000</v>
      </c>
      <c r="L28" s="141">
        <v>0</v>
      </c>
      <c r="N28" s="179"/>
    </row>
    <row r="29" spans="1:13" ht="18" customHeight="1">
      <c r="A29" s="321" t="s">
        <v>66</v>
      </c>
      <c r="B29" s="322"/>
      <c r="C29" s="28" t="s">
        <v>59</v>
      </c>
      <c r="D29" s="486" t="s">
        <v>228</v>
      </c>
      <c r="E29" s="487" t="s">
        <v>199</v>
      </c>
      <c r="F29" s="487" t="s">
        <v>199</v>
      </c>
      <c r="G29" s="487" t="s">
        <v>199</v>
      </c>
      <c r="H29" s="487" t="s">
        <v>199</v>
      </c>
      <c r="I29" s="487" t="s">
        <v>199</v>
      </c>
      <c r="J29" s="141">
        <v>1270000</v>
      </c>
      <c r="K29" s="141">
        <v>1270000</v>
      </c>
      <c r="L29" s="141">
        <v>0</v>
      </c>
      <c r="M29" s="179"/>
    </row>
    <row r="30" spans="1:12" ht="18" customHeight="1">
      <c r="A30" s="321" t="s">
        <v>68</v>
      </c>
      <c r="B30" s="322"/>
      <c r="C30" s="28" t="s">
        <v>60</v>
      </c>
      <c r="D30" s="486" t="s">
        <v>229</v>
      </c>
      <c r="E30" s="487" t="s">
        <v>199</v>
      </c>
      <c r="F30" s="487" t="s">
        <v>199</v>
      </c>
      <c r="G30" s="487" t="s">
        <v>199</v>
      </c>
      <c r="H30" s="487" t="s">
        <v>199</v>
      </c>
      <c r="I30" s="487" t="s">
        <v>199</v>
      </c>
      <c r="J30" s="141">
        <v>2000000</v>
      </c>
      <c r="K30" s="141">
        <v>2000000</v>
      </c>
      <c r="L30" s="141">
        <v>0</v>
      </c>
    </row>
    <row r="31" spans="1:12" ht="18" customHeight="1">
      <c r="A31" s="321" t="s">
        <v>71</v>
      </c>
      <c r="B31" s="322"/>
      <c r="C31" s="28" t="s">
        <v>61</v>
      </c>
      <c r="D31" s="486" t="s">
        <v>230</v>
      </c>
      <c r="E31" s="487"/>
      <c r="F31" s="487"/>
      <c r="G31" s="487"/>
      <c r="H31" s="487"/>
      <c r="I31" s="487"/>
      <c r="J31" s="141">
        <v>199999</v>
      </c>
      <c r="K31" s="141">
        <v>199999</v>
      </c>
      <c r="L31" s="141">
        <v>0</v>
      </c>
    </row>
    <row r="32" spans="1:12" ht="18" customHeight="1">
      <c r="A32" s="321" t="s">
        <v>73</v>
      </c>
      <c r="B32" s="125" t="s">
        <v>312</v>
      </c>
      <c r="C32" s="475" t="s">
        <v>311</v>
      </c>
      <c r="D32" s="476"/>
      <c r="E32" s="476"/>
      <c r="F32" s="476"/>
      <c r="G32" s="476"/>
      <c r="H32" s="476"/>
      <c r="I32" s="476"/>
      <c r="J32" s="326">
        <f>SUM(J33:J34)</f>
        <v>0</v>
      </c>
      <c r="K32" s="326">
        <f>SUM(K33:K34)</f>
        <v>0</v>
      </c>
      <c r="L32" s="326">
        <f>SUM(L33:L34)</f>
        <v>0</v>
      </c>
    </row>
    <row r="33" spans="1:12" ht="18" customHeight="1">
      <c r="A33" s="321" t="s">
        <v>75</v>
      </c>
      <c r="B33" s="323"/>
      <c r="C33" s="28" t="s">
        <v>10</v>
      </c>
      <c r="D33" s="486" t="s">
        <v>327</v>
      </c>
      <c r="E33" s="487"/>
      <c r="F33" s="487"/>
      <c r="G33" s="487"/>
      <c r="H33" s="487"/>
      <c r="I33" s="487"/>
      <c r="J33" s="141">
        <v>0</v>
      </c>
      <c r="K33" s="141">
        <v>0</v>
      </c>
      <c r="L33" s="141">
        <v>0</v>
      </c>
    </row>
    <row r="34" spans="1:12" ht="18" customHeight="1">
      <c r="A34" s="321" t="s">
        <v>77</v>
      </c>
      <c r="B34" s="323"/>
      <c r="C34" s="28" t="s">
        <v>15</v>
      </c>
      <c r="D34" s="486" t="s">
        <v>327</v>
      </c>
      <c r="E34" s="487"/>
      <c r="F34" s="487"/>
      <c r="G34" s="487"/>
      <c r="H34" s="487"/>
      <c r="I34" s="487"/>
      <c r="J34" s="141">
        <v>0</v>
      </c>
      <c r="K34" s="141">
        <v>0</v>
      </c>
      <c r="L34" s="141">
        <v>0</v>
      </c>
    </row>
    <row r="35" spans="1:16" ht="18" customHeight="1">
      <c r="A35" s="321" t="s">
        <v>78</v>
      </c>
      <c r="B35" s="473" t="s">
        <v>207</v>
      </c>
      <c r="C35" s="474"/>
      <c r="D35" s="474"/>
      <c r="E35" s="474"/>
      <c r="F35" s="474"/>
      <c r="G35" s="474"/>
      <c r="H35" s="474"/>
      <c r="I35" s="474"/>
      <c r="J35" s="326">
        <f>J32+J10</f>
        <v>310321999</v>
      </c>
      <c r="K35" s="326">
        <f>K32+K10</f>
        <v>308053133</v>
      </c>
      <c r="L35" s="326">
        <f>L32+L10</f>
        <v>6972543</v>
      </c>
      <c r="O35" s="179"/>
      <c r="P35" s="179"/>
    </row>
    <row r="36" spans="1:16" ht="36.75" customHeight="1">
      <c r="A36" s="321" t="s">
        <v>79</v>
      </c>
      <c r="B36" s="125" t="s">
        <v>84</v>
      </c>
      <c r="C36" s="475" t="s">
        <v>114</v>
      </c>
      <c r="D36" s="476"/>
      <c r="E36" s="476"/>
      <c r="F36" s="476"/>
      <c r="G36" s="476"/>
      <c r="H36" s="476"/>
      <c r="I36" s="476"/>
      <c r="J36" s="326">
        <f>SUM(J37:J40)</f>
        <v>39200000</v>
      </c>
      <c r="K36" s="326">
        <f>SUM(K37:K40)</f>
        <v>39200000</v>
      </c>
      <c r="L36" s="326">
        <f>SUM(L37:L40)</f>
        <v>1400000</v>
      </c>
      <c r="O36" s="179"/>
      <c r="P36" s="179"/>
    </row>
    <row r="37" spans="1:12" ht="18" customHeight="1">
      <c r="A37" s="321" t="s">
        <v>80</v>
      </c>
      <c r="B37" s="322"/>
      <c r="C37" s="28" t="s">
        <v>10</v>
      </c>
      <c r="D37" s="471" t="s">
        <v>232</v>
      </c>
      <c r="E37" s="472"/>
      <c r="F37" s="472"/>
      <c r="G37" s="472"/>
      <c r="H37" s="472"/>
      <c r="I37" s="472"/>
      <c r="J37" s="141">
        <v>10000000</v>
      </c>
      <c r="K37" s="141">
        <v>10000000</v>
      </c>
      <c r="L37" s="141">
        <v>1000000</v>
      </c>
    </row>
    <row r="38" spans="1:12" ht="18" customHeight="1">
      <c r="A38" s="321" t="s">
        <v>86</v>
      </c>
      <c r="B38" s="322"/>
      <c r="C38" s="28" t="s">
        <v>15</v>
      </c>
      <c r="D38" s="483" t="s">
        <v>85</v>
      </c>
      <c r="E38" s="484"/>
      <c r="F38" s="484"/>
      <c r="G38" s="484"/>
      <c r="H38" s="484"/>
      <c r="I38" s="484"/>
      <c r="J38" s="141">
        <v>1000000</v>
      </c>
      <c r="K38" s="141">
        <v>1000000</v>
      </c>
      <c r="L38" s="141">
        <v>400000</v>
      </c>
    </row>
    <row r="39" spans="1:12" ht="18" customHeight="1">
      <c r="A39" s="321" t="s">
        <v>237</v>
      </c>
      <c r="B39" s="322"/>
      <c r="C39" s="28" t="s">
        <v>22</v>
      </c>
      <c r="D39" s="483" t="s">
        <v>233</v>
      </c>
      <c r="E39" s="484"/>
      <c r="F39" s="484"/>
      <c r="G39" s="484"/>
      <c r="H39" s="484"/>
      <c r="I39" s="484"/>
      <c r="J39" s="141">
        <v>6200000</v>
      </c>
      <c r="K39" s="141">
        <v>6200000</v>
      </c>
      <c r="L39" s="141">
        <v>0</v>
      </c>
    </row>
    <row r="40" spans="1:12" ht="18" customHeight="1">
      <c r="A40" s="321" t="s">
        <v>115</v>
      </c>
      <c r="B40" s="322"/>
      <c r="C40" s="28" t="s">
        <v>200</v>
      </c>
      <c r="D40" s="483" t="s">
        <v>201</v>
      </c>
      <c r="E40" s="484"/>
      <c r="F40" s="484"/>
      <c r="G40" s="484"/>
      <c r="H40" s="484"/>
      <c r="I40" s="484"/>
      <c r="J40" s="141">
        <v>22000000</v>
      </c>
      <c r="K40" s="141">
        <v>22000000</v>
      </c>
      <c r="L40" s="141">
        <v>0</v>
      </c>
    </row>
    <row r="41" spans="1:18" ht="31.5" customHeight="1" thickBot="1">
      <c r="A41" s="321" t="s">
        <v>238</v>
      </c>
      <c r="B41" s="273" t="s">
        <v>318</v>
      </c>
      <c r="C41" s="477" t="s">
        <v>317</v>
      </c>
      <c r="D41" s="477"/>
      <c r="E41" s="477"/>
      <c r="F41" s="477"/>
      <c r="G41" s="477"/>
      <c r="H41" s="477"/>
      <c r="I41" s="477"/>
      <c r="J41" s="329">
        <f>J35+J36</f>
        <v>349521999</v>
      </c>
      <c r="K41" s="329">
        <f>K35+K36</f>
        <v>347253133</v>
      </c>
      <c r="L41" s="329">
        <f>L35+L36</f>
        <v>8372543</v>
      </c>
      <c r="R41" s="383">
        <f>L41/K41</f>
        <v>0.024110777425296836</v>
      </c>
    </row>
    <row r="42" spans="1:12" ht="22.5" customHeight="1">
      <c r="A42" s="321" t="s">
        <v>264</v>
      </c>
      <c r="B42" s="478" t="s">
        <v>324</v>
      </c>
      <c r="C42" s="479"/>
      <c r="D42" s="479"/>
      <c r="E42" s="479"/>
      <c r="F42" s="479"/>
      <c r="G42" s="479"/>
      <c r="H42" s="479"/>
      <c r="I42" s="479"/>
      <c r="J42" s="325"/>
      <c r="K42" s="330"/>
      <c r="L42" s="330"/>
    </row>
    <row r="43" spans="1:16" ht="21.75" customHeight="1">
      <c r="A43" s="321" t="s">
        <v>116</v>
      </c>
      <c r="B43" s="254"/>
      <c r="C43" s="482" t="s">
        <v>314</v>
      </c>
      <c r="D43" s="482"/>
      <c r="E43" s="482"/>
      <c r="F43" s="482"/>
      <c r="G43" s="482"/>
      <c r="H43" s="482"/>
      <c r="I43" s="468"/>
      <c r="J43" s="129">
        <f>SUM(J44:J48)</f>
        <v>0</v>
      </c>
      <c r="K43" s="326">
        <f>SUM(K44:K48)</f>
        <v>8525622</v>
      </c>
      <c r="L43" s="326">
        <f>SUM(L44:L48)</f>
        <v>8344963</v>
      </c>
      <c r="M43" s="179">
        <f>2!AB10</f>
        <v>8525622</v>
      </c>
      <c r="N43" s="179">
        <f>2!AC10</f>
        <v>8344963</v>
      </c>
      <c r="O43" s="179">
        <f>M43-K43</f>
        <v>0</v>
      </c>
      <c r="P43" s="179">
        <f>N43-L43</f>
        <v>0</v>
      </c>
    </row>
    <row r="44" spans="1:12" ht="19.5" customHeight="1">
      <c r="A44" s="321" t="s">
        <v>117</v>
      </c>
      <c r="B44" s="181"/>
      <c r="C44" s="480" t="s">
        <v>313</v>
      </c>
      <c r="D44" s="481"/>
      <c r="E44" s="481"/>
      <c r="F44" s="481"/>
      <c r="G44" s="481"/>
      <c r="H44" s="481"/>
      <c r="I44" s="481"/>
      <c r="J44" s="274">
        <v>0</v>
      </c>
      <c r="K44" s="331">
        <v>4426866</v>
      </c>
      <c r="L44" s="331">
        <v>4426866</v>
      </c>
    </row>
    <row r="45" spans="1:12" ht="19.5" customHeight="1">
      <c r="A45" s="321" t="s">
        <v>118</v>
      </c>
      <c r="B45" s="181"/>
      <c r="C45" s="480" t="s">
        <v>285</v>
      </c>
      <c r="D45" s="481"/>
      <c r="E45" s="481"/>
      <c r="F45" s="481"/>
      <c r="G45" s="481"/>
      <c r="H45" s="481"/>
      <c r="I45" s="481"/>
      <c r="J45" s="274">
        <v>0</v>
      </c>
      <c r="K45" s="331">
        <v>119439</v>
      </c>
      <c r="L45" s="331">
        <v>118754</v>
      </c>
    </row>
    <row r="46" spans="1:12" ht="19.5" customHeight="1">
      <c r="A46" s="321" t="s">
        <v>119</v>
      </c>
      <c r="B46" s="181"/>
      <c r="C46" s="480" t="s">
        <v>286</v>
      </c>
      <c r="D46" s="481"/>
      <c r="E46" s="481"/>
      <c r="F46" s="481"/>
      <c r="G46" s="481"/>
      <c r="H46" s="481"/>
      <c r="I46" s="481"/>
      <c r="J46" s="274">
        <v>0</v>
      </c>
      <c r="K46" s="331">
        <v>3110500</v>
      </c>
      <c r="L46" s="331">
        <v>2974865</v>
      </c>
    </row>
    <row r="47" spans="1:12" ht="19.5" customHeight="1">
      <c r="A47" s="321" t="s">
        <v>265</v>
      </c>
      <c r="B47" s="181"/>
      <c r="C47" s="480" t="s">
        <v>287</v>
      </c>
      <c r="D47" s="481"/>
      <c r="E47" s="481"/>
      <c r="F47" s="481"/>
      <c r="G47" s="481"/>
      <c r="H47" s="481"/>
      <c r="I47" s="481"/>
      <c r="J47" s="274">
        <v>0</v>
      </c>
      <c r="K47" s="331">
        <v>868817</v>
      </c>
      <c r="L47" s="331">
        <v>824478</v>
      </c>
    </row>
    <row r="48" spans="1:12" ht="15.75">
      <c r="A48" s="321" t="s">
        <v>120</v>
      </c>
      <c r="B48" s="181"/>
      <c r="C48" s="471"/>
      <c r="D48" s="472"/>
      <c r="E48" s="472"/>
      <c r="F48" s="472"/>
      <c r="G48" s="472"/>
      <c r="H48" s="472"/>
      <c r="I48" s="472"/>
      <c r="J48" s="274"/>
      <c r="K48" s="331"/>
      <c r="L48" s="331"/>
    </row>
    <row r="49" spans="1:16" ht="15.75">
      <c r="A49" s="321" t="s">
        <v>266</v>
      </c>
      <c r="B49" s="174"/>
      <c r="C49" s="482" t="s">
        <v>315</v>
      </c>
      <c r="D49" s="482"/>
      <c r="E49" s="482"/>
      <c r="F49" s="482"/>
      <c r="G49" s="482"/>
      <c r="H49" s="482"/>
      <c r="I49" s="468"/>
      <c r="J49" s="129">
        <f>SUM(J50:J52)</f>
        <v>0</v>
      </c>
      <c r="K49" s="326">
        <f>SUM(K50:K52)</f>
        <v>1202519</v>
      </c>
      <c r="L49" s="326">
        <f>SUM(L50:L52)</f>
        <v>1201524</v>
      </c>
      <c r="M49" s="179">
        <f>2!AB11</f>
        <v>1202519</v>
      </c>
      <c r="N49" s="179">
        <f>2!AC11</f>
        <v>1201524</v>
      </c>
      <c r="O49" s="179">
        <f>M49-K49</f>
        <v>0</v>
      </c>
      <c r="P49" s="179">
        <f>N49-L49</f>
        <v>0</v>
      </c>
    </row>
    <row r="50" spans="1:16" ht="15.75">
      <c r="A50" s="321" t="s">
        <v>270</v>
      </c>
      <c r="B50" s="181"/>
      <c r="C50" s="480" t="s">
        <v>372</v>
      </c>
      <c r="D50" s="481"/>
      <c r="E50" s="481"/>
      <c r="F50" s="481"/>
      <c r="G50" s="481"/>
      <c r="H50" s="481"/>
      <c r="I50" s="481"/>
      <c r="J50" s="274">
        <v>0</v>
      </c>
      <c r="K50" s="141">
        <v>280560</v>
      </c>
      <c r="L50" s="141">
        <v>279847</v>
      </c>
      <c r="O50" s="179"/>
      <c r="P50" s="179"/>
    </row>
    <row r="51" spans="1:16" ht="15.75">
      <c r="A51" s="321" t="s">
        <v>271</v>
      </c>
      <c r="B51" s="181"/>
      <c r="C51" s="480" t="s">
        <v>373</v>
      </c>
      <c r="D51" s="481"/>
      <c r="E51" s="481"/>
      <c r="F51" s="481"/>
      <c r="G51" s="481"/>
      <c r="H51" s="481"/>
      <c r="I51" s="481"/>
      <c r="J51" s="274">
        <v>0</v>
      </c>
      <c r="K51" s="141">
        <v>666236</v>
      </c>
      <c r="L51" s="141">
        <v>666236</v>
      </c>
      <c r="O51" s="179"/>
      <c r="P51" s="179"/>
    </row>
    <row r="52" spans="1:16" ht="15.75">
      <c r="A52" s="321" t="s">
        <v>272</v>
      </c>
      <c r="B52" s="181"/>
      <c r="C52" s="480" t="s">
        <v>374</v>
      </c>
      <c r="D52" s="481"/>
      <c r="E52" s="481"/>
      <c r="F52" s="481"/>
      <c r="G52" s="481"/>
      <c r="H52" s="481"/>
      <c r="I52" s="481"/>
      <c r="J52" s="274">
        <v>0</v>
      </c>
      <c r="K52" s="141">
        <v>255723</v>
      </c>
      <c r="L52" s="141">
        <v>255441</v>
      </c>
      <c r="O52" s="179"/>
      <c r="P52" s="179"/>
    </row>
    <row r="53" spans="1:16" ht="15.75">
      <c r="A53" s="321" t="s">
        <v>273</v>
      </c>
      <c r="B53" s="181"/>
      <c r="C53" s="482" t="s">
        <v>288</v>
      </c>
      <c r="D53" s="482"/>
      <c r="E53" s="482"/>
      <c r="F53" s="482"/>
      <c r="G53" s="482"/>
      <c r="H53" s="482"/>
      <c r="I53" s="468"/>
      <c r="J53" s="129">
        <f>SUM(J54:J56)</f>
        <v>0</v>
      </c>
      <c r="K53" s="326">
        <f>SUM(K54:K55)</f>
        <v>0</v>
      </c>
      <c r="L53" s="326">
        <f>SUM(L54:L55)</f>
        <v>0</v>
      </c>
      <c r="O53" s="179"/>
      <c r="P53" s="179"/>
    </row>
    <row r="54" spans="1:16" ht="15.75">
      <c r="A54" s="321" t="s">
        <v>274</v>
      </c>
      <c r="B54" s="181"/>
      <c r="C54" s="480"/>
      <c r="D54" s="481"/>
      <c r="E54" s="481"/>
      <c r="F54" s="481"/>
      <c r="G54" s="481"/>
      <c r="H54" s="481"/>
      <c r="I54" s="481"/>
      <c r="J54" s="274"/>
      <c r="K54" s="141"/>
      <c r="L54" s="141"/>
      <c r="O54" s="179"/>
      <c r="P54" s="179"/>
    </row>
    <row r="55" spans="1:16" ht="15.75">
      <c r="A55" s="321" t="s">
        <v>275</v>
      </c>
      <c r="B55" s="181"/>
      <c r="C55" s="480"/>
      <c r="D55" s="481"/>
      <c r="E55" s="481"/>
      <c r="F55" s="481"/>
      <c r="G55" s="481"/>
      <c r="H55" s="481"/>
      <c r="I55" s="481"/>
      <c r="J55" s="274"/>
      <c r="K55" s="141"/>
      <c r="L55" s="141"/>
      <c r="O55" s="179"/>
      <c r="P55" s="179"/>
    </row>
    <row r="56" spans="1:16" ht="15.75">
      <c r="A56" s="321" t="s">
        <v>276</v>
      </c>
      <c r="B56" s="181"/>
      <c r="C56" s="480"/>
      <c r="D56" s="481"/>
      <c r="E56" s="481"/>
      <c r="F56" s="481"/>
      <c r="G56" s="481"/>
      <c r="H56" s="481"/>
      <c r="I56" s="481"/>
      <c r="J56" s="274"/>
      <c r="K56" s="141"/>
      <c r="L56" s="141"/>
      <c r="O56" s="179"/>
      <c r="P56" s="179"/>
    </row>
    <row r="57" spans="1:16" ht="18.75" customHeight="1">
      <c r="A57" s="321" t="s">
        <v>277</v>
      </c>
      <c r="B57" s="174"/>
      <c r="C57" s="482" t="s">
        <v>289</v>
      </c>
      <c r="D57" s="482"/>
      <c r="E57" s="482"/>
      <c r="F57" s="482"/>
      <c r="G57" s="482"/>
      <c r="H57" s="482"/>
      <c r="I57" s="468"/>
      <c r="J57" s="129">
        <f>SUM(J58:J60)</f>
        <v>0</v>
      </c>
      <c r="K57" s="326">
        <f>SUM(K58:K60)</f>
        <v>2986760</v>
      </c>
      <c r="L57" s="326">
        <f>SUM(L58:L59)</f>
        <v>683232</v>
      </c>
      <c r="M57" s="179">
        <f>2!AB12</f>
        <v>2986760</v>
      </c>
      <c r="N57" s="179">
        <f>2!AC12</f>
        <v>683232</v>
      </c>
      <c r="O57" s="179">
        <f>M57-K57</f>
        <v>0</v>
      </c>
      <c r="P57" s="179">
        <f>N57-L57</f>
        <v>0</v>
      </c>
    </row>
    <row r="58" spans="1:12" ht="15.75">
      <c r="A58" s="321" t="s">
        <v>292</v>
      </c>
      <c r="B58" s="174"/>
      <c r="C58" s="480" t="s">
        <v>375</v>
      </c>
      <c r="D58" s="481"/>
      <c r="E58" s="481"/>
      <c r="F58" s="481"/>
      <c r="G58" s="481"/>
      <c r="H58" s="481"/>
      <c r="I58" s="481"/>
      <c r="J58" s="274">
        <v>0</v>
      </c>
      <c r="K58" s="141">
        <v>2698236</v>
      </c>
      <c r="L58" s="141">
        <v>650696</v>
      </c>
    </row>
    <row r="59" spans="1:12" ht="15.75">
      <c r="A59" s="321" t="s">
        <v>293</v>
      </c>
      <c r="B59" s="174"/>
      <c r="C59" s="480" t="s">
        <v>374</v>
      </c>
      <c r="D59" s="481"/>
      <c r="E59" s="481"/>
      <c r="F59" s="481"/>
      <c r="G59" s="481"/>
      <c r="H59" s="481"/>
      <c r="I59" s="481"/>
      <c r="J59" s="274">
        <v>0</v>
      </c>
      <c r="K59" s="141">
        <v>288524</v>
      </c>
      <c r="L59" s="141">
        <v>32536</v>
      </c>
    </row>
    <row r="60" spans="1:12" ht="15.75">
      <c r="A60" s="321" t="s">
        <v>394</v>
      </c>
      <c r="B60" s="180"/>
      <c r="C60" s="471"/>
      <c r="D60" s="472"/>
      <c r="E60" s="472"/>
      <c r="F60" s="472"/>
      <c r="G60" s="472"/>
      <c r="H60" s="472"/>
      <c r="I60" s="472"/>
      <c r="J60" s="274"/>
      <c r="K60" s="141"/>
      <c r="L60" s="141"/>
    </row>
    <row r="61" spans="1:16" ht="15.75">
      <c r="A61" s="321" t="s">
        <v>395</v>
      </c>
      <c r="B61" s="174"/>
      <c r="C61" s="482" t="s">
        <v>316</v>
      </c>
      <c r="D61" s="482"/>
      <c r="E61" s="482"/>
      <c r="F61" s="482"/>
      <c r="G61" s="482"/>
      <c r="H61" s="482"/>
      <c r="I61" s="468"/>
      <c r="J61" s="129">
        <f>SUM(J62:J67)</f>
        <v>0</v>
      </c>
      <c r="K61" s="326">
        <f>SUM(K62:K67)</f>
        <v>1309246</v>
      </c>
      <c r="L61" s="326">
        <f>SUM(L62:L67)</f>
        <v>1291741</v>
      </c>
      <c r="M61" s="179">
        <f>2!AB15</f>
        <v>1309246</v>
      </c>
      <c r="N61" s="179">
        <f>2!AC15</f>
        <v>1291741</v>
      </c>
      <c r="O61" s="179">
        <f>M61-K61</f>
        <v>0</v>
      </c>
      <c r="P61" s="179">
        <f>N61-L61</f>
        <v>0</v>
      </c>
    </row>
    <row r="62" spans="1:12" ht="15.75">
      <c r="A62" s="321" t="s">
        <v>396</v>
      </c>
      <c r="B62" s="180"/>
      <c r="C62" s="480" t="s">
        <v>372</v>
      </c>
      <c r="D62" s="481"/>
      <c r="E62" s="481"/>
      <c r="F62" s="481"/>
      <c r="G62" s="481"/>
      <c r="H62" s="481"/>
      <c r="I62" s="481"/>
      <c r="J62" s="274">
        <v>0</v>
      </c>
      <c r="K62" s="141">
        <v>282500</v>
      </c>
      <c r="L62" s="141">
        <v>282500</v>
      </c>
    </row>
    <row r="63" spans="1:12" ht="15.75">
      <c r="A63" s="321" t="s">
        <v>397</v>
      </c>
      <c r="B63" s="180"/>
      <c r="C63" s="480" t="s">
        <v>373</v>
      </c>
      <c r="D63" s="481"/>
      <c r="E63" s="481"/>
      <c r="F63" s="481"/>
      <c r="G63" s="481"/>
      <c r="H63" s="481"/>
      <c r="I63" s="481"/>
      <c r="J63" s="274">
        <v>0</v>
      </c>
      <c r="K63" s="141">
        <v>307255</v>
      </c>
      <c r="L63" s="141">
        <v>293472</v>
      </c>
    </row>
    <row r="64" spans="1:12" ht="15.75">
      <c r="A64" s="321" t="s">
        <v>398</v>
      </c>
      <c r="B64" s="180"/>
      <c r="C64" s="480" t="s">
        <v>374</v>
      </c>
      <c r="D64" s="481"/>
      <c r="E64" s="481"/>
      <c r="F64" s="481"/>
      <c r="G64" s="481"/>
      <c r="H64" s="481"/>
      <c r="I64" s="481"/>
      <c r="J64" s="274">
        <v>0</v>
      </c>
      <c r="K64" s="141">
        <v>159233</v>
      </c>
      <c r="L64" s="141">
        <v>155511</v>
      </c>
    </row>
    <row r="65" spans="1:12" ht="15.75">
      <c r="A65" s="321" t="s">
        <v>294</v>
      </c>
      <c r="B65" s="180"/>
      <c r="C65" s="480" t="s">
        <v>376</v>
      </c>
      <c r="D65" s="481"/>
      <c r="E65" s="481"/>
      <c r="F65" s="481"/>
      <c r="G65" s="481"/>
      <c r="H65" s="481"/>
      <c r="I65" s="481"/>
      <c r="J65" s="274">
        <v>0</v>
      </c>
      <c r="K65" s="141">
        <v>441148</v>
      </c>
      <c r="L65" s="141">
        <v>441148</v>
      </c>
    </row>
    <row r="66" spans="1:12" ht="15.75">
      <c r="A66" s="321" t="s">
        <v>295</v>
      </c>
      <c r="B66" s="180"/>
      <c r="C66" s="480" t="s">
        <v>377</v>
      </c>
      <c r="D66" s="481"/>
      <c r="E66" s="481"/>
      <c r="F66" s="481"/>
      <c r="G66" s="481"/>
      <c r="H66" s="481"/>
      <c r="I66" s="481"/>
      <c r="J66" s="274">
        <v>0</v>
      </c>
      <c r="K66" s="141">
        <v>119110</v>
      </c>
      <c r="L66" s="141">
        <v>119110</v>
      </c>
    </row>
    <row r="67" spans="1:12" ht="15.75">
      <c r="A67" s="321" t="s">
        <v>296</v>
      </c>
      <c r="B67" s="180"/>
      <c r="C67" s="480"/>
      <c r="D67" s="481"/>
      <c r="E67" s="481"/>
      <c r="F67" s="481"/>
      <c r="G67" s="481"/>
      <c r="H67" s="481"/>
      <c r="I67" s="481"/>
      <c r="J67" s="274"/>
      <c r="K67" s="141"/>
      <c r="L67" s="141"/>
    </row>
    <row r="68" spans="1:12" ht="23.25" customHeight="1">
      <c r="A68" s="321" t="s">
        <v>297</v>
      </c>
      <c r="B68" s="174"/>
      <c r="C68" s="482" t="s">
        <v>290</v>
      </c>
      <c r="D68" s="482"/>
      <c r="E68" s="482"/>
      <c r="F68" s="482"/>
      <c r="G68" s="482"/>
      <c r="H68" s="482"/>
      <c r="I68" s="468"/>
      <c r="J68" s="326">
        <f>SUM(J69:J74)</f>
        <v>0</v>
      </c>
      <c r="K68" s="326">
        <f>SUM(K69:K74)</f>
        <v>1063609585</v>
      </c>
      <c r="L68" s="326">
        <f>SUM(L69:L74)</f>
        <v>950290881</v>
      </c>
    </row>
    <row r="69" spans="1:15" ht="15.75">
      <c r="A69" s="321" t="s">
        <v>298</v>
      </c>
      <c r="B69" s="180"/>
      <c r="C69" s="480" t="s">
        <v>313</v>
      </c>
      <c r="D69" s="481"/>
      <c r="E69" s="481"/>
      <c r="F69" s="481"/>
      <c r="G69" s="481"/>
      <c r="H69" s="481"/>
      <c r="I69" s="481"/>
      <c r="J69" s="274">
        <v>0</v>
      </c>
      <c r="K69" s="141">
        <v>273624114</v>
      </c>
      <c r="L69" s="141">
        <v>221482586</v>
      </c>
      <c r="N69" s="179"/>
      <c r="O69" s="179"/>
    </row>
    <row r="70" spans="1:15" ht="15.75">
      <c r="A70" s="321" t="s">
        <v>299</v>
      </c>
      <c r="B70" s="180"/>
      <c r="C70" s="480" t="s">
        <v>285</v>
      </c>
      <c r="D70" s="481"/>
      <c r="E70" s="481"/>
      <c r="F70" s="481"/>
      <c r="G70" s="481"/>
      <c r="H70" s="481"/>
      <c r="I70" s="481"/>
      <c r="J70" s="274">
        <v>0</v>
      </c>
      <c r="K70" s="141">
        <v>1346457</v>
      </c>
      <c r="L70" s="141">
        <v>1346454</v>
      </c>
      <c r="N70" s="258"/>
      <c r="O70" s="179"/>
    </row>
    <row r="71" spans="1:15" ht="15.75">
      <c r="A71" s="321" t="s">
        <v>300</v>
      </c>
      <c r="B71" s="180"/>
      <c r="C71" s="480" t="s">
        <v>286</v>
      </c>
      <c r="D71" s="481"/>
      <c r="E71" s="481"/>
      <c r="F71" s="481"/>
      <c r="G71" s="481"/>
      <c r="H71" s="481"/>
      <c r="I71" s="481"/>
      <c r="J71" s="274">
        <v>0</v>
      </c>
      <c r="K71" s="141">
        <v>98794038</v>
      </c>
      <c r="L71" s="141">
        <v>77714218</v>
      </c>
      <c r="N71" s="179"/>
      <c r="O71" s="179"/>
    </row>
    <row r="72" spans="1:15" ht="15.75">
      <c r="A72" s="321" t="s">
        <v>301</v>
      </c>
      <c r="B72" s="180"/>
      <c r="C72" s="480" t="s">
        <v>287</v>
      </c>
      <c r="D72" s="481"/>
      <c r="E72" s="481"/>
      <c r="F72" s="481"/>
      <c r="G72" s="481"/>
      <c r="H72" s="481"/>
      <c r="I72" s="481"/>
      <c r="J72" s="274">
        <v>0</v>
      </c>
      <c r="K72" s="141">
        <v>60933478</v>
      </c>
      <c r="L72" s="141">
        <v>56217755</v>
      </c>
      <c r="N72" s="258"/>
      <c r="O72" s="258"/>
    </row>
    <row r="73" spans="1:15" ht="15.75">
      <c r="A73" s="321" t="s">
        <v>302</v>
      </c>
      <c r="B73" s="180"/>
      <c r="C73" s="480" t="s">
        <v>376</v>
      </c>
      <c r="D73" s="481"/>
      <c r="E73" s="481"/>
      <c r="F73" s="481"/>
      <c r="G73" s="481"/>
      <c r="H73" s="481"/>
      <c r="I73" s="481"/>
      <c r="J73" s="274">
        <v>0</v>
      </c>
      <c r="K73" s="141">
        <v>495221568</v>
      </c>
      <c r="L73" s="141">
        <v>467346353</v>
      </c>
      <c r="N73" s="179"/>
      <c r="O73" s="179"/>
    </row>
    <row r="74" spans="1:15" ht="15.75">
      <c r="A74" s="321" t="s">
        <v>303</v>
      </c>
      <c r="B74" s="180"/>
      <c r="C74" s="480" t="s">
        <v>377</v>
      </c>
      <c r="D74" s="481"/>
      <c r="E74" s="481"/>
      <c r="F74" s="481"/>
      <c r="G74" s="481"/>
      <c r="H74" s="481"/>
      <c r="I74" s="481"/>
      <c r="J74" s="274">
        <v>0</v>
      </c>
      <c r="K74" s="141">
        <v>133689930</v>
      </c>
      <c r="L74" s="141">
        <v>126183515</v>
      </c>
      <c r="N74" s="179"/>
      <c r="O74" s="179"/>
    </row>
    <row r="75" spans="1:18" ht="22.5" customHeight="1">
      <c r="A75" s="321" t="s">
        <v>304</v>
      </c>
      <c r="B75" s="473" t="s">
        <v>207</v>
      </c>
      <c r="C75" s="474"/>
      <c r="D75" s="474"/>
      <c r="E75" s="474"/>
      <c r="F75" s="474"/>
      <c r="G75" s="474"/>
      <c r="H75" s="474"/>
      <c r="I75" s="474"/>
      <c r="J75" s="326">
        <f>J68+J61+J57+J53+J49+J43</f>
        <v>0</v>
      </c>
      <c r="K75" s="326">
        <f>K68+K61+K57+K53+K49+K43</f>
        <v>1077633732</v>
      </c>
      <c r="L75" s="326">
        <f>L68+L61+L57+L53+L49+L43</f>
        <v>961812341</v>
      </c>
      <c r="M75" s="179">
        <f>J75+J35</f>
        <v>310321999</v>
      </c>
      <c r="N75" s="179">
        <f>K75+K35</f>
        <v>1385686865</v>
      </c>
      <c r="O75" s="179">
        <f>L75+L35</f>
        <v>968784884</v>
      </c>
      <c r="P75" s="179">
        <f>M75-2!AA17</f>
        <v>0</v>
      </c>
      <c r="Q75" s="179">
        <f>N75-2!AB17</f>
        <v>0</v>
      </c>
      <c r="R75" s="179">
        <f>O75-2!AC17</f>
        <v>0</v>
      </c>
    </row>
    <row r="76" spans="1:16" ht="36.75" customHeight="1">
      <c r="A76" s="321" t="s">
        <v>305</v>
      </c>
      <c r="B76" s="125" t="s">
        <v>84</v>
      </c>
      <c r="C76" s="475" t="s">
        <v>114</v>
      </c>
      <c r="D76" s="476"/>
      <c r="E76" s="476"/>
      <c r="F76" s="476"/>
      <c r="G76" s="476"/>
      <c r="H76" s="476"/>
      <c r="I76" s="476"/>
      <c r="J76" s="326">
        <f>SUM(J77:J78)</f>
        <v>0</v>
      </c>
      <c r="K76" s="326">
        <f>SUM(K77:K78)</f>
        <v>0</v>
      </c>
      <c r="L76" s="326">
        <f>SUM(L77:L78)</f>
        <v>3500000</v>
      </c>
      <c r="O76" s="179"/>
      <c r="P76" s="179"/>
    </row>
    <row r="77" spans="1:12" ht="18" customHeight="1">
      <c r="A77" s="321" t="s">
        <v>306</v>
      </c>
      <c r="B77" s="322"/>
      <c r="C77" s="28" t="s">
        <v>23</v>
      </c>
      <c r="D77" s="471" t="s">
        <v>380</v>
      </c>
      <c r="E77" s="472"/>
      <c r="F77" s="472"/>
      <c r="G77" s="472"/>
      <c r="H77" s="472"/>
      <c r="I77" s="472"/>
      <c r="J77" s="141"/>
      <c r="K77" s="141"/>
      <c r="L77" s="141">
        <v>3500000</v>
      </c>
    </row>
    <row r="78" spans="1:12" ht="15.75">
      <c r="A78" s="321" t="s">
        <v>307</v>
      </c>
      <c r="B78" s="180"/>
      <c r="C78" s="470"/>
      <c r="D78" s="470"/>
      <c r="E78" s="470"/>
      <c r="F78" s="470"/>
      <c r="G78" s="470"/>
      <c r="H78" s="470"/>
      <c r="I78" s="470"/>
      <c r="J78" s="274"/>
      <c r="K78" s="141"/>
      <c r="L78" s="141"/>
    </row>
    <row r="79" spans="1:12" ht="24" customHeight="1">
      <c r="A79" s="321" t="s">
        <v>308</v>
      </c>
      <c r="B79" s="175" t="s">
        <v>284</v>
      </c>
      <c r="C79" s="469" t="s">
        <v>291</v>
      </c>
      <c r="D79" s="469"/>
      <c r="E79" s="469"/>
      <c r="F79" s="469"/>
      <c r="G79" s="469"/>
      <c r="H79" s="469"/>
      <c r="I79" s="469"/>
      <c r="J79" s="326">
        <f>J75+J76</f>
        <v>0</v>
      </c>
      <c r="K79" s="326">
        <f>K75+K76</f>
        <v>1077633732</v>
      </c>
      <c r="L79" s="326">
        <f>L75+L76</f>
        <v>965312341</v>
      </c>
    </row>
    <row r="80" spans="1:15" ht="23.25" customHeight="1">
      <c r="A80" s="321" t="s">
        <v>309</v>
      </c>
      <c r="B80" s="182"/>
      <c r="C80" s="468" t="s">
        <v>321</v>
      </c>
      <c r="D80" s="469"/>
      <c r="E80" s="469"/>
      <c r="F80" s="469"/>
      <c r="G80" s="469"/>
      <c r="H80" s="469"/>
      <c r="I80" s="469"/>
      <c r="J80" s="326">
        <f>J79+J41</f>
        <v>349521999</v>
      </c>
      <c r="K80" s="327">
        <f>K41+K79</f>
        <v>1424886865</v>
      </c>
      <c r="L80" s="327">
        <f>L41+L79</f>
        <v>973684884</v>
      </c>
      <c r="M80" s="179"/>
      <c r="N80" s="258"/>
      <c r="O80" s="179"/>
    </row>
    <row r="81" spans="10:15" ht="15.75" hidden="1">
      <c r="J81" s="179"/>
      <c r="K81" s="179"/>
      <c r="L81" s="179"/>
      <c r="M81" s="179"/>
      <c r="N81" s="179"/>
      <c r="O81" s="179"/>
    </row>
    <row r="82" ht="15.75" customHeight="1" hidden="1"/>
    <row r="83" spans="10:12" ht="15.75" customHeight="1" hidden="1">
      <c r="J83" s="179">
        <f>J79+J35</f>
        <v>310321999</v>
      </c>
      <c r="K83" s="179">
        <f>K79+K35</f>
        <v>1385686865</v>
      </c>
      <c r="L83" s="179">
        <f>L79+L35</f>
        <v>972284884</v>
      </c>
    </row>
    <row r="84" spans="10:12" ht="15.75" customHeight="1" hidden="1">
      <c r="J84" s="179">
        <f>2!AA17+2!AD16</f>
        <v>349521999</v>
      </c>
      <c r="K84" s="179">
        <f>2!AB17+2!AE16</f>
        <v>1424886865</v>
      </c>
      <c r="L84" s="179">
        <f>2!AC17+2!AF16</f>
        <v>973684884</v>
      </c>
    </row>
    <row r="85" spans="10:12" ht="15.75" customHeight="1" hidden="1">
      <c r="J85" s="179">
        <f>J80-J84</f>
        <v>0</v>
      </c>
      <c r="K85" s="179">
        <f>K80-K84</f>
        <v>0</v>
      </c>
      <c r="L85" s="179">
        <f>L80-L84</f>
        <v>0</v>
      </c>
    </row>
    <row r="86" ht="15.75" customHeight="1" hidden="1"/>
    <row r="87" ht="15.75" customHeight="1" hidden="1"/>
    <row r="88" ht="15.75" customHeight="1" hidden="1"/>
    <row r="89" spans="11:12" ht="15.75" customHeight="1" hidden="1">
      <c r="K89" s="179">
        <f>K43+K49+K57+K61</f>
        <v>14024147</v>
      </c>
      <c r="L89" s="179">
        <f>L43+L49+L57+L61</f>
        <v>11521460</v>
      </c>
    </row>
    <row r="90" spans="11:12" ht="15.75" customHeight="1" hidden="1">
      <c r="K90" s="179">
        <f>2!AB14+2!AB15</f>
        <v>14024147</v>
      </c>
      <c r="L90" s="179">
        <f>2!AC14+2!AC15</f>
        <v>11521460</v>
      </c>
    </row>
    <row r="91" spans="11:12" ht="15.75" customHeight="1" hidden="1">
      <c r="K91" s="179">
        <f>K90-K89</f>
        <v>0</v>
      </c>
      <c r="L91" s="179">
        <f>L90-L89</f>
        <v>0</v>
      </c>
    </row>
    <row r="92" ht="15.75" customHeight="1" hidden="1"/>
    <row r="93" ht="15.75" customHeight="1" hidden="1"/>
  </sheetData>
  <sheetProtection/>
  <mergeCells count="77">
    <mergeCell ref="D27:I27"/>
    <mergeCell ref="B8:I8"/>
    <mergeCell ref="D22:I22"/>
    <mergeCell ref="D23:I23"/>
    <mergeCell ref="D19:I19"/>
    <mergeCell ref="D25:I25"/>
    <mergeCell ref="D34:I34"/>
    <mergeCell ref="B10:I10"/>
    <mergeCell ref="B35:I35"/>
    <mergeCell ref="D13:I13"/>
    <mergeCell ref="D29:I29"/>
    <mergeCell ref="D21:I21"/>
    <mergeCell ref="D28:I28"/>
    <mergeCell ref="D30:I30"/>
    <mergeCell ref="D31:I31"/>
    <mergeCell ref="D20:I20"/>
    <mergeCell ref="B1:J1"/>
    <mergeCell ref="B3:J3"/>
    <mergeCell ref="B4:J4"/>
    <mergeCell ref="B5:J5"/>
    <mergeCell ref="D15:I15"/>
    <mergeCell ref="C11:I11"/>
    <mergeCell ref="C14:I14"/>
    <mergeCell ref="B9:I9"/>
    <mergeCell ref="D38:I38"/>
    <mergeCell ref="D12:I12"/>
    <mergeCell ref="D26:I26"/>
    <mergeCell ref="D24:I24"/>
    <mergeCell ref="D16:I16"/>
    <mergeCell ref="D17:I17"/>
    <mergeCell ref="D18:I18"/>
    <mergeCell ref="C36:I36"/>
    <mergeCell ref="D37:I37"/>
    <mergeCell ref="D33:I33"/>
    <mergeCell ref="C43:I43"/>
    <mergeCell ref="C44:I44"/>
    <mergeCell ref="C45:I45"/>
    <mergeCell ref="C46:I46"/>
    <mergeCell ref="C47:I47"/>
    <mergeCell ref="D39:I39"/>
    <mergeCell ref="D40:I40"/>
    <mergeCell ref="C48:I48"/>
    <mergeCell ref="C49:I49"/>
    <mergeCell ref="C50:I50"/>
    <mergeCell ref="C51:I51"/>
    <mergeCell ref="C52:I52"/>
    <mergeCell ref="C53:I53"/>
    <mergeCell ref="C67:I67"/>
    <mergeCell ref="C68:I68"/>
    <mergeCell ref="C54:I54"/>
    <mergeCell ref="C55:I55"/>
    <mergeCell ref="C56:I56"/>
    <mergeCell ref="C57:I57"/>
    <mergeCell ref="C58:I58"/>
    <mergeCell ref="C59:I59"/>
    <mergeCell ref="C60:I60"/>
    <mergeCell ref="C61:I61"/>
    <mergeCell ref="C62:I62"/>
    <mergeCell ref="C63:I63"/>
    <mergeCell ref="C64:I64"/>
    <mergeCell ref="C65:I65"/>
    <mergeCell ref="C72:I72"/>
    <mergeCell ref="C79:I79"/>
    <mergeCell ref="C66:I66"/>
    <mergeCell ref="C69:I69"/>
    <mergeCell ref="C70:I70"/>
    <mergeCell ref="C71:I71"/>
    <mergeCell ref="C80:I80"/>
    <mergeCell ref="C78:I78"/>
    <mergeCell ref="D77:I77"/>
    <mergeCell ref="B75:I75"/>
    <mergeCell ref="C32:I32"/>
    <mergeCell ref="C41:I41"/>
    <mergeCell ref="B42:I42"/>
    <mergeCell ref="C73:I73"/>
    <mergeCell ref="C74:I74"/>
    <mergeCell ref="C76:I76"/>
  </mergeCells>
  <printOptions/>
  <pageMargins left="0.5511811023622047" right="0.5511811023622047" top="0.3937007874015748" bottom="0.3937007874015748" header="0.5118110236220472" footer="0.5118110236220472"/>
  <pageSetup fitToHeight="1" fitToWidth="1" horizontalDpi="600" verticalDpi="600" orientation="portrait" paperSize="9" scale="50" r:id="rId1"/>
  <rowBreaks count="1" manualBreakCount="1">
    <brk id="60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1">
      <pane xSplit="4" ySplit="11" topLeftCell="E39" activePane="bottomRight" state="frozen"/>
      <selection pane="topLeft" activeCell="AJ1" sqref="AJ1:AL16384"/>
      <selection pane="topRight" activeCell="AJ1" sqref="AJ1:AL16384"/>
      <selection pane="bottomLeft" activeCell="AJ1" sqref="AJ1:AL16384"/>
      <selection pane="bottomRight" activeCell="B2" sqref="B2:E2"/>
    </sheetView>
  </sheetViews>
  <sheetFormatPr defaultColWidth="8.8515625" defaultRowHeight="12.75"/>
  <cols>
    <col min="1" max="1" width="3.00390625" style="42" customWidth="1"/>
    <col min="2" max="2" width="4.28125" style="42" customWidth="1"/>
    <col min="3" max="3" width="7.140625" style="43" customWidth="1"/>
    <col min="4" max="4" width="72.28125" style="44" customWidth="1"/>
    <col min="5" max="5" width="15.00390625" style="45" customWidth="1"/>
    <col min="6" max="6" width="16.7109375" style="45" customWidth="1"/>
    <col min="7" max="7" width="12.57421875" style="45" customWidth="1"/>
    <col min="8" max="8" width="15.7109375" style="42" hidden="1" customWidth="1"/>
    <col min="9" max="9" width="16.7109375" style="42" hidden="1" customWidth="1"/>
    <col min="10" max="10" width="8.8515625" style="42" hidden="1" customWidth="1"/>
    <col min="11" max="11" width="9.00390625" style="42" hidden="1" customWidth="1"/>
    <col min="12" max="35" width="8.8515625" style="42" customWidth="1"/>
    <col min="36" max="38" width="0" style="42" hidden="1" customWidth="1"/>
    <col min="39" max="16384" width="8.8515625" style="42" customWidth="1"/>
  </cols>
  <sheetData>
    <row r="1" spans="1:7" ht="15.75">
      <c r="A1" s="39"/>
      <c r="B1" s="39"/>
      <c r="C1" s="39"/>
      <c r="D1" s="40"/>
      <c r="E1" s="41"/>
      <c r="F1" s="41"/>
      <c r="G1" s="41"/>
    </row>
    <row r="2" spans="2:7" ht="18.75" customHeight="1">
      <c r="B2" s="495" t="s">
        <v>407</v>
      </c>
      <c r="C2" s="496"/>
      <c r="D2" s="496"/>
      <c r="E2" s="496"/>
      <c r="F2" s="2"/>
      <c r="G2" s="2"/>
    </row>
    <row r="3" spans="2:7" ht="18.75" customHeight="1">
      <c r="B3" s="126"/>
      <c r="C3" s="2"/>
      <c r="D3" s="2"/>
      <c r="E3" s="2"/>
      <c r="F3" s="2"/>
      <c r="G3" s="2"/>
    </row>
    <row r="4" spans="1:7" ht="15.75">
      <c r="A4" s="500"/>
      <c r="C4" s="501" t="s">
        <v>113</v>
      </c>
      <c r="D4" s="501"/>
      <c r="E4" s="501"/>
      <c r="F4" s="58"/>
      <c r="G4" s="58"/>
    </row>
    <row r="5" spans="1:7" ht="24.75" customHeight="1">
      <c r="A5" s="500"/>
      <c r="C5" s="501" t="s">
        <v>393</v>
      </c>
      <c r="D5" s="502"/>
      <c r="E5" s="502"/>
      <c r="F5" s="59"/>
      <c r="G5" s="59"/>
    </row>
    <row r="6" spans="1:7" ht="24.75" customHeight="1">
      <c r="A6" s="500"/>
      <c r="C6" s="501"/>
      <c r="D6" s="502"/>
      <c r="E6" s="502"/>
      <c r="F6" s="59"/>
      <c r="G6" s="59"/>
    </row>
    <row r="7" spans="1:7" ht="24.75" customHeight="1">
      <c r="A7" s="39"/>
      <c r="C7" s="58"/>
      <c r="D7" s="59"/>
      <c r="G7" s="153" t="s">
        <v>236</v>
      </c>
    </row>
    <row r="8" spans="1:7" ht="18.75" customHeight="1">
      <c r="A8" s="60"/>
      <c r="B8" s="60" t="s">
        <v>0</v>
      </c>
      <c r="C8" s="60" t="s">
        <v>1</v>
      </c>
      <c r="D8" s="60" t="s">
        <v>2</v>
      </c>
      <c r="E8" s="61" t="s">
        <v>3</v>
      </c>
      <c r="F8" s="260" t="s">
        <v>4</v>
      </c>
      <c r="G8" s="260"/>
    </row>
    <row r="9" spans="1:7" s="47" customFormat="1" ht="30.75" customHeight="1">
      <c r="A9" s="62" t="s">
        <v>10</v>
      </c>
      <c r="B9" s="497" t="s">
        <v>87</v>
      </c>
      <c r="C9" s="498"/>
      <c r="D9" s="499"/>
      <c r="E9" s="46" t="s">
        <v>88</v>
      </c>
      <c r="F9" s="262" t="s">
        <v>170</v>
      </c>
      <c r="G9" s="262" t="s">
        <v>99</v>
      </c>
    </row>
    <row r="10" spans="1:7" s="47" customFormat="1" ht="21" customHeight="1">
      <c r="A10" s="60" t="s">
        <v>15</v>
      </c>
      <c r="B10" s="497" t="s">
        <v>89</v>
      </c>
      <c r="C10" s="498"/>
      <c r="D10" s="498"/>
      <c r="E10" s="48"/>
      <c r="F10" s="261"/>
      <c r="G10" s="261"/>
    </row>
    <row r="11" spans="1:7" s="47" customFormat="1" ht="18.75" customHeight="1">
      <c r="A11" s="60" t="s">
        <v>22</v>
      </c>
      <c r="B11" s="505" t="s">
        <v>90</v>
      </c>
      <c r="C11" s="506"/>
      <c r="D11" s="506"/>
      <c r="E11" s="48"/>
      <c r="F11" s="48"/>
      <c r="G11" s="48"/>
    </row>
    <row r="12" spans="1:7" ht="18.75" customHeight="1">
      <c r="A12" s="60" t="s">
        <v>23</v>
      </c>
      <c r="B12" s="49"/>
      <c r="C12" s="266" t="s">
        <v>10</v>
      </c>
      <c r="D12" s="267" t="s">
        <v>231</v>
      </c>
      <c r="E12" s="51">
        <v>670000</v>
      </c>
      <c r="F12" s="51">
        <f>670000-290000</f>
        <v>380000</v>
      </c>
      <c r="G12" s="51">
        <v>0</v>
      </c>
    </row>
    <row r="13" spans="1:7" ht="18.75" customHeight="1">
      <c r="A13" s="60" t="s">
        <v>52</v>
      </c>
      <c r="B13" s="49"/>
      <c r="C13" s="265" t="s">
        <v>15</v>
      </c>
      <c r="D13" s="268" t="s">
        <v>208</v>
      </c>
      <c r="E13" s="51">
        <v>1000000</v>
      </c>
      <c r="F13" s="51">
        <f>1000000-572000</f>
        <v>428000</v>
      </c>
      <c r="G13" s="51">
        <v>0</v>
      </c>
    </row>
    <row r="14" spans="1:7" ht="18.75" customHeight="1">
      <c r="A14" s="60" t="s">
        <v>54</v>
      </c>
      <c r="B14" s="49"/>
      <c r="C14" s="265" t="s">
        <v>22</v>
      </c>
      <c r="D14" s="269" t="s">
        <v>209</v>
      </c>
      <c r="E14" s="51">
        <v>1850000</v>
      </c>
      <c r="F14" s="51">
        <f>1850000-38599-300000</f>
        <v>1511401</v>
      </c>
      <c r="G14" s="51">
        <v>0</v>
      </c>
    </row>
    <row r="15" spans="1:7" ht="18.75" customHeight="1">
      <c r="A15" s="60" t="s">
        <v>48</v>
      </c>
      <c r="B15" s="49"/>
      <c r="C15" s="265" t="s">
        <v>23</v>
      </c>
      <c r="D15" s="269" t="s">
        <v>210</v>
      </c>
      <c r="E15" s="51">
        <v>6798568</v>
      </c>
      <c r="F15" s="51">
        <f>6798568-6344500</f>
        <v>454068</v>
      </c>
      <c r="G15" s="51">
        <v>0</v>
      </c>
    </row>
    <row r="16" spans="1:7" ht="18.75" customHeight="1">
      <c r="A16" s="60" t="s">
        <v>24</v>
      </c>
      <c r="B16" s="49"/>
      <c r="C16" s="265" t="s">
        <v>52</v>
      </c>
      <c r="D16" s="269" t="s">
        <v>240</v>
      </c>
      <c r="E16" s="51">
        <v>2402162</v>
      </c>
      <c r="F16" s="51">
        <v>0</v>
      </c>
      <c r="G16" s="51">
        <v>0</v>
      </c>
    </row>
    <row r="17" spans="1:7" ht="18.75" customHeight="1">
      <c r="A17" s="60" t="s">
        <v>26</v>
      </c>
      <c r="B17" s="49"/>
      <c r="C17" s="265" t="s">
        <v>54</v>
      </c>
      <c r="D17" s="269" t="s">
        <v>239</v>
      </c>
      <c r="E17" s="51">
        <v>53383709</v>
      </c>
      <c r="F17" s="51">
        <f>53383709-37680656</f>
        <v>15703053</v>
      </c>
      <c r="G17" s="51">
        <v>0</v>
      </c>
    </row>
    <row r="18" spans="1:7" ht="18.75" customHeight="1">
      <c r="A18" s="60" t="s">
        <v>28</v>
      </c>
      <c r="B18" s="49"/>
      <c r="C18" s="265" t="s">
        <v>48</v>
      </c>
      <c r="D18" s="269" t="s">
        <v>234</v>
      </c>
      <c r="E18" s="51">
        <v>6425000</v>
      </c>
      <c r="F18" s="51">
        <f>6425000-4551</f>
        <v>6420449</v>
      </c>
      <c r="G18" s="51">
        <v>0</v>
      </c>
    </row>
    <row r="19" spans="1:7" ht="18.75" customHeight="1">
      <c r="A19" s="60" t="s">
        <v>31</v>
      </c>
      <c r="B19" s="49"/>
      <c r="C19" s="265" t="s">
        <v>24</v>
      </c>
      <c r="D19" s="269" t="s">
        <v>235</v>
      </c>
      <c r="E19" s="51">
        <v>10000000</v>
      </c>
      <c r="F19" s="51">
        <v>0</v>
      </c>
      <c r="G19" s="51">
        <v>0</v>
      </c>
    </row>
    <row r="20" spans="1:7" ht="18.75" customHeight="1">
      <c r="A20" s="60" t="s">
        <v>49</v>
      </c>
      <c r="B20" s="49"/>
      <c r="C20" s="265" t="s">
        <v>26</v>
      </c>
      <c r="D20" s="269" t="s">
        <v>383</v>
      </c>
      <c r="E20" s="51">
        <v>0</v>
      </c>
      <c r="F20" s="51">
        <f>309782220-617184-5196000-50000-438061-12503480-35333417-8148292-19702634+25699014-58826564-14545955-1982182-20000000</f>
        <v>158137465</v>
      </c>
      <c r="G20" s="51">
        <v>0</v>
      </c>
    </row>
    <row r="21" spans="1:7" ht="18.75" customHeight="1">
      <c r="A21" s="60" t="s">
        <v>33</v>
      </c>
      <c r="B21" s="49"/>
      <c r="C21" s="265" t="s">
        <v>28</v>
      </c>
      <c r="D21" s="269" t="s">
        <v>381</v>
      </c>
      <c r="E21" s="51">
        <v>0</v>
      </c>
      <c r="F21" s="51">
        <v>2384942</v>
      </c>
      <c r="G21" s="51">
        <v>0</v>
      </c>
    </row>
    <row r="22" spans="1:7" ht="18.75" customHeight="1">
      <c r="A22" s="60" t="s">
        <v>35</v>
      </c>
      <c r="B22" s="49"/>
      <c r="C22" s="265" t="s">
        <v>31</v>
      </c>
      <c r="D22" s="269" t="s">
        <v>382</v>
      </c>
      <c r="E22" s="51">
        <v>0</v>
      </c>
      <c r="F22" s="51">
        <v>765000</v>
      </c>
      <c r="G22" s="51">
        <v>0</v>
      </c>
    </row>
    <row r="23" spans="1:7" ht="18.75" customHeight="1">
      <c r="A23" s="60" t="s">
        <v>59</v>
      </c>
      <c r="B23" s="49"/>
      <c r="C23" s="52"/>
      <c r="D23" s="36"/>
      <c r="E23" s="51"/>
      <c r="F23" s="51"/>
      <c r="G23" s="51">
        <v>0</v>
      </c>
    </row>
    <row r="24" spans="1:11" ht="18.75" customHeight="1">
      <c r="A24" s="60" t="s">
        <v>60</v>
      </c>
      <c r="B24" s="507" t="s">
        <v>121</v>
      </c>
      <c r="C24" s="508"/>
      <c r="D24" s="509"/>
      <c r="E24" s="53">
        <f>SUM(E12:E23)</f>
        <v>82529439</v>
      </c>
      <c r="F24" s="53">
        <f>SUM(F12:F23)</f>
        <v>186184378</v>
      </c>
      <c r="G24" s="53">
        <f>SUM(G12:G23)</f>
        <v>0</v>
      </c>
      <c r="H24" s="277">
        <f>2!R17</f>
        <v>82529439</v>
      </c>
      <c r="I24" s="277">
        <f>2!S17</f>
        <v>186184378</v>
      </c>
      <c r="J24" s="277">
        <f>H24-E24</f>
        <v>0</v>
      </c>
      <c r="K24" s="277">
        <f>I24-F24</f>
        <v>0</v>
      </c>
    </row>
    <row r="25" spans="1:7" s="47" customFormat="1" ht="21" customHeight="1">
      <c r="A25" s="60" t="s">
        <v>61</v>
      </c>
      <c r="B25" s="510" t="s">
        <v>91</v>
      </c>
      <c r="C25" s="498"/>
      <c r="D25" s="499"/>
      <c r="E25" s="54"/>
      <c r="F25" s="259"/>
      <c r="G25" s="259"/>
    </row>
    <row r="26" spans="1:7" s="47" customFormat="1" ht="24" customHeight="1">
      <c r="A26" s="60" t="s">
        <v>62</v>
      </c>
      <c r="B26" s="505" t="s">
        <v>90</v>
      </c>
      <c r="C26" s="506"/>
      <c r="D26" s="506"/>
      <c r="E26" s="259"/>
      <c r="F26" s="56"/>
      <c r="G26" s="56"/>
    </row>
    <row r="27" spans="1:7" ht="30.75" customHeight="1">
      <c r="A27" s="60" t="s">
        <v>63</v>
      </c>
      <c r="B27" s="165"/>
      <c r="C27" s="50" t="s">
        <v>10</v>
      </c>
      <c r="D27" s="167" t="s">
        <v>241</v>
      </c>
      <c r="E27" s="51">
        <v>7225665</v>
      </c>
      <c r="F27" s="51">
        <v>0</v>
      </c>
      <c r="G27" s="51">
        <v>0</v>
      </c>
    </row>
    <row r="28" spans="1:7" ht="18.75" customHeight="1">
      <c r="A28" s="60" t="s">
        <v>64</v>
      </c>
      <c r="B28" s="49"/>
      <c r="C28" s="52" t="s">
        <v>15</v>
      </c>
      <c r="D28" s="36" t="s">
        <v>242</v>
      </c>
      <c r="E28" s="51">
        <v>5000000</v>
      </c>
      <c r="F28" s="51">
        <v>5000000</v>
      </c>
      <c r="G28" s="51">
        <v>0</v>
      </c>
    </row>
    <row r="29" spans="1:7" ht="18.75" customHeight="1">
      <c r="A29" s="60" t="s">
        <v>65</v>
      </c>
      <c r="B29" s="49"/>
      <c r="C29" s="52" t="s">
        <v>22</v>
      </c>
      <c r="D29" s="36" t="s">
        <v>243</v>
      </c>
      <c r="E29" s="51">
        <v>29209111</v>
      </c>
      <c r="F29" s="51">
        <v>0</v>
      </c>
      <c r="G29" s="51">
        <v>0</v>
      </c>
    </row>
    <row r="30" spans="1:7" ht="18.75" customHeight="1">
      <c r="A30" s="60" t="s">
        <v>66</v>
      </c>
      <c r="B30" s="49"/>
      <c r="C30" s="52" t="s">
        <v>23</v>
      </c>
      <c r="D30" s="36" t="s">
        <v>244</v>
      </c>
      <c r="E30" s="51">
        <v>5463266</v>
      </c>
      <c r="F30" s="51">
        <v>0</v>
      </c>
      <c r="G30" s="51">
        <v>0</v>
      </c>
    </row>
    <row r="31" spans="1:7" ht="18.75" customHeight="1">
      <c r="A31" s="60" t="s">
        <v>68</v>
      </c>
      <c r="B31" s="49"/>
      <c r="C31" s="52" t="s">
        <v>52</v>
      </c>
      <c r="D31" s="36" t="s">
        <v>245</v>
      </c>
      <c r="E31" s="51">
        <v>490664501</v>
      </c>
      <c r="F31" s="51">
        <f>490664501-3874897</f>
        <v>486789604</v>
      </c>
      <c r="G31" s="51">
        <v>0</v>
      </c>
    </row>
    <row r="32" spans="1:7" ht="18.75" customHeight="1">
      <c r="A32" s="60" t="s">
        <v>71</v>
      </c>
      <c r="B32" s="49"/>
      <c r="C32" s="52" t="s">
        <v>54</v>
      </c>
      <c r="D32" s="36" t="s">
        <v>246</v>
      </c>
      <c r="E32" s="51">
        <v>14959283</v>
      </c>
      <c r="F32" s="51">
        <v>0</v>
      </c>
      <c r="G32" s="51">
        <v>0</v>
      </c>
    </row>
    <row r="33" spans="1:7" ht="18.75" customHeight="1">
      <c r="A33" s="60" t="s">
        <v>73</v>
      </c>
      <c r="B33" s="49"/>
      <c r="C33" s="52" t="s">
        <v>48</v>
      </c>
      <c r="D33" s="36" t="s">
        <v>247</v>
      </c>
      <c r="E33" s="51">
        <v>365339040</v>
      </c>
      <c r="F33" s="51">
        <v>365339040</v>
      </c>
      <c r="G33" s="51">
        <v>0</v>
      </c>
    </row>
    <row r="34" spans="1:7" ht="18.75" customHeight="1">
      <c r="A34" s="60" t="s">
        <v>75</v>
      </c>
      <c r="B34" s="49"/>
      <c r="C34" s="52" t="s">
        <v>24</v>
      </c>
      <c r="D34" s="36" t="s">
        <v>248</v>
      </c>
      <c r="E34" s="51">
        <v>289108508</v>
      </c>
      <c r="F34" s="51">
        <f>289108508-12039600</f>
        <v>277068908</v>
      </c>
      <c r="G34" s="51">
        <v>0</v>
      </c>
    </row>
    <row r="35" spans="1:7" ht="18.75" customHeight="1">
      <c r="A35" s="60" t="s">
        <v>77</v>
      </c>
      <c r="B35" s="49"/>
      <c r="C35" s="52" t="s">
        <v>26</v>
      </c>
      <c r="D35" s="36" t="s">
        <v>249</v>
      </c>
      <c r="E35" s="51">
        <v>204311448</v>
      </c>
      <c r="F35" s="51">
        <f>204311448-99060</f>
        <v>204212388</v>
      </c>
      <c r="G35" s="51">
        <v>0</v>
      </c>
    </row>
    <row r="36" spans="1:7" ht="18.75" customHeight="1">
      <c r="A36" s="60" t="s">
        <v>78</v>
      </c>
      <c r="B36" s="49"/>
      <c r="C36" s="52" t="s">
        <v>28</v>
      </c>
      <c r="D36" s="36" t="s">
        <v>250</v>
      </c>
      <c r="E36" s="51">
        <v>47840900</v>
      </c>
      <c r="F36" s="51">
        <f>47840900-381000</f>
        <v>47459900</v>
      </c>
      <c r="G36" s="51">
        <v>0</v>
      </c>
    </row>
    <row r="37" spans="1:7" ht="18.75" customHeight="1">
      <c r="A37" s="60" t="s">
        <v>79</v>
      </c>
      <c r="B37" s="49"/>
      <c r="C37" s="52" t="s">
        <v>31</v>
      </c>
      <c r="D37" s="36" t="s">
        <v>251</v>
      </c>
      <c r="E37" s="51">
        <v>50727496</v>
      </c>
      <c r="F37" s="51">
        <v>0</v>
      </c>
      <c r="G37" s="51">
        <v>0</v>
      </c>
    </row>
    <row r="38" spans="1:7" ht="18.75" customHeight="1">
      <c r="A38" s="60" t="s">
        <v>80</v>
      </c>
      <c r="B38" s="49"/>
      <c r="C38" s="52" t="s">
        <v>49</v>
      </c>
      <c r="D38" s="36" t="s">
        <v>252</v>
      </c>
      <c r="E38" s="51">
        <v>357939512</v>
      </c>
      <c r="F38" s="51">
        <v>0</v>
      </c>
      <c r="G38" s="51">
        <v>0</v>
      </c>
    </row>
    <row r="39" spans="1:7" ht="18.75" customHeight="1">
      <c r="A39" s="60" t="s">
        <v>86</v>
      </c>
      <c r="B39" s="49"/>
      <c r="C39" s="52" t="s">
        <v>33</v>
      </c>
      <c r="D39" s="36" t="s">
        <v>253</v>
      </c>
      <c r="E39" s="51">
        <v>90506</v>
      </c>
      <c r="F39" s="51">
        <f>90506-84545</f>
        <v>5961</v>
      </c>
      <c r="G39" s="51">
        <v>0</v>
      </c>
    </row>
    <row r="40" spans="1:7" ht="18.75" customHeight="1">
      <c r="A40" s="60" t="s">
        <v>237</v>
      </c>
      <c r="B40" s="49"/>
      <c r="C40" s="52" t="s">
        <v>35</v>
      </c>
      <c r="D40" s="36" t="s">
        <v>254</v>
      </c>
      <c r="E40" s="51">
        <v>269967100</v>
      </c>
      <c r="F40" s="51">
        <f>269967100-59880886</f>
        <v>210086214</v>
      </c>
      <c r="G40" s="51">
        <v>0</v>
      </c>
    </row>
    <row r="41" spans="1:7" ht="18.75" customHeight="1">
      <c r="A41" s="60" t="s">
        <v>115</v>
      </c>
      <c r="B41" s="49"/>
      <c r="C41" s="52" t="s">
        <v>59</v>
      </c>
      <c r="D41" s="36" t="s">
        <v>255</v>
      </c>
      <c r="E41" s="51">
        <v>6395965</v>
      </c>
      <c r="F41" s="51">
        <v>6395965</v>
      </c>
      <c r="G41" s="51">
        <v>0</v>
      </c>
    </row>
    <row r="42" spans="1:7" ht="18.75" customHeight="1">
      <c r="A42" s="60" t="s">
        <v>238</v>
      </c>
      <c r="B42" s="49"/>
      <c r="C42" s="52" t="s">
        <v>60</v>
      </c>
      <c r="D42" s="36" t="s">
        <v>256</v>
      </c>
      <c r="E42" s="51">
        <v>149781735</v>
      </c>
      <c r="F42" s="51">
        <v>0</v>
      </c>
      <c r="G42" s="51">
        <v>0</v>
      </c>
    </row>
    <row r="43" spans="1:7" ht="18.75" customHeight="1">
      <c r="A43" s="60" t="s">
        <v>264</v>
      </c>
      <c r="B43" s="49"/>
      <c r="C43" s="52" t="s">
        <v>61</v>
      </c>
      <c r="D43" s="36" t="s">
        <v>257</v>
      </c>
      <c r="E43" s="51">
        <v>168555563</v>
      </c>
      <c r="F43" s="51">
        <f>168555563-89026462</f>
        <v>79529101</v>
      </c>
      <c r="G43" s="51">
        <v>0</v>
      </c>
    </row>
    <row r="44" spans="1:9" ht="18.75" customHeight="1">
      <c r="A44" s="60" t="s">
        <v>116</v>
      </c>
      <c r="B44" s="49"/>
      <c r="C44" s="52" t="s">
        <v>62</v>
      </c>
      <c r="D44" s="36" t="s">
        <v>258</v>
      </c>
      <c r="E44" s="51">
        <v>27325651</v>
      </c>
      <c r="F44" s="51">
        <f>27325651-18205201</f>
        <v>9120450</v>
      </c>
      <c r="G44" s="51">
        <v>0</v>
      </c>
      <c r="I44" s="155">
        <f>SUM(E27:E44)</f>
        <v>2489905250</v>
      </c>
    </row>
    <row r="45" spans="1:7" ht="18.75" customHeight="1">
      <c r="A45" s="60" t="s">
        <v>117</v>
      </c>
      <c r="B45" s="49"/>
      <c r="C45" s="52" t="s">
        <v>63</v>
      </c>
      <c r="D45" s="36" t="s">
        <v>211</v>
      </c>
      <c r="E45" s="51">
        <v>13970000</v>
      </c>
      <c r="F45" s="51">
        <v>0</v>
      </c>
      <c r="G45" s="51">
        <v>0</v>
      </c>
    </row>
    <row r="46" spans="1:7" ht="18.75" customHeight="1">
      <c r="A46" s="60" t="s">
        <v>118</v>
      </c>
      <c r="B46" s="49"/>
      <c r="C46" s="52" t="s">
        <v>64</v>
      </c>
      <c r="D46" s="36" t="s">
        <v>259</v>
      </c>
      <c r="E46" s="51">
        <v>5000000</v>
      </c>
      <c r="F46" s="51">
        <v>5000000</v>
      </c>
      <c r="G46" s="51">
        <v>0</v>
      </c>
    </row>
    <row r="47" spans="1:7" ht="18.75" customHeight="1">
      <c r="A47" s="60" t="s">
        <v>119</v>
      </c>
      <c r="B47" s="49"/>
      <c r="C47" s="52" t="s">
        <v>65</v>
      </c>
      <c r="D47" s="36" t="s">
        <v>260</v>
      </c>
      <c r="E47" s="51">
        <v>5154549</v>
      </c>
      <c r="F47" s="51">
        <v>0</v>
      </c>
      <c r="G47" s="51">
        <v>0</v>
      </c>
    </row>
    <row r="48" spans="1:7" ht="18.75" customHeight="1">
      <c r="A48" s="60" t="s">
        <v>265</v>
      </c>
      <c r="B48" s="49"/>
      <c r="C48" s="52" t="s">
        <v>66</v>
      </c>
      <c r="D48" s="36" t="s">
        <v>261</v>
      </c>
      <c r="E48" s="51">
        <v>13937000</v>
      </c>
      <c r="F48" s="51">
        <v>13937000</v>
      </c>
      <c r="G48" s="51">
        <v>0</v>
      </c>
    </row>
    <row r="49" spans="1:7" ht="18.75" customHeight="1">
      <c r="A49" s="60" t="s">
        <v>120</v>
      </c>
      <c r="B49" s="49"/>
      <c r="C49" s="52" t="s">
        <v>68</v>
      </c>
      <c r="D49" s="36" t="s">
        <v>262</v>
      </c>
      <c r="E49" s="51">
        <v>15823781</v>
      </c>
      <c r="F49" s="51">
        <f>15823781-12488836</f>
        <v>3334945</v>
      </c>
      <c r="G49" s="51">
        <v>0</v>
      </c>
    </row>
    <row r="50" spans="1:7" ht="18.75" customHeight="1">
      <c r="A50" s="60" t="s">
        <v>266</v>
      </c>
      <c r="B50" s="49"/>
      <c r="C50" s="52" t="s">
        <v>71</v>
      </c>
      <c r="D50" s="36" t="s">
        <v>385</v>
      </c>
      <c r="E50" s="51">
        <v>22383651</v>
      </c>
      <c r="F50" s="51">
        <v>0</v>
      </c>
      <c r="G50" s="51">
        <v>0</v>
      </c>
    </row>
    <row r="51" spans="1:7" ht="18.75" customHeight="1">
      <c r="A51" s="60" t="s">
        <v>270</v>
      </c>
      <c r="B51" s="49"/>
      <c r="C51" s="52" t="s">
        <v>73</v>
      </c>
      <c r="D51" s="36" t="s">
        <v>384</v>
      </c>
      <c r="E51" s="51">
        <v>36111925</v>
      </c>
      <c r="F51" s="51">
        <v>0</v>
      </c>
      <c r="G51" s="51">
        <v>0</v>
      </c>
    </row>
    <row r="52" spans="1:7" ht="18.75" customHeight="1">
      <c r="A52" s="60" t="s">
        <v>271</v>
      </c>
      <c r="B52" s="49"/>
      <c r="C52" s="52" t="s">
        <v>75</v>
      </c>
      <c r="D52" s="36" t="s">
        <v>278</v>
      </c>
      <c r="E52" s="51">
        <v>40691455</v>
      </c>
      <c r="F52" s="51">
        <v>40691455</v>
      </c>
      <c r="G52" s="51">
        <v>0</v>
      </c>
    </row>
    <row r="53" spans="1:7" ht="18.75" customHeight="1">
      <c r="A53" s="60" t="s">
        <v>272</v>
      </c>
      <c r="B53" s="49"/>
      <c r="C53" s="52" t="s">
        <v>77</v>
      </c>
      <c r="D53" s="36" t="s">
        <v>279</v>
      </c>
      <c r="E53" s="51">
        <v>33500000</v>
      </c>
      <c r="F53" s="51">
        <v>33500000</v>
      </c>
      <c r="G53" s="51">
        <v>0</v>
      </c>
    </row>
    <row r="54" spans="1:7" ht="18.75" customHeight="1">
      <c r="A54" s="60" t="s">
        <v>273</v>
      </c>
      <c r="B54" s="49"/>
      <c r="C54" s="52" t="s">
        <v>79</v>
      </c>
      <c r="D54" s="36" t="s">
        <v>263</v>
      </c>
      <c r="E54" s="51">
        <v>38315907</v>
      </c>
      <c r="F54" s="51">
        <v>38315907</v>
      </c>
      <c r="G54" s="51">
        <v>0</v>
      </c>
    </row>
    <row r="55" spans="1:7" ht="18.75" customHeight="1">
      <c r="A55" s="60" t="s">
        <v>274</v>
      </c>
      <c r="B55" s="49"/>
      <c r="C55" s="52" t="s">
        <v>80</v>
      </c>
      <c r="D55" s="36" t="s">
        <v>383</v>
      </c>
      <c r="E55" s="51"/>
      <c r="F55" s="51">
        <v>20000000</v>
      </c>
      <c r="G55" s="51"/>
    </row>
    <row r="56" spans="1:11" s="47" customFormat="1" ht="17.25" customHeight="1">
      <c r="A56" s="60" t="s">
        <v>275</v>
      </c>
      <c r="B56" s="263" t="s">
        <v>83</v>
      </c>
      <c r="C56" s="503" t="s">
        <v>122</v>
      </c>
      <c r="D56" s="504"/>
      <c r="E56" s="259">
        <f>SUM(E27:E54)</f>
        <v>2714793518</v>
      </c>
      <c r="F56" s="259">
        <f>SUM(F27:F55)</f>
        <v>1845786838</v>
      </c>
      <c r="G56" s="259"/>
      <c r="H56" s="278">
        <f>2!AG16</f>
        <v>2714793518</v>
      </c>
      <c r="I56" s="278">
        <f>2!AH16</f>
        <v>1845786838</v>
      </c>
      <c r="J56" s="278">
        <f>H56-E56</f>
        <v>0</v>
      </c>
      <c r="K56" s="278">
        <f>I56-F56</f>
        <v>0</v>
      </c>
    </row>
    <row r="57" spans="1:7" s="47" customFormat="1" ht="21.75" customHeight="1">
      <c r="A57" s="60" t="s">
        <v>271</v>
      </c>
      <c r="B57" s="55" t="s">
        <v>84</v>
      </c>
      <c r="C57" s="503" t="s">
        <v>92</v>
      </c>
      <c r="D57" s="504"/>
      <c r="E57" s="56">
        <f>E24+E56</f>
        <v>2797322957</v>
      </c>
      <c r="F57" s="259">
        <f>F24+F56</f>
        <v>2031971216</v>
      </c>
      <c r="G57" s="259"/>
    </row>
    <row r="58" spans="3:7" ht="18.75" customHeight="1">
      <c r="C58" s="42"/>
      <c r="D58" s="42"/>
      <c r="E58" s="42"/>
      <c r="F58" s="264"/>
      <c r="G58" s="264"/>
    </row>
    <row r="59" spans="3:7" ht="18.75" customHeight="1">
      <c r="C59" s="42"/>
      <c r="D59" s="42"/>
      <c r="E59" s="42"/>
      <c r="F59" s="155"/>
      <c r="G59" s="155"/>
    </row>
    <row r="60" spans="3:7" ht="18.75" customHeight="1">
      <c r="C60" s="42"/>
      <c r="D60" s="42"/>
      <c r="E60" s="42"/>
      <c r="F60" s="42"/>
      <c r="G60" s="42"/>
    </row>
    <row r="61" spans="3:7" ht="18.75" customHeight="1">
      <c r="C61" s="42"/>
      <c r="D61" s="42"/>
      <c r="E61" s="42"/>
      <c r="F61" s="42"/>
      <c r="G61" s="42"/>
    </row>
    <row r="62" spans="3:7" ht="18.75" customHeight="1">
      <c r="C62" s="42"/>
      <c r="D62" s="42"/>
      <c r="E62" s="42"/>
      <c r="F62" s="42"/>
      <c r="G62" s="42"/>
    </row>
    <row r="63" spans="3:7" ht="18.75" customHeight="1">
      <c r="C63" s="42"/>
      <c r="D63" s="42"/>
      <c r="E63" s="42"/>
      <c r="F63" s="42"/>
      <c r="G63" s="42"/>
    </row>
    <row r="64" spans="3:7" ht="18.75" customHeight="1">
      <c r="C64" s="42"/>
      <c r="D64" s="42"/>
      <c r="E64" s="42"/>
      <c r="F64" s="42"/>
      <c r="G64" s="42"/>
    </row>
    <row r="65" spans="3:7" ht="38.25" customHeight="1">
      <c r="C65" s="44"/>
      <c r="D65" s="42"/>
      <c r="E65" s="42"/>
      <c r="F65" s="42"/>
      <c r="G65" s="42"/>
    </row>
    <row r="66" spans="3:7" ht="18.75" customHeight="1">
      <c r="C66" s="42"/>
      <c r="D66" s="42"/>
      <c r="E66" s="42"/>
      <c r="F66" s="42"/>
      <c r="G66" s="42"/>
    </row>
    <row r="67" spans="3:7" ht="18.75" customHeight="1">
      <c r="C67" s="42"/>
      <c r="D67" s="57"/>
      <c r="E67" s="42"/>
      <c r="F67" s="42"/>
      <c r="G67" s="42"/>
    </row>
    <row r="68" spans="3:7" ht="18.75" customHeight="1">
      <c r="C68" s="42"/>
      <c r="D68" s="57"/>
      <c r="E68" s="42"/>
      <c r="F68" s="42"/>
      <c r="G68" s="42"/>
    </row>
    <row r="69" spans="3:7" ht="18.75" customHeight="1">
      <c r="C69" s="42"/>
      <c r="D69" s="42"/>
      <c r="E69" s="42"/>
      <c r="F69" s="42"/>
      <c r="G69" s="42"/>
    </row>
    <row r="70" spans="3:7" ht="18.75" customHeight="1">
      <c r="C70" s="42"/>
      <c r="D70" s="42"/>
      <c r="E70" s="42"/>
      <c r="F70" s="42"/>
      <c r="G70" s="42"/>
    </row>
    <row r="71" spans="3:7" ht="18.75" customHeight="1">
      <c r="C71" s="42"/>
      <c r="D71" s="42"/>
      <c r="E71" s="42"/>
      <c r="F71" s="42"/>
      <c r="G71" s="42"/>
    </row>
    <row r="72" spans="3:7" ht="18.75" customHeight="1">
      <c r="C72" s="42"/>
      <c r="D72" s="42"/>
      <c r="E72" s="42"/>
      <c r="F72" s="42"/>
      <c r="G72" s="42"/>
    </row>
    <row r="73" spans="3:7" ht="18.75" customHeight="1">
      <c r="C73" s="42"/>
      <c r="D73" s="42"/>
      <c r="E73" s="42"/>
      <c r="F73" s="42"/>
      <c r="G73" s="42"/>
    </row>
    <row r="74" spans="3:7" ht="18.75" customHeight="1">
      <c r="C74" s="42"/>
      <c r="D74" s="42"/>
      <c r="E74" s="42"/>
      <c r="F74" s="42"/>
      <c r="G74" s="42"/>
    </row>
    <row r="75" spans="3:7" ht="18.75" customHeight="1">
      <c r="C75" s="42"/>
      <c r="D75" s="42"/>
      <c r="E75" s="42"/>
      <c r="F75" s="42"/>
      <c r="G75" s="42"/>
    </row>
    <row r="76" spans="3:7" ht="18.75" customHeight="1">
      <c r="C76" s="42"/>
      <c r="D76" s="42"/>
      <c r="E76" s="42"/>
      <c r="F76" s="42"/>
      <c r="G76" s="42"/>
    </row>
    <row r="77" spans="3:7" ht="18.75" customHeight="1">
      <c r="C77" s="42"/>
      <c r="D77" s="42"/>
      <c r="E77" s="42"/>
      <c r="F77" s="42"/>
      <c r="G77" s="42"/>
    </row>
    <row r="78" spans="3:7" ht="18.75" customHeight="1">
      <c r="C78" s="42"/>
      <c r="D78" s="42"/>
      <c r="E78" s="42"/>
      <c r="F78" s="42"/>
      <c r="G78" s="42"/>
    </row>
    <row r="79" spans="3:7" ht="18.75" customHeight="1">
      <c r="C79" s="42"/>
      <c r="D79" s="42"/>
      <c r="E79" s="42"/>
      <c r="F79" s="42"/>
      <c r="G79" s="42"/>
    </row>
    <row r="80" spans="3:7" ht="18.75" customHeight="1">
      <c r="C80" s="42"/>
      <c r="D80" s="42"/>
      <c r="E80" s="42"/>
      <c r="F80" s="42"/>
      <c r="G80" s="42"/>
    </row>
    <row r="81" spans="3:7" ht="18.75" customHeight="1">
      <c r="C81" s="42"/>
      <c r="D81" s="42"/>
      <c r="E81" s="42"/>
      <c r="F81" s="42"/>
      <c r="G81" s="42"/>
    </row>
    <row r="82" spans="3:7" ht="18.75" customHeight="1">
      <c r="C82" s="42"/>
      <c r="D82" s="42"/>
      <c r="E82" s="42"/>
      <c r="F82" s="42"/>
      <c r="G82" s="42"/>
    </row>
    <row r="83" spans="3:7" ht="18.75" customHeight="1">
      <c r="C83" s="42"/>
      <c r="D83" s="42"/>
      <c r="E83" s="42"/>
      <c r="F83" s="42"/>
      <c r="G83" s="42"/>
    </row>
    <row r="84" spans="3:7" ht="18.75" customHeight="1">
      <c r="C84" s="42"/>
      <c r="D84" s="42"/>
      <c r="E84" s="42"/>
      <c r="F84" s="42"/>
      <c r="G84" s="42"/>
    </row>
    <row r="85" spans="3:7" ht="18.75" customHeight="1">
      <c r="C85" s="42"/>
      <c r="D85" s="42"/>
      <c r="E85" s="42"/>
      <c r="F85" s="42"/>
      <c r="G85" s="42"/>
    </row>
    <row r="86" spans="3:7" ht="18.75" customHeight="1">
      <c r="C86" s="42"/>
      <c r="D86" s="42"/>
      <c r="E86" s="42"/>
      <c r="F86" s="42"/>
      <c r="G86" s="42"/>
    </row>
    <row r="87" spans="3:7" ht="18.75" customHeight="1">
      <c r="C87" s="42"/>
      <c r="D87" s="42"/>
      <c r="E87" s="42"/>
      <c r="F87" s="42"/>
      <c r="G87" s="42"/>
    </row>
    <row r="88" spans="3:7" ht="18.75" customHeight="1">
      <c r="C88" s="42"/>
      <c r="D88" s="42"/>
      <c r="E88" s="42"/>
      <c r="F88" s="42"/>
      <c r="G88" s="42"/>
    </row>
    <row r="89" spans="3:7" ht="18.75" customHeight="1">
      <c r="C89" s="42"/>
      <c r="D89" s="42"/>
      <c r="E89" s="42"/>
      <c r="F89" s="42"/>
      <c r="G89" s="42"/>
    </row>
    <row r="90" spans="3:7" ht="18.75" customHeight="1">
      <c r="C90" s="42"/>
      <c r="D90" s="42"/>
      <c r="E90" s="42"/>
      <c r="F90" s="42"/>
      <c r="G90" s="42"/>
    </row>
    <row r="91" spans="3:7" ht="18.75" customHeight="1">
      <c r="C91" s="42"/>
      <c r="D91" s="42"/>
      <c r="E91" s="42"/>
      <c r="F91" s="42"/>
      <c r="G91" s="42"/>
    </row>
    <row r="92" spans="3:7" ht="18.75" customHeight="1">
      <c r="C92" s="42"/>
      <c r="D92" s="42"/>
      <c r="E92" s="42"/>
      <c r="F92" s="42"/>
      <c r="G92" s="42"/>
    </row>
    <row r="93" spans="3:7" ht="18.75" customHeight="1">
      <c r="C93" s="42"/>
      <c r="D93" s="42"/>
      <c r="E93" s="42"/>
      <c r="F93" s="42"/>
      <c r="G93" s="42"/>
    </row>
    <row r="94" spans="3:7" ht="18.75" customHeight="1">
      <c r="C94" s="42"/>
      <c r="D94" s="42"/>
      <c r="E94" s="42"/>
      <c r="F94" s="42"/>
      <c r="G94" s="42"/>
    </row>
  </sheetData>
  <sheetProtection/>
  <mergeCells count="13">
    <mergeCell ref="C57:D57"/>
    <mergeCell ref="C56:D56"/>
    <mergeCell ref="B10:D10"/>
    <mergeCell ref="B11:D11"/>
    <mergeCell ref="B24:D24"/>
    <mergeCell ref="B25:D25"/>
    <mergeCell ref="B26:D26"/>
    <mergeCell ref="B2:E2"/>
    <mergeCell ref="B9:D9"/>
    <mergeCell ref="A4:A6"/>
    <mergeCell ref="C4:E4"/>
    <mergeCell ref="C5:E5"/>
    <mergeCell ref="C6:E6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0"/>
  <sheetViews>
    <sheetView zoomScale="120" zoomScaleNormal="120" zoomScalePageLayoutView="0" workbookViewId="0" topLeftCell="A1">
      <selection activeCell="B1" sqref="B1:P1"/>
    </sheetView>
  </sheetViews>
  <sheetFormatPr defaultColWidth="9.140625" defaultRowHeight="12.75"/>
  <cols>
    <col min="1" max="1" width="4.00390625" style="108" customWidth="1"/>
    <col min="2" max="2" width="4.421875" style="108" customWidth="1"/>
    <col min="3" max="3" width="4.7109375" style="112" customWidth="1"/>
    <col min="4" max="4" width="31.8515625" style="108" customWidth="1"/>
    <col min="5" max="5" width="9.57421875" style="108" customWidth="1"/>
    <col min="6" max="6" width="9.00390625" style="108" customWidth="1"/>
    <col min="7" max="7" width="14.7109375" style="108" customWidth="1"/>
    <col min="8" max="8" width="8.7109375" style="108" customWidth="1"/>
    <col min="9" max="9" width="7.8515625" style="108" customWidth="1"/>
    <col min="10" max="10" width="8.7109375" style="108" customWidth="1"/>
    <col min="11" max="11" width="9.28125" style="108" customWidth="1"/>
    <col min="12" max="12" width="9.140625" style="108" customWidth="1"/>
    <col min="13" max="13" width="10.421875" style="108" customWidth="1"/>
    <col min="14" max="14" width="8.28125" style="108" customWidth="1"/>
    <col min="15" max="15" width="12.00390625" style="108" customWidth="1"/>
    <col min="16" max="16" width="11.421875" style="108" customWidth="1"/>
    <col min="17" max="35" width="9.140625" style="108" customWidth="1"/>
    <col min="36" max="38" width="0" style="108" hidden="1" customWidth="1"/>
    <col min="39" max="16384" width="9.140625" style="108" customWidth="1"/>
  </cols>
  <sheetData>
    <row r="1" spans="1:16" ht="23.25" customHeight="1">
      <c r="A1" s="107"/>
      <c r="B1" s="495" t="s">
        <v>406</v>
      </c>
      <c r="C1" s="495"/>
      <c r="D1" s="495"/>
      <c r="E1" s="495"/>
      <c r="F1" s="495"/>
      <c r="G1" s="495"/>
      <c r="H1" s="463"/>
      <c r="I1" s="463"/>
      <c r="J1" s="463"/>
      <c r="K1" s="463"/>
      <c r="L1" s="463"/>
      <c r="M1" s="463"/>
      <c r="N1" s="463"/>
      <c r="O1" s="463"/>
      <c r="P1" s="463"/>
    </row>
    <row r="2" spans="1:16" ht="6" customHeight="1">
      <c r="A2" s="107"/>
      <c r="B2" s="42"/>
      <c r="C2" s="43"/>
      <c r="D2" s="42"/>
      <c r="E2" s="42"/>
      <c r="F2" s="42"/>
      <c r="G2" s="42"/>
      <c r="H2" s="109"/>
      <c r="I2" s="109"/>
      <c r="J2" s="109"/>
      <c r="K2" s="109"/>
      <c r="L2" s="109"/>
      <c r="M2" s="109"/>
      <c r="N2" s="109"/>
      <c r="O2" s="110"/>
      <c r="P2" s="110"/>
    </row>
    <row r="3" ht="6" customHeight="1">
      <c r="A3" s="111"/>
    </row>
    <row r="4" spans="1:16" ht="22.5" customHeight="1">
      <c r="A4" s="111"/>
      <c r="B4" s="523" t="s">
        <v>325</v>
      </c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</row>
    <row r="5" spans="1:17" ht="21.75" customHeight="1">
      <c r="A5" s="111"/>
      <c r="B5" s="523" t="s">
        <v>158</v>
      </c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107"/>
    </row>
    <row r="6" spans="1:17" ht="16.5" customHeight="1">
      <c r="A6" s="113"/>
      <c r="B6" s="114" t="s">
        <v>0</v>
      </c>
      <c r="C6" s="115" t="s">
        <v>1</v>
      </c>
      <c r="D6" s="113" t="s">
        <v>2</v>
      </c>
      <c r="E6" s="113" t="s">
        <v>3</v>
      </c>
      <c r="F6" s="113" t="s">
        <v>4</v>
      </c>
      <c r="G6" s="113" t="s">
        <v>5</v>
      </c>
      <c r="H6" s="113" t="s">
        <v>81</v>
      </c>
      <c r="I6" s="113" t="s">
        <v>6</v>
      </c>
      <c r="J6" s="113" t="s">
        <v>7</v>
      </c>
      <c r="K6" s="113" t="s">
        <v>39</v>
      </c>
      <c r="L6" s="113" t="s">
        <v>8</v>
      </c>
      <c r="M6" s="113" t="s">
        <v>94</v>
      </c>
      <c r="N6" s="113" t="s">
        <v>40</v>
      </c>
      <c r="O6" s="113" t="s">
        <v>9</v>
      </c>
      <c r="P6" s="113" t="s">
        <v>95</v>
      </c>
      <c r="Q6" s="111"/>
    </row>
    <row r="7" spans="1:17" ht="27.75" customHeight="1">
      <c r="A7" s="113" t="s">
        <v>10</v>
      </c>
      <c r="B7" s="524" t="s">
        <v>156</v>
      </c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472"/>
      <c r="P7" s="472"/>
      <c r="Q7" s="107"/>
    </row>
    <row r="8" spans="1:17" ht="15.75" customHeight="1">
      <c r="A8" s="520" t="s">
        <v>15</v>
      </c>
      <c r="B8" s="513" t="s">
        <v>96</v>
      </c>
      <c r="C8" s="515" t="s">
        <v>97</v>
      </c>
      <c r="D8" s="517" t="s">
        <v>11</v>
      </c>
      <c r="E8" s="519" t="s">
        <v>157</v>
      </c>
      <c r="F8" s="519"/>
      <c r="G8" s="519"/>
      <c r="H8" s="519"/>
      <c r="I8" s="519"/>
      <c r="J8" s="519"/>
      <c r="K8" s="519"/>
      <c r="L8" s="519"/>
      <c r="M8" s="519"/>
      <c r="N8" s="519"/>
      <c r="O8" s="519"/>
      <c r="P8" s="519"/>
      <c r="Q8" s="107"/>
    </row>
    <row r="9" spans="1:16" ht="19.5" customHeight="1">
      <c r="A9" s="521"/>
      <c r="B9" s="513"/>
      <c r="C9" s="515"/>
      <c r="D9" s="517"/>
      <c r="E9" s="519" t="s">
        <v>93</v>
      </c>
      <c r="F9" s="519"/>
      <c r="G9" s="519"/>
      <c r="H9" s="519"/>
      <c r="I9" s="519" t="s">
        <v>98</v>
      </c>
      <c r="J9" s="519"/>
      <c r="K9" s="519"/>
      <c r="L9" s="519"/>
      <c r="M9" s="519" t="s">
        <v>99</v>
      </c>
      <c r="N9" s="519"/>
      <c r="O9" s="519"/>
      <c r="P9" s="519"/>
    </row>
    <row r="10" spans="1:16" ht="120.75" customHeight="1">
      <c r="A10" s="522"/>
      <c r="B10" s="514"/>
      <c r="C10" s="516"/>
      <c r="D10" s="518"/>
      <c r="E10" s="97" t="s">
        <v>100</v>
      </c>
      <c r="F10" s="97" t="s">
        <v>101</v>
      </c>
      <c r="G10" s="98" t="s">
        <v>102</v>
      </c>
      <c r="H10" s="97" t="s">
        <v>103</v>
      </c>
      <c r="I10" s="97" t="s">
        <v>100</v>
      </c>
      <c r="J10" s="97" t="s">
        <v>101</v>
      </c>
      <c r="K10" s="98" t="s">
        <v>102</v>
      </c>
      <c r="L10" s="97" t="s">
        <v>103</v>
      </c>
      <c r="M10" s="97" t="s">
        <v>104</v>
      </c>
      <c r="N10" s="97" t="s">
        <v>101</v>
      </c>
      <c r="O10" s="98" t="s">
        <v>102</v>
      </c>
      <c r="P10" s="97" t="s">
        <v>103</v>
      </c>
    </row>
    <row r="11" spans="1:16" ht="30" customHeight="1">
      <c r="A11" s="113" t="s">
        <v>22</v>
      </c>
      <c r="B11" s="99">
        <v>1</v>
      </c>
      <c r="C11" s="100">
        <v>1</v>
      </c>
      <c r="D11" s="119" t="s">
        <v>164</v>
      </c>
      <c r="E11" s="120">
        <v>96</v>
      </c>
      <c r="F11" s="120">
        <v>12</v>
      </c>
      <c r="G11" s="121">
        <f>SUM(E11:F11)</f>
        <v>108</v>
      </c>
      <c r="H11" s="120">
        <v>104</v>
      </c>
      <c r="I11" s="101">
        <v>96</v>
      </c>
      <c r="J11" s="101">
        <v>12</v>
      </c>
      <c r="K11" s="102">
        <f>SUM(I11:J11)</f>
        <v>108</v>
      </c>
      <c r="L11" s="101">
        <v>104</v>
      </c>
      <c r="M11" s="103">
        <v>96</v>
      </c>
      <c r="N11" s="103">
        <v>12</v>
      </c>
      <c r="O11" s="105">
        <f>SUM(M11:N11)</f>
        <v>108</v>
      </c>
      <c r="P11" s="103">
        <v>104</v>
      </c>
    </row>
    <row r="12" spans="1:16" ht="21" customHeight="1">
      <c r="A12" s="113" t="s">
        <v>23</v>
      </c>
      <c r="B12" s="99">
        <v>1</v>
      </c>
      <c r="C12" s="100">
        <v>2</v>
      </c>
      <c r="D12" s="122" t="s">
        <v>105</v>
      </c>
      <c r="E12" s="123">
        <v>17</v>
      </c>
      <c r="F12" s="123">
        <v>0</v>
      </c>
      <c r="G12" s="121">
        <f>SUM(E12:F12)</f>
        <v>17</v>
      </c>
      <c r="H12" s="120">
        <v>17</v>
      </c>
      <c r="I12" s="102">
        <v>17</v>
      </c>
      <c r="J12" s="102">
        <v>0</v>
      </c>
      <c r="K12" s="102">
        <f>SUM(I12:J12)</f>
        <v>17</v>
      </c>
      <c r="L12" s="101">
        <v>17</v>
      </c>
      <c r="M12" s="104">
        <v>17</v>
      </c>
      <c r="N12" s="104">
        <v>0</v>
      </c>
      <c r="O12" s="105">
        <f>SUM(M12:N12)</f>
        <v>17</v>
      </c>
      <c r="P12" s="103">
        <v>17</v>
      </c>
    </row>
    <row r="13" spans="1:16" ht="21.75" customHeight="1">
      <c r="A13" s="113" t="s">
        <v>52</v>
      </c>
      <c r="B13" s="99">
        <v>1</v>
      </c>
      <c r="C13" s="100">
        <v>4</v>
      </c>
      <c r="D13" s="122" t="s">
        <v>29</v>
      </c>
      <c r="E13" s="120">
        <v>7</v>
      </c>
      <c r="F13" s="120">
        <v>1</v>
      </c>
      <c r="G13" s="121">
        <f>SUM(E13:F13)</f>
        <v>8</v>
      </c>
      <c r="H13" s="120">
        <v>8</v>
      </c>
      <c r="I13" s="102">
        <v>7</v>
      </c>
      <c r="J13" s="102">
        <v>1</v>
      </c>
      <c r="K13" s="102">
        <f>SUM(I13:J13)</f>
        <v>8</v>
      </c>
      <c r="L13" s="101">
        <v>8</v>
      </c>
      <c r="M13" s="105">
        <v>7</v>
      </c>
      <c r="N13" s="105">
        <v>1</v>
      </c>
      <c r="O13" s="105">
        <f>SUM(M13:N13)</f>
        <v>8</v>
      </c>
      <c r="P13" s="103">
        <v>8</v>
      </c>
    </row>
    <row r="14" spans="1:16" ht="21.75" customHeight="1">
      <c r="A14" s="113" t="s">
        <v>54</v>
      </c>
      <c r="B14" s="99">
        <v>1</v>
      </c>
      <c r="C14" s="100">
        <v>3</v>
      </c>
      <c r="D14" s="122" t="s">
        <v>27</v>
      </c>
      <c r="E14" s="120">
        <v>2</v>
      </c>
      <c r="F14" s="120">
        <v>5</v>
      </c>
      <c r="G14" s="121">
        <f>SUM(E14:F14)</f>
        <v>7</v>
      </c>
      <c r="H14" s="120">
        <v>5</v>
      </c>
      <c r="I14" s="102">
        <v>2</v>
      </c>
      <c r="J14" s="102">
        <v>5</v>
      </c>
      <c r="K14" s="102">
        <f>SUM(I14:J14)</f>
        <v>7</v>
      </c>
      <c r="L14" s="102">
        <v>5</v>
      </c>
      <c r="M14" s="105">
        <v>2</v>
      </c>
      <c r="N14" s="105">
        <v>5</v>
      </c>
      <c r="O14" s="105">
        <f>SUM(M14:N14)</f>
        <v>7</v>
      </c>
      <c r="P14" s="103">
        <v>5</v>
      </c>
    </row>
    <row r="15" spans="1:16" ht="20.25" customHeight="1">
      <c r="A15" s="113" t="s">
        <v>24</v>
      </c>
      <c r="B15" s="63">
        <v>1</v>
      </c>
      <c r="C15" s="106"/>
      <c r="D15" s="124" t="s">
        <v>106</v>
      </c>
      <c r="E15" s="121">
        <f>SUM(E11:E14)</f>
        <v>122</v>
      </c>
      <c r="F15" s="121">
        <f>SUM(F11:F14)</f>
        <v>18</v>
      </c>
      <c r="G15" s="121">
        <f>SUM(G11:G14)</f>
        <v>140</v>
      </c>
      <c r="H15" s="121">
        <f>SUM(H11:H14)</f>
        <v>134</v>
      </c>
      <c r="I15" s="121">
        <f aca="true" t="shared" si="0" ref="I15:P15">SUM(I11:I14)</f>
        <v>122</v>
      </c>
      <c r="J15" s="121">
        <f t="shared" si="0"/>
        <v>18</v>
      </c>
      <c r="K15" s="121">
        <f t="shared" si="0"/>
        <v>140</v>
      </c>
      <c r="L15" s="121">
        <f t="shared" si="0"/>
        <v>134</v>
      </c>
      <c r="M15" s="121">
        <f t="shared" si="0"/>
        <v>122</v>
      </c>
      <c r="N15" s="121">
        <f t="shared" si="0"/>
        <v>18</v>
      </c>
      <c r="O15" s="121">
        <f t="shared" si="0"/>
        <v>140</v>
      </c>
      <c r="P15" s="121">
        <f t="shared" si="0"/>
        <v>134</v>
      </c>
    </row>
    <row r="16" spans="1:16" ht="23.25" customHeight="1">
      <c r="A16" s="113" t="s">
        <v>26</v>
      </c>
      <c r="B16" s="99">
        <v>1</v>
      </c>
      <c r="C16" s="100">
        <v>7</v>
      </c>
      <c r="D16" s="122" t="s">
        <v>32</v>
      </c>
      <c r="E16" s="120">
        <v>72</v>
      </c>
      <c r="F16" s="120">
        <v>0</v>
      </c>
      <c r="G16" s="121">
        <f>SUM(E16:F16)</f>
        <v>72</v>
      </c>
      <c r="H16" s="120">
        <v>72</v>
      </c>
      <c r="I16" s="102">
        <v>72</v>
      </c>
      <c r="J16" s="102"/>
      <c r="K16" s="102">
        <f>SUM(I16:J16)</f>
        <v>72</v>
      </c>
      <c r="L16" s="101">
        <v>72</v>
      </c>
      <c r="M16" s="105">
        <v>68</v>
      </c>
      <c r="N16" s="105">
        <v>0</v>
      </c>
      <c r="O16" s="105">
        <f>SUM(M16:N16)</f>
        <v>68</v>
      </c>
      <c r="P16" s="103">
        <v>68</v>
      </c>
    </row>
    <row r="17" spans="1:16" ht="24" customHeight="1">
      <c r="A17" s="113" t="s">
        <v>28</v>
      </c>
      <c r="B17" s="100">
        <v>2</v>
      </c>
      <c r="C17" s="100"/>
      <c r="D17" s="122" t="s">
        <v>107</v>
      </c>
      <c r="E17" s="120">
        <v>9</v>
      </c>
      <c r="F17" s="120">
        <v>0</v>
      </c>
      <c r="G17" s="121">
        <f>SUM(E17:F17)</f>
        <v>9</v>
      </c>
      <c r="H17" s="120">
        <v>9</v>
      </c>
      <c r="I17" s="102">
        <v>9</v>
      </c>
      <c r="J17" s="102">
        <v>0</v>
      </c>
      <c r="K17" s="102">
        <f>SUM(I17:J17)</f>
        <v>9</v>
      </c>
      <c r="L17" s="101">
        <v>9</v>
      </c>
      <c r="M17" s="105">
        <v>9</v>
      </c>
      <c r="N17" s="105">
        <v>0</v>
      </c>
      <c r="O17" s="105">
        <f>SUM(M17:N17)</f>
        <v>9</v>
      </c>
      <c r="P17" s="101">
        <v>9</v>
      </c>
    </row>
    <row r="18" spans="1:16" ht="27" customHeight="1">
      <c r="A18" s="113" t="s">
        <v>31</v>
      </c>
      <c r="B18" s="100"/>
      <c r="C18" s="100"/>
      <c r="D18" s="124" t="s">
        <v>267</v>
      </c>
      <c r="E18" s="121">
        <f>SUM(E15:E17)</f>
        <v>203</v>
      </c>
      <c r="F18" s="121">
        <f>SUM(F15:F17)</f>
        <v>18</v>
      </c>
      <c r="G18" s="121">
        <f>SUM(G15:G17)</f>
        <v>221</v>
      </c>
      <c r="H18" s="121">
        <f aca="true" t="shared" si="1" ref="H18:P18">SUM(H15:H17)</f>
        <v>215</v>
      </c>
      <c r="I18" s="121">
        <f t="shared" si="1"/>
        <v>203</v>
      </c>
      <c r="J18" s="121">
        <f t="shared" si="1"/>
        <v>18</v>
      </c>
      <c r="K18" s="121">
        <f t="shared" si="1"/>
        <v>221</v>
      </c>
      <c r="L18" s="121">
        <f t="shared" si="1"/>
        <v>215</v>
      </c>
      <c r="M18" s="121">
        <f t="shared" si="1"/>
        <v>199</v>
      </c>
      <c r="N18" s="121">
        <f t="shared" si="1"/>
        <v>18</v>
      </c>
      <c r="O18" s="121">
        <f t="shared" si="1"/>
        <v>217</v>
      </c>
      <c r="P18" s="121">
        <f t="shared" si="1"/>
        <v>211</v>
      </c>
    </row>
    <row r="19" spans="1:16" ht="26.25" customHeight="1">
      <c r="A19" s="113" t="s">
        <v>49</v>
      </c>
      <c r="B19" s="511" t="s">
        <v>108</v>
      </c>
      <c r="C19" s="512"/>
      <c r="D19" s="512"/>
      <c r="E19" s="512"/>
      <c r="F19" s="512"/>
      <c r="G19" s="512"/>
      <c r="H19" s="512"/>
      <c r="I19" s="512"/>
      <c r="J19" s="512"/>
      <c r="K19" s="512"/>
      <c r="L19" s="512"/>
      <c r="M19" s="512"/>
      <c r="N19" s="512"/>
      <c r="O19" s="512"/>
      <c r="P19" s="512"/>
    </row>
    <row r="20" spans="1:16" s="173" customFormat="1" ht="15.75">
      <c r="A20" s="113" t="s">
        <v>33</v>
      </c>
      <c r="B20" s="170" t="s">
        <v>54</v>
      </c>
      <c r="C20" s="170"/>
      <c r="D20" s="171" t="s">
        <v>34</v>
      </c>
      <c r="E20" s="171">
        <v>150</v>
      </c>
      <c r="F20" s="171"/>
      <c r="G20" s="172">
        <f>SUM(E20:F20)</f>
        <v>150</v>
      </c>
      <c r="H20" s="171">
        <v>150</v>
      </c>
      <c r="I20" s="171">
        <v>150</v>
      </c>
      <c r="J20" s="171"/>
      <c r="K20" s="172">
        <f>SUM(I20:J20)</f>
        <v>150</v>
      </c>
      <c r="L20" s="171">
        <v>150</v>
      </c>
      <c r="M20" s="171">
        <v>135</v>
      </c>
      <c r="N20" s="171"/>
      <c r="O20" s="172">
        <f>SUM(M20:N20)</f>
        <v>135</v>
      </c>
      <c r="P20" s="171">
        <v>135</v>
      </c>
    </row>
    <row r="23" ht="16.5" customHeight="1"/>
    <row r="24" ht="15" customHeight="1"/>
  </sheetData>
  <sheetProtection/>
  <mergeCells count="13">
    <mergeCell ref="A8:A10"/>
    <mergeCell ref="B1:P1"/>
    <mergeCell ref="B4:P4"/>
    <mergeCell ref="B5:P5"/>
    <mergeCell ref="B7:P7"/>
    <mergeCell ref="B19:P19"/>
    <mergeCell ref="B8:B10"/>
    <mergeCell ref="C8:C10"/>
    <mergeCell ref="D8:D10"/>
    <mergeCell ref="E8:P8"/>
    <mergeCell ref="E9:H9"/>
    <mergeCell ref="I9:L9"/>
    <mergeCell ref="M9:P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9"/>
  <sheetViews>
    <sheetView zoomScalePageLayoutView="0" workbookViewId="0" topLeftCell="A1">
      <pane xSplit="2" ySplit="10" topLeftCell="K11" activePane="bottomRight" state="frozen"/>
      <selection pane="topLeft" activeCell="AJ1" sqref="AJ1:AL16384"/>
      <selection pane="topRight" activeCell="AJ1" sqref="AJ1:AL16384"/>
      <selection pane="bottomLeft" activeCell="AJ1" sqref="AJ1:AL16384"/>
      <selection pane="bottomRight" activeCell="O3" sqref="O3:Z3"/>
    </sheetView>
  </sheetViews>
  <sheetFormatPr defaultColWidth="9.140625" defaultRowHeight="12.75"/>
  <cols>
    <col min="1" max="1" width="4.00390625" style="283" customWidth="1"/>
    <col min="2" max="2" width="22.7109375" style="283" customWidth="1"/>
    <col min="3" max="3" width="12.28125" style="283" customWidth="1"/>
    <col min="4" max="4" width="12.7109375" style="283" customWidth="1"/>
    <col min="5" max="5" width="10.57421875" style="283" customWidth="1"/>
    <col min="6" max="8" width="13.8515625" style="283" customWidth="1"/>
    <col min="9" max="9" width="15.140625" style="283" customWidth="1"/>
    <col min="10" max="10" width="15.7109375" style="283" customWidth="1"/>
    <col min="11" max="11" width="14.8515625" style="283" customWidth="1"/>
    <col min="12" max="13" width="16.8515625" style="283" customWidth="1"/>
    <col min="14" max="14" width="15.421875" style="283" customWidth="1"/>
    <col min="15" max="15" width="13.57421875" style="283" customWidth="1"/>
    <col min="16" max="16" width="13.7109375" style="283" customWidth="1"/>
    <col min="17" max="17" width="12.57421875" style="283" customWidth="1"/>
    <col min="18" max="18" width="14.28125" style="283" bestFit="1" customWidth="1"/>
    <col min="19" max="20" width="14.28125" style="283" customWidth="1"/>
    <col min="21" max="21" width="14.28125" style="283" bestFit="1" customWidth="1"/>
    <col min="22" max="25" width="14.28125" style="283" customWidth="1"/>
    <col min="26" max="26" width="14.28125" style="283" bestFit="1" customWidth="1"/>
    <col min="27" max="27" width="11.7109375" style="286" hidden="1" customWidth="1"/>
    <col min="28" max="28" width="13.8515625" style="286" hidden="1" customWidth="1"/>
    <col min="29" max="29" width="13.57421875" style="286" hidden="1" customWidth="1"/>
    <col min="30" max="30" width="11.7109375" style="286" hidden="1" customWidth="1"/>
    <col min="31" max="32" width="14.57421875" style="286" hidden="1" customWidth="1"/>
    <col min="33" max="35" width="9.140625" style="283" customWidth="1"/>
    <col min="36" max="38" width="0" style="283" hidden="1" customWidth="1"/>
    <col min="39" max="16384" width="9.140625" style="283" customWidth="1"/>
  </cols>
  <sheetData>
    <row r="1" spans="1:26" ht="23.25" customHeight="1">
      <c r="A1" s="282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5" t="s">
        <v>403</v>
      </c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5" t="s">
        <v>403</v>
      </c>
    </row>
    <row r="2" spans="1:26" ht="21.75" customHeight="1">
      <c r="A2" s="282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8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8"/>
    </row>
    <row r="3" spans="2:32" s="289" customFormat="1" ht="42" customHeight="1">
      <c r="B3" s="290"/>
      <c r="C3" s="526" t="s">
        <v>268</v>
      </c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 t="s">
        <v>268</v>
      </c>
      <c r="P3" s="526"/>
      <c r="Q3" s="526"/>
      <c r="R3" s="526"/>
      <c r="S3" s="526"/>
      <c r="T3" s="526"/>
      <c r="U3" s="526"/>
      <c r="V3" s="526"/>
      <c r="W3" s="526"/>
      <c r="X3" s="526"/>
      <c r="Y3" s="526"/>
      <c r="Z3" s="526"/>
      <c r="AA3" s="291"/>
      <c r="AB3" s="291"/>
      <c r="AC3" s="291"/>
      <c r="AD3" s="291"/>
      <c r="AE3" s="291"/>
      <c r="AF3" s="291"/>
    </row>
    <row r="4" spans="1:26" ht="15" customHeight="1">
      <c r="A4" s="292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</row>
    <row r="5" spans="1:27" ht="21.75" customHeight="1">
      <c r="A5" s="292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4" t="s">
        <v>236</v>
      </c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4" t="s">
        <v>236</v>
      </c>
      <c r="AA5" s="295"/>
    </row>
    <row r="6" spans="1:27" ht="16.5" customHeight="1">
      <c r="A6" s="296"/>
      <c r="B6" s="297" t="s">
        <v>0</v>
      </c>
      <c r="C6" s="297" t="s">
        <v>1</v>
      </c>
      <c r="D6" s="297" t="s">
        <v>2</v>
      </c>
      <c r="E6" s="297" t="s">
        <v>3</v>
      </c>
      <c r="F6" s="297" t="s">
        <v>336</v>
      </c>
      <c r="G6" s="297" t="s">
        <v>5</v>
      </c>
      <c r="H6" s="297" t="s">
        <v>81</v>
      </c>
      <c r="I6" s="297" t="s">
        <v>6</v>
      </c>
      <c r="J6" s="297" t="s">
        <v>7</v>
      </c>
      <c r="K6" s="297" t="s">
        <v>39</v>
      </c>
      <c r="L6" s="297" t="s">
        <v>8</v>
      </c>
      <c r="M6" s="297" t="s">
        <v>94</v>
      </c>
      <c r="N6" s="297" t="s">
        <v>40</v>
      </c>
      <c r="O6" s="297" t="s">
        <v>1</v>
      </c>
      <c r="P6" s="297" t="s">
        <v>2</v>
      </c>
      <c r="Q6" s="297" t="s">
        <v>3</v>
      </c>
      <c r="R6" s="297" t="s">
        <v>336</v>
      </c>
      <c r="S6" s="297" t="s">
        <v>5</v>
      </c>
      <c r="T6" s="297" t="s">
        <v>81</v>
      </c>
      <c r="U6" s="297" t="s">
        <v>6</v>
      </c>
      <c r="V6" s="297" t="s">
        <v>7</v>
      </c>
      <c r="W6" s="297" t="s">
        <v>39</v>
      </c>
      <c r="X6" s="297" t="s">
        <v>8</v>
      </c>
      <c r="Y6" s="297" t="s">
        <v>94</v>
      </c>
      <c r="Z6" s="297" t="s">
        <v>40</v>
      </c>
      <c r="AA6" s="298"/>
    </row>
    <row r="7" spans="1:26" ht="15.75" customHeight="1">
      <c r="A7" s="539" t="s">
        <v>10</v>
      </c>
      <c r="B7" s="537" t="s">
        <v>11</v>
      </c>
      <c r="C7" s="531" t="s">
        <v>212</v>
      </c>
      <c r="D7" s="532"/>
      <c r="E7" s="532"/>
      <c r="F7" s="532"/>
      <c r="G7" s="532"/>
      <c r="H7" s="532"/>
      <c r="I7" s="532"/>
      <c r="J7" s="532"/>
      <c r="K7" s="532"/>
      <c r="L7" s="532"/>
      <c r="M7" s="532"/>
      <c r="N7" s="533"/>
      <c r="O7" s="531" t="s">
        <v>213</v>
      </c>
      <c r="P7" s="532"/>
      <c r="Q7" s="532"/>
      <c r="R7" s="532"/>
      <c r="S7" s="532"/>
      <c r="T7" s="532"/>
      <c r="U7" s="532"/>
      <c r="V7" s="532"/>
      <c r="W7" s="532"/>
      <c r="X7" s="532"/>
      <c r="Y7" s="532"/>
      <c r="Z7" s="533"/>
    </row>
    <row r="8" spans="1:26" ht="19.5" customHeight="1">
      <c r="A8" s="539"/>
      <c r="B8" s="537"/>
      <c r="C8" s="534"/>
      <c r="D8" s="535"/>
      <c r="E8" s="535"/>
      <c r="F8" s="535"/>
      <c r="G8" s="535"/>
      <c r="H8" s="535"/>
      <c r="I8" s="535"/>
      <c r="J8" s="535"/>
      <c r="K8" s="535"/>
      <c r="L8" s="535"/>
      <c r="M8" s="535"/>
      <c r="N8" s="536"/>
      <c r="O8" s="534"/>
      <c r="P8" s="535"/>
      <c r="Q8" s="535"/>
      <c r="R8" s="535"/>
      <c r="S8" s="535"/>
      <c r="T8" s="535"/>
      <c r="U8" s="535"/>
      <c r="V8" s="535"/>
      <c r="W8" s="535"/>
      <c r="X8" s="535"/>
      <c r="Y8" s="535"/>
      <c r="Z8" s="536"/>
    </row>
    <row r="9" spans="1:32" ht="51.75" customHeight="1">
      <c r="A9" s="540"/>
      <c r="B9" s="538"/>
      <c r="C9" s="527" t="s">
        <v>123</v>
      </c>
      <c r="D9" s="528"/>
      <c r="E9" s="529"/>
      <c r="F9" s="527" t="s">
        <v>124</v>
      </c>
      <c r="G9" s="528"/>
      <c r="H9" s="529"/>
      <c r="I9" s="527" t="s">
        <v>125</v>
      </c>
      <c r="J9" s="528"/>
      <c r="K9" s="529"/>
      <c r="L9" s="527" t="s">
        <v>102</v>
      </c>
      <c r="M9" s="528"/>
      <c r="N9" s="529"/>
      <c r="O9" s="527" t="s">
        <v>123</v>
      </c>
      <c r="P9" s="528"/>
      <c r="Q9" s="529"/>
      <c r="R9" s="527" t="s">
        <v>124</v>
      </c>
      <c r="S9" s="528"/>
      <c r="T9" s="529"/>
      <c r="U9" s="527" t="s">
        <v>125</v>
      </c>
      <c r="V9" s="528"/>
      <c r="W9" s="529"/>
      <c r="X9" s="527" t="s">
        <v>102</v>
      </c>
      <c r="Y9" s="528"/>
      <c r="Z9" s="529"/>
      <c r="AA9" s="530" t="s">
        <v>388</v>
      </c>
      <c r="AB9" s="525"/>
      <c r="AC9" s="525"/>
      <c r="AD9" s="525" t="s">
        <v>392</v>
      </c>
      <c r="AE9" s="525"/>
      <c r="AF9" s="525"/>
    </row>
    <row r="10" spans="1:32" ht="32.25" customHeight="1">
      <c r="A10" s="299">
        <v>2</v>
      </c>
      <c r="B10" s="300"/>
      <c r="C10" s="184" t="s">
        <v>153</v>
      </c>
      <c r="D10" s="184" t="s">
        <v>329</v>
      </c>
      <c r="E10" s="184" t="s">
        <v>99</v>
      </c>
      <c r="F10" s="197" t="s">
        <v>153</v>
      </c>
      <c r="G10" s="184" t="s">
        <v>329</v>
      </c>
      <c r="H10" s="184" t="s">
        <v>99</v>
      </c>
      <c r="I10" s="197" t="s">
        <v>153</v>
      </c>
      <c r="J10" s="184" t="s">
        <v>329</v>
      </c>
      <c r="K10" s="184" t="s">
        <v>99</v>
      </c>
      <c r="L10" s="197" t="s">
        <v>153</v>
      </c>
      <c r="M10" s="184" t="s">
        <v>329</v>
      </c>
      <c r="N10" s="184" t="s">
        <v>99</v>
      </c>
      <c r="O10" s="197" t="s">
        <v>153</v>
      </c>
      <c r="P10" s="184" t="s">
        <v>329</v>
      </c>
      <c r="Q10" s="184" t="s">
        <v>99</v>
      </c>
      <c r="R10" s="197" t="s">
        <v>153</v>
      </c>
      <c r="S10" s="184" t="s">
        <v>329</v>
      </c>
      <c r="T10" s="184" t="s">
        <v>99</v>
      </c>
      <c r="U10" s="197" t="s">
        <v>153</v>
      </c>
      <c r="V10" s="184" t="s">
        <v>329</v>
      </c>
      <c r="W10" s="184" t="s">
        <v>99</v>
      </c>
      <c r="X10" s="197" t="s">
        <v>153</v>
      </c>
      <c r="Y10" s="184" t="s">
        <v>329</v>
      </c>
      <c r="Z10" s="184" t="s">
        <v>99</v>
      </c>
      <c r="AA10" s="280" t="s">
        <v>153</v>
      </c>
      <c r="AB10" s="281" t="s">
        <v>329</v>
      </c>
      <c r="AC10" s="281" t="s">
        <v>99</v>
      </c>
      <c r="AD10" s="280" t="s">
        <v>153</v>
      </c>
      <c r="AE10" s="281" t="s">
        <v>329</v>
      </c>
      <c r="AF10" s="281" t="s">
        <v>99</v>
      </c>
    </row>
    <row r="11" spans="1:32" ht="31.5" customHeight="1">
      <c r="A11" s="297">
        <v>3</v>
      </c>
      <c r="B11" s="301" t="s">
        <v>164</v>
      </c>
      <c r="C11" s="307"/>
      <c r="D11" s="302"/>
      <c r="E11" s="302"/>
      <c r="F11" s="302"/>
      <c r="G11" s="302"/>
      <c r="H11" s="302"/>
      <c r="I11" s="303">
        <f>1!AM10</f>
        <v>604066469</v>
      </c>
      <c r="J11" s="303">
        <f>1!AN10</f>
        <v>719220904</v>
      </c>
      <c r="K11" s="303">
        <f>1!AO10</f>
        <v>418621660</v>
      </c>
      <c r="L11" s="303">
        <f aca="true" t="shared" si="0" ref="L11:N14">F11+I11</f>
        <v>604066469</v>
      </c>
      <c r="M11" s="303">
        <f t="shared" si="0"/>
        <v>719220904</v>
      </c>
      <c r="N11" s="303">
        <f t="shared" si="0"/>
        <v>418621660</v>
      </c>
      <c r="O11" s="302"/>
      <c r="P11" s="302"/>
      <c r="Q11" s="302"/>
      <c r="R11" s="303">
        <v>0</v>
      </c>
      <c r="S11" s="303"/>
      <c r="T11" s="303"/>
      <c r="U11" s="303">
        <v>604066469</v>
      </c>
      <c r="V11" s="303">
        <f>2!AN10</f>
        <v>719220904</v>
      </c>
      <c r="W11" s="303">
        <f>2!AO10</f>
        <v>338959953</v>
      </c>
      <c r="X11" s="303">
        <f aca="true" t="shared" si="1" ref="X11:Z14">O11+R11+U11</f>
        <v>604066469</v>
      </c>
      <c r="Y11" s="303">
        <f t="shared" si="1"/>
        <v>719220904</v>
      </c>
      <c r="Z11" s="303">
        <f t="shared" si="1"/>
        <v>338959953</v>
      </c>
      <c r="AA11" s="304">
        <f>L11-1!AM10</f>
        <v>0</v>
      </c>
      <c r="AB11" s="304">
        <f>M11-1!AN10</f>
        <v>0</v>
      </c>
      <c r="AC11" s="304">
        <f>N11-1!AO10</f>
        <v>0</v>
      </c>
      <c r="AD11" s="304">
        <f>X11-2!AM10</f>
        <v>0</v>
      </c>
      <c r="AE11" s="304">
        <f>Y11-2!AN10</f>
        <v>0</v>
      </c>
      <c r="AF11" s="304">
        <f>Z11-2!AO10</f>
        <v>0</v>
      </c>
    </row>
    <row r="12" spans="1:32" ht="21" customHeight="1">
      <c r="A12" s="297">
        <v>4</v>
      </c>
      <c r="B12" s="305" t="s">
        <v>105</v>
      </c>
      <c r="C12" s="306"/>
      <c r="D12" s="306"/>
      <c r="E12" s="306"/>
      <c r="F12" s="306">
        <v>61259350</v>
      </c>
      <c r="G12" s="306">
        <v>83404777</v>
      </c>
      <c r="H12" s="306">
        <v>55882676</v>
      </c>
      <c r="I12" s="307">
        <v>51518280</v>
      </c>
      <c r="J12" s="307">
        <v>86593271</v>
      </c>
      <c r="K12" s="307">
        <v>63598878</v>
      </c>
      <c r="L12" s="303">
        <f t="shared" si="0"/>
        <v>112777630</v>
      </c>
      <c r="M12" s="303">
        <f t="shared" si="0"/>
        <v>169998048</v>
      </c>
      <c r="N12" s="303">
        <f t="shared" si="0"/>
        <v>119481554</v>
      </c>
      <c r="O12" s="306">
        <v>0</v>
      </c>
      <c r="P12" s="306"/>
      <c r="Q12" s="306"/>
      <c r="R12" s="306">
        <v>63652850</v>
      </c>
      <c r="S12" s="306">
        <v>101199584</v>
      </c>
      <c r="T12" s="306">
        <v>48987620</v>
      </c>
      <c r="U12" s="307">
        <v>49124780</v>
      </c>
      <c r="V12" s="307">
        <v>68798464</v>
      </c>
      <c r="W12" s="307">
        <v>36443993</v>
      </c>
      <c r="X12" s="303">
        <f t="shared" si="1"/>
        <v>112777630</v>
      </c>
      <c r="Y12" s="303">
        <f t="shared" si="1"/>
        <v>169998048</v>
      </c>
      <c r="Z12" s="303">
        <f t="shared" si="1"/>
        <v>85431613</v>
      </c>
      <c r="AA12" s="304">
        <f>L12-1!AM11</f>
        <v>0</v>
      </c>
      <c r="AB12" s="304">
        <f>M12-1!AN11</f>
        <v>0</v>
      </c>
      <c r="AC12" s="304">
        <f>N12-1!AO11</f>
        <v>0</v>
      </c>
      <c r="AD12" s="304">
        <f>X12-2!AM11</f>
        <v>0</v>
      </c>
      <c r="AE12" s="304">
        <f>Y12-2!AN11</f>
        <v>0</v>
      </c>
      <c r="AF12" s="304">
        <f>Z12-2!AO11</f>
        <v>0</v>
      </c>
    </row>
    <row r="13" spans="1:32" ht="21.75" customHeight="1">
      <c r="A13" s="297">
        <v>5</v>
      </c>
      <c r="B13" s="305" t="s">
        <v>29</v>
      </c>
      <c r="C13" s="307"/>
      <c r="D13" s="307"/>
      <c r="E13" s="307"/>
      <c r="F13" s="307">
        <f>1!AM12</f>
        <v>34326648</v>
      </c>
      <c r="G13" s="307">
        <f>1!AN12</f>
        <v>56201032</v>
      </c>
      <c r="H13" s="307">
        <f>1!AO12</f>
        <v>39062825</v>
      </c>
      <c r="I13" s="307"/>
      <c r="J13" s="307"/>
      <c r="K13" s="307"/>
      <c r="L13" s="303">
        <f t="shared" si="0"/>
        <v>34326648</v>
      </c>
      <c r="M13" s="303">
        <f t="shared" si="0"/>
        <v>56201032</v>
      </c>
      <c r="N13" s="303">
        <f t="shared" si="0"/>
        <v>39062825</v>
      </c>
      <c r="O13" s="307">
        <v>0</v>
      </c>
      <c r="P13" s="307"/>
      <c r="Q13" s="307"/>
      <c r="R13" s="307">
        <f>2!AM12</f>
        <v>34326648</v>
      </c>
      <c r="S13" s="307">
        <f>2!AN12</f>
        <v>56201032</v>
      </c>
      <c r="T13" s="307">
        <f>2!AO12</f>
        <v>22811178</v>
      </c>
      <c r="U13" s="307">
        <v>0</v>
      </c>
      <c r="V13" s="307"/>
      <c r="W13" s="307"/>
      <c r="X13" s="303">
        <f t="shared" si="1"/>
        <v>34326648</v>
      </c>
      <c r="Y13" s="303">
        <f t="shared" si="1"/>
        <v>56201032</v>
      </c>
      <c r="Z13" s="303">
        <f t="shared" si="1"/>
        <v>22811178</v>
      </c>
      <c r="AA13" s="304">
        <f>L13-1!AM12</f>
        <v>0</v>
      </c>
      <c r="AB13" s="304">
        <f>M13-1!AN12</f>
        <v>0</v>
      </c>
      <c r="AC13" s="304">
        <f>N13-1!AO12</f>
        <v>0</v>
      </c>
      <c r="AD13" s="304">
        <f>X13-2!AM12</f>
        <v>0</v>
      </c>
      <c r="AE13" s="304">
        <f>Y13-2!AN12</f>
        <v>0</v>
      </c>
      <c r="AF13" s="304">
        <f>Z13-2!AO12</f>
        <v>0</v>
      </c>
    </row>
    <row r="14" spans="1:32" ht="21.75" customHeight="1">
      <c r="A14" s="297">
        <v>6</v>
      </c>
      <c r="B14" s="305" t="s">
        <v>27</v>
      </c>
      <c r="C14" s="307"/>
      <c r="D14" s="307"/>
      <c r="E14" s="307"/>
      <c r="F14" s="307"/>
      <c r="G14" s="307"/>
      <c r="H14" s="307"/>
      <c r="I14" s="307">
        <f>1!AM13</f>
        <v>22321500</v>
      </c>
      <c r="J14" s="307">
        <f>1!AN13</f>
        <v>27314758</v>
      </c>
      <c r="K14" s="307">
        <f>1!AO13</f>
        <v>16195788</v>
      </c>
      <c r="L14" s="303">
        <f t="shared" si="0"/>
        <v>22321500</v>
      </c>
      <c r="M14" s="303">
        <f t="shared" si="0"/>
        <v>27314758</v>
      </c>
      <c r="N14" s="303">
        <f t="shared" si="0"/>
        <v>16195788</v>
      </c>
      <c r="O14" s="307">
        <v>0</v>
      </c>
      <c r="P14" s="307"/>
      <c r="Q14" s="307"/>
      <c r="R14" s="307">
        <v>0</v>
      </c>
      <c r="S14" s="307"/>
      <c r="T14" s="307"/>
      <c r="U14" s="307">
        <f>2!AM13</f>
        <v>22321500</v>
      </c>
      <c r="V14" s="307">
        <f>2!AN13</f>
        <v>27314758</v>
      </c>
      <c r="W14" s="307">
        <f>2!AO13</f>
        <v>12016518</v>
      </c>
      <c r="X14" s="303">
        <f t="shared" si="1"/>
        <v>22321500</v>
      </c>
      <c r="Y14" s="303">
        <f t="shared" si="1"/>
        <v>27314758</v>
      </c>
      <c r="Z14" s="303">
        <f t="shared" si="1"/>
        <v>12016518</v>
      </c>
      <c r="AA14" s="304">
        <f>L14-1!AM13</f>
        <v>0</v>
      </c>
      <c r="AB14" s="304">
        <f>M14-1!AN13</f>
        <v>0</v>
      </c>
      <c r="AC14" s="304">
        <f>N14-1!AO13</f>
        <v>0</v>
      </c>
      <c r="AD14" s="304">
        <f>X14-2!AM13</f>
        <v>0</v>
      </c>
      <c r="AE14" s="304">
        <f>Y14-2!AN13</f>
        <v>0</v>
      </c>
      <c r="AF14" s="304">
        <f>Z14-2!AO13</f>
        <v>0</v>
      </c>
    </row>
    <row r="15" spans="1:32" s="311" customFormat="1" ht="21.75" customHeight="1">
      <c r="A15" s="308">
        <v>7</v>
      </c>
      <c r="B15" s="309" t="s">
        <v>389</v>
      </c>
      <c r="C15" s="310">
        <f>SUM(C11:C14)</f>
        <v>0</v>
      </c>
      <c r="D15" s="310">
        <f aca="true" t="shared" si="2" ref="D15:Q15">SUM(D11:D14)</f>
        <v>0</v>
      </c>
      <c r="E15" s="310">
        <f t="shared" si="2"/>
        <v>0</v>
      </c>
      <c r="F15" s="310">
        <f t="shared" si="2"/>
        <v>95585998</v>
      </c>
      <c r="G15" s="310">
        <f t="shared" si="2"/>
        <v>139605809</v>
      </c>
      <c r="H15" s="310">
        <f t="shared" si="2"/>
        <v>94945501</v>
      </c>
      <c r="I15" s="310">
        <f t="shared" si="2"/>
        <v>677906249</v>
      </c>
      <c r="J15" s="310">
        <f t="shared" si="2"/>
        <v>833128933</v>
      </c>
      <c r="K15" s="310">
        <f t="shared" si="2"/>
        <v>498416326</v>
      </c>
      <c r="L15" s="310">
        <f t="shared" si="2"/>
        <v>773492247</v>
      </c>
      <c r="M15" s="310">
        <f t="shared" si="2"/>
        <v>972734742</v>
      </c>
      <c r="N15" s="310">
        <f t="shared" si="2"/>
        <v>593361827</v>
      </c>
      <c r="O15" s="310">
        <f t="shared" si="2"/>
        <v>0</v>
      </c>
      <c r="P15" s="310">
        <f t="shared" si="2"/>
        <v>0</v>
      </c>
      <c r="Q15" s="310">
        <f t="shared" si="2"/>
        <v>0</v>
      </c>
      <c r="R15" s="310">
        <f aca="true" t="shared" si="3" ref="R15:W15">SUM(R11:R14)</f>
        <v>97979498</v>
      </c>
      <c r="S15" s="310">
        <f t="shared" si="3"/>
        <v>157400616</v>
      </c>
      <c r="T15" s="310">
        <f t="shared" si="3"/>
        <v>71798798</v>
      </c>
      <c r="U15" s="310">
        <f t="shared" si="3"/>
        <v>675512749</v>
      </c>
      <c r="V15" s="310">
        <f t="shared" si="3"/>
        <v>815334126</v>
      </c>
      <c r="W15" s="310">
        <f t="shared" si="3"/>
        <v>387420464</v>
      </c>
      <c r="X15" s="310" t="e">
        <f>#N/A</f>
        <v>#N/A</v>
      </c>
      <c r="Y15" s="310" t="e">
        <f>#N/A</f>
        <v>#N/A</v>
      </c>
      <c r="Z15" s="310" t="e">
        <f>#N/A</f>
        <v>#N/A</v>
      </c>
      <c r="AA15" s="304">
        <f>L15-1!AM14</f>
        <v>0</v>
      </c>
      <c r="AB15" s="304">
        <f>M15-1!AN14</f>
        <v>0</v>
      </c>
      <c r="AC15" s="304">
        <f>N15-1!AO14</f>
        <v>0</v>
      </c>
      <c r="AD15" s="304" t="e">
        <f>X15-2!AM14</f>
        <v>#N/A</v>
      </c>
      <c r="AE15" s="304" t="e">
        <f>Y15-2!AN14</f>
        <v>#N/A</v>
      </c>
      <c r="AF15" s="304" t="e">
        <f>Z15-2!AO14</f>
        <v>#N/A</v>
      </c>
    </row>
    <row r="16" spans="1:32" ht="23.25" customHeight="1">
      <c r="A16" s="297">
        <v>8</v>
      </c>
      <c r="B16" s="305" t="s">
        <v>32</v>
      </c>
      <c r="C16" s="307">
        <v>600000</v>
      </c>
      <c r="D16" s="307">
        <v>600000</v>
      </c>
      <c r="E16" s="307">
        <v>63500</v>
      </c>
      <c r="F16" s="307">
        <f>500119064-600000</f>
        <v>499519064</v>
      </c>
      <c r="G16" s="307">
        <v>500513116</v>
      </c>
      <c r="H16" s="307">
        <v>232313442</v>
      </c>
      <c r="I16" s="307">
        <v>79225000</v>
      </c>
      <c r="J16" s="307">
        <v>83848599</v>
      </c>
      <c r="K16" s="307">
        <v>42638457</v>
      </c>
      <c r="L16" s="303">
        <f aca="true" t="shared" si="4" ref="L16:N17">F16+I16</f>
        <v>578744064</v>
      </c>
      <c r="M16" s="303">
        <f t="shared" si="4"/>
        <v>584361715</v>
      </c>
      <c r="N16" s="303">
        <f t="shared" si="4"/>
        <v>274951899</v>
      </c>
      <c r="O16" s="307">
        <v>93000</v>
      </c>
      <c r="P16" s="307">
        <v>93000</v>
      </c>
      <c r="Q16" s="307">
        <v>0</v>
      </c>
      <c r="R16" s="307">
        <f>499267064-93000</f>
        <v>499174064</v>
      </c>
      <c r="S16" s="307">
        <v>506893931</v>
      </c>
      <c r="T16" s="307">
        <v>230139434</v>
      </c>
      <c r="U16" s="307">
        <v>80077000</v>
      </c>
      <c r="V16" s="307">
        <v>77974784</v>
      </c>
      <c r="W16" s="307">
        <v>29656549</v>
      </c>
      <c r="X16" s="303">
        <f aca="true" t="shared" si="5" ref="X16:Z17">O16+R16+U16</f>
        <v>579344064</v>
      </c>
      <c r="Y16" s="303">
        <f t="shared" si="5"/>
        <v>584961715</v>
      </c>
      <c r="Z16" s="303">
        <f t="shared" si="5"/>
        <v>259795983</v>
      </c>
      <c r="AA16" s="304">
        <f>L16-1!AM15</f>
        <v>-600000</v>
      </c>
      <c r="AB16" s="304">
        <f>M16-1!AN15</f>
        <v>-600000</v>
      </c>
      <c r="AC16" s="304">
        <f>N16-1!AO15</f>
        <v>-63500</v>
      </c>
      <c r="AD16" s="304">
        <f>X16-2!AM15</f>
        <v>0</v>
      </c>
      <c r="AE16" s="304">
        <f>Y16-2!AN15</f>
        <v>0</v>
      </c>
      <c r="AF16" s="304">
        <f>Z16-2!AO15</f>
        <v>0</v>
      </c>
    </row>
    <row r="17" spans="1:32" ht="24" customHeight="1">
      <c r="A17" s="297">
        <v>9</v>
      </c>
      <c r="B17" s="305" t="s">
        <v>107</v>
      </c>
      <c r="C17" s="307"/>
      <c r="D17" s="307"/>
      <c r="E17" s="307"/>
      <c r="F17" s="307">
        <v>4804381696</v>
      </c>
      <c r="G17" s="307">
        <v>4430247735</v>
      </c>
      <c r="H17" s="307">
        <v>3536527775</v>
      </c>
      <c r="I17" s="307">
        <v>188005561</v>
      </c>
      <c r="J17" s="307">
        <v>1144362176</v>
      </c>
      <c r="K17" s="307">
        <v>784857864</v>
      </c>
      <c r="L17" s="303">
        <f t="shared" si="4"/>
        <v>4992387257</v>
      </c>
      <c r="M17" s="303">
        <f t="shared" si="4"/>
        <v>5574609911</v>
      </c>
      <c r="N17" s="303">
        <f t="shared" si="4"/>
        <v>4321385639</v>
      </c>
      <c r="O17" s="307">
        <v>0</v>
      </c>
      <c r="P17" s="307"/>
      <c r="Q17" s="307"/>
      <c r="R17" s="303">
        <v>4813308257</v>
      </c>
      <c r="S17" s="303">
        <v>4555064418</v>
      </c>
      <c r="T17" s="303">
        <v>1485637937</v>
      </c>
      <c r="U17" s="303">
        <v>179079000</v>
      </c>
      <c r="V17" s="303">
        <v>1019545493</v>
      </c>
      <c r="W17" s="303">
        <v>470972035</v>
      </c>
      <c r="X17" s="303">
        <f t="shared" si="5"/>
        <v>4992387257</v>
      </c>
      <c r="Y17" s="303">
        <f t="shared" si="5"/>
        <v>5574609911</v>
      </c>
      <c r="Z17" s="303">
        <f t="shared" si="5"/>
        <v>1956609972</v>
      </c>
      <c r="AA17" s="304">
        <f>L17-1!AM16</f>
        <v>0</v>
      </c>
      <c r="AB17" s="304">
        <f>M17-1!AN16</f>
        <v>0</v>
      </c>
      <c r="AC17" s="304">
        <f>N17-1!AO16</f>
        <v>0</v>
      </c>
      <c r="AD17" s="304">
        <f>X17-2!AM16</f>
        <v>0</v>
      </c>
      <c r="AE17" s="304">
        <f>Y17-2!AN16</f>
        <v>0</v>
      </c>
      <c r="AF17" s="304">
        <f>Z17-2!AO16</f>
        <v>0</v>
      </c>
    </row>
    <row r="18" spans="1:32" ht="33.75" customHeight="1">
      <c r="A18" s="297">
        <v>10</v>
      </c>
      <c r="B18" s="309" t="s">
        <v>126</v>
      </c>
      <c r="C18" s="310">
        <f>SUM(C15:C17)</f>
        <v>600000</v>
      </c>
      <c r="D18" s="310">
        <f aca="true" t="shared" si="6" ref="D18:N18">SUM(D15:D17)</f>
        <v>600000</v>
      </c>
      <c r="E18" s="310">
        <f t="shared" si="6"/>
        <v>63500</v>
      </c>
      <c r="F18" s="310">
        <f t="shared" si="6"/>
        <v>5399486758</v>
      </c>
      <c r="G18" s="310">
        <f t="shared" si="6"/>
        <v>5070366660</v>
      </c>
      <c r="H18" s="310">
        <f t="shared" si="6"/>
        <v>3863786718</v>
      </c>
      <c r="I18" s="310">
        <f t="shared" si="6"/>
        <v>945136810</v>
      </c>
      <c r="J18" s="310">
        <f t="shared" si="6"/>
        <v>2061339708</v>
      </c>
      <c r="K18" s="310">
        <f t="shared" si="6"/>
        <v>1325912647</v>
      </c>
      <c r="L18" s="310">
        <f t="shared" si="6"/>
        <v>6344623568</v>
      </c>
      <c r="M18" s="310">
        <f t="shared" si="6"/>
        <v>7131706368</v>
      </c>
      <c r="N18" s="310">
        <f t="shared" si="6"/>
        <v>5189699365</v>
      </c>
      <c r="O18" s="310">
        <f aca="true" t="shared" si="7" ref="O18:W18">SUM(O15:O17)</f>
        <v>93000</v>
      </c>
      <c r="P18" s="310">
        <f t="shared" si="7"/>
        <v>93000</v>
      </c>
      <c r="Q18" s="310">
        <f t="shared" si="7"/>
        <v>0</v>
      </c>
      <c r="R18" s="310">
        <f t="shared" si="7"/>
        <v>5410461819</v>
      </c>
      <c r="S18" s="310">
        <f t="shared" si="7"/>
        <v>5219358965</v>
      </c>
      <c r="T18" s="310">
        <f t="shared" si="7"/>
        <v>1787576169</v>
      </c>
      <c r="U18" s="310">
        <f t="shared" si="7"/>
        <v>934668749</v>
      </c>
      <c r="V18" s="310">
        <f t="shared" si="7"/>
        <v>1912854403</v>
      </c>
      <c r="W18" s="310">
        <f t="shared" si="7"/>
        <v>888049048</v>
      </c>
      <c r="X18" s="310" t="e">
        <f>#N/A</f>
        <v>#N/A</v>
      </c>
      <c r="Y18" s="310" t="e">
        <f>#N/A</f>
        <v>#N/A</v>
      </c>
      <c r="Z18" s="310" t="e">
        <f>#N/A</f>
        <v>#N/A</v>
      </c>
      <c r="AA18" s="304">
        <f>L18-1!AM17</f>
        <v>-600000</v>
      </c>
      <c r="AB18" s="304">
        <f>M18-1!AN17</f>
        <v>-600000</v>
      </c>
      <c r="AC18" s="304">
        <f>N18-1!AO17</f>
        <v>-63500</v>
      </c>
      <c r="AD18" s="304" t="e">
        <f>X18-2!AM17</f>
        <v>#N/A</v>
      </c>
      <c r="AE18" s="304" t="e">
        <f>Y18-2!AN17</f>
        <v>#N/A</v>
      </c>
      <c r="AF18" s="304" t="e">
        <f>Z18-2!AO17</f>
        <v>#N/A</v>
      </c>
    </row>
    <row r="19" spans="1:14" ht="16.5" customHeight="1">
      <c r="A19" s="292"/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3"/>
    </row>
  </sheetData>
  <sheetProtection/>
  <mergeCells count="16">
    <mergeCell ref="R9:T9"/>
    <mergeCell ref="O7:Z8"/>
    <mergeCell ref="B7:B9"/>
    <mergeCell ref="C7:N8"/>
    <mergeCell ref="A7:A9"/>
    <mergeCell ref="C9:E9"/>
    <mergeCell ref="AD9:AF9"/>
    <mergeCell ref="O3:Z3"/>
    <mergeCell ref="F9:H9"/>
    <mergeCell ref="I9:K9"/>
    <mergeCell ref="AA9:AC9"/>
    <mergeCell ref="L9:N9"/>
    <mergeCell ref="X9:Z9"/>
    <mergeCell ref="C3:N3"/>
    <mergeCell ref="O9:Q9"/>
    <mergeCell ref="U9:W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1"/>
  <colBreaks count="1" manualBreakCount="1">
    <brk id="14" max="1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B1" sqref="B1:E1"/>
    </sheetView>
  </sheetViews>
  <sheetFormatPr defaultColWidth="9.140625" defaultRowHeight="12.75"/>
  <cols>
    <col min="1" max="1" width="5.00390625" style="10" customWidth="1"/>
    <col min="2" max="2" width="59.57421875" style="10" customWidth="1"/>
    <col min="3" max="3" width="15.7109375" style="10" customWidth="1"/>
    <col min="4" max="4" width="14.57421875" style="10" customWidth="1"/>
    <col min="5" max="5" width="14.28125" style="10" customWidth="1"/>
    <col min="6" max="6" width="10.00390625" style="208" hidden="1" customWidth="1"/>
    <col min="7" max="7" width="9.140625" style="10" customWidth="1"/>
    <col min="8" max="8" width="11.28125" style="10" bestFit="1" customWidth="1"/>
    <col min="9" max="35" width="9.140625" style="10" customWidth="1"/>
    <col min="36" max="38" width="0" style="10" hidden="1" customWidth="1"/>
    <col min="39" max="16384" width="9.140625" style="10" customWidth="1"/>
  </cols>
  <sheetData>
    <row r="1" spans="2:6" s="16" customFormat="1" ht="15.75">
      <c r="B1" s="541" t="s">
        <v>404</v>
      </c>
      <c r="C1" s="541"/>
      <c r="D1" s="541"/>
      <c r="E1" s="541"/>
      <c r="F1" s="208"/>
    </row>
    <row r="2" spans="2:6" s="16" customFormat="1" ht="15.75">
      <c r="B2" s="275"/>
      <c r="C2" s="275"/>
      <c r="D2" s="275"/>
      <c r="E2" s="275"/>
      <c r="F2" s="208"/>
    </row>
    <row r="3" spans="1:6" s="156" customFormat="1" ht="48.75" customHeight="1">
      <c r="A3" s="78"/>
      <c r="B3" s="542" t="s">
        <v>378</v>
      </c>
      <c r="C3" s="542"/>
      <c r="D3" s="542"/>
      <c r="E3" s="542"/>
      <c r="F3" s="315"/>
    </row>
    <row r="4" spans="1:6" s="16" customFormat="1" ht="14.25" customHeight="1">
      <c r="A4" s="316"/>
      <c r="B4" s="317"/>
      <c r="C4" s="317"/>
      <c r="D4" s="317"/>
      <c r="E4" s="317"/>
      <c r="F4" s="208"/>
    </row>
    <row r="5" spans="1:6" s="16" customFormat="1" ht="14.25" customHeight="1">
      <c r="A5" s="546" t="s">
        <v>127</v>
      </c>
      <c r="B5" s="546"/>
      <c r="C5" s="546"/>
      <c r="D5" s="546"/>
      <c r="E5" s="546"/>
      <c r="F5" s="208"/>
    </row>
    <row r="6" spans="1:6" ht="15.75">
      <c r="A6" s="547"/>
      <c r="B6" s="547"/>
      <c r="C6" s="547"/>
      <c r="D6" s="547"/>
      <c r="F6" s="318"/>
    </row>
    <row r="7" spans="1:6" s="16" customFormat="1" ht="33.75" customHeight="1">
      <c r="A7" s="548" t="s">
        <v>169</v>
      </c>
      <c r="B7" s="548"/>
      <c r="C7" s="548"/>
      <c r="D7" s="548"/>
      <c r="E7" s="548"/>
      <c r="F7" s="208"/>
    </row>
    <row r="8" spans="1:5" ht="22.5" customHeight="1">
      <c r="A8" s="276"/>
      <c r="B8" s="276"/>
      <c r="C8" s="276"/>
      <c r="D8" s="276"/>
      <c r="E8" s="164" t="s">
        <v>236</v>
      </c>
    </row>
    <row r="9" spans="1:5" ht="21.75" customHeight="1">
      <c r="A9" s="11"/>
      <c r="B9" s="11" t="s">
        <v>0</v>
      </c>
      <c r="C9" s="11" t="s">
        <v>1</v>
      </c>
      <c r="D9" s="11" t="s">
        <v>2</v>
      </c>
      <c r="E9" s="11" t="s">
        <v>3</v>
      </c>
    </row>
    <row r="10" spans="1:5" ht="15" customHeight="1">
      <c r="A10" s="549" t="s">
        <v>10</v>
      </c>
      <c r="B10" s="550" t="s">
        <v>151</v>
      </c>
      <c r="C10" s="551" t="s">
        <v>152</v>
      </c>
      <c r="D10" s="552"/>
      <c r="E10" s="553"/>
    </row>
    <row r="11" spans="1:5" ht="39" customHeight="1">
      <c r="A11" s="549"/>
      <c r="B11" s="550"/>
      <c r="C11" s="319" t="s">
        <v>153</v>
      </c>
      <c r="D11" s="319" t="s">
        <v>170</v>
      </c>
      <c r="E11" s="319" t="s">
        <v>99</v>
      </c>
    </row>
    <row r="12" spans="1:5" ht="19.5" customHeight="1">
      <c r="A12" s="178" t="s">
        <v>15</v>
      </c>
      <c r="B12" s="13" t="s">
        <v>179</v>
      </c>
      <c r="C12" s="14"/>
      <c r="D12" s="14"/>
      <c r="E12" s="15"/>
    </row>
    <row r="13" spans="1:8" ht="19.5" customHeight="1">
      <c r="A13" s="178" t="s">
        <v>22</v>
      </c>
      <c r="B13" s="13" t="s">
        <v>185</v>
      </c>
      <c r="C13" s="29">
        <f>SUM(C14:C21)</f>
        <v>60700000</v>
      </c>
      <c r="D13" s="29">
        <f>SUM(D14:D21)</f>
        <v>61380000</v>
      </c>
      <c r="E13" s="29">
        <f>SUM(E14:E21)</f>
        <v>8248327</v>
      </c>
      <c r="F13" s="209">
        <f>E13/D13</f>
        <v>0.13438134571521668</v>
      </c>
      <c r="H13" s="272"/>
    </row>
    <row r="14" spans="1:6" ht="19.5" customHeight="1">
      <c r="A14" s="178" t="s">
        <v>23</v>
      </c>
      <c r="B14" s="30" t="s">
        <v>162</v>
      </c>
      <c r="C14" s="14">
        <v>1200000</v>
      </c>
      <c r="D14" s="14">
        <v>1200000</v>
      </c>
      <c r="E14" s="15">
        <v>0</v>
      </c>
      <c r="F14" s="208" t="e">
        <f>#N/A</f>
        <v>#N/A</v>
      </c>
    </row>
    <row r="15" spans="1:6" ht="19.5" customHeight="1">
      <c r="A15" s="178" t="s">
        <v>52</v>
      </c>
      <c r="B15" s="30" t="s">
        <v>180</v>
      </c>
      <c r="C15" s="14">
        <v>4000000</v>
      </c>
      <c r="D15" s="14">
        <v>4000000</v>
      </c>
      <c r="E15" s="15">
        <v>793500</v>
      </c>
      <c r="F15" s="208" t="e">
        <f>#N/A</f>
        <v>#N/A</v>
      </c>
    </row>
    <row r="16" spans="1:8" ht="19.5" customHeight="1">
      <c r="A16" s="178" t="s">
        <v>54</v>
      </c>
      <c r="B16" s="30" t="s">
        <v>269</v>
      </c>
      <c r="C16" s="14">
        <v>1000000</v>
      </c>
      <c r="D16" s="14">
        <f>1000000+680000</f>
        <v>1680000</v>
      </c>
      <c r="E16" s="15">
        <f>72000+680000</f>
        <v>752000</v>
      </c>
      <c r="F16" s="208" t="e">
        <f>#N/A</f>
        <v>#N/A</v>
      </c>
      <c r="H16" s="272"/>
    </row>
    <row r="17" spans="1:6" s="16" customFormat="1" ht="19.5" customHeight="1">
      <c r="A17" s="178" t="s">
        <v>48</v>
      </c>
      <c r="B17" s="30" t="s">
        <v>163</v>
      </c>
      <c r="C17" s="14">
        <v>2000000</v>
      </c>
      <c r="D17" s="14">
        <v>2000000</v>
      </c>
      <c r="E17" s="15">
        <v>722827</v>
      </c>
      <c r="F17" s="208" t="e">
        <f>#N/A</f>
        <v>#N/A</v>
      </c>
    </row>
    <row r="18" spans="1:6" ht="19.5" customHeight="1">
      <c r="A18" s="178" t="s">
        <v>24</v>
      </c>
      <c r="B18" s="30" t="s">
        <v>181</v>
      </c>
      <c r="C18" s="14">
        <v>1000000</v>
      </c>
      <c r="D18" s="14">
        <v>1000000</v>
      </c>
      <c r="E18" s="15">
        <v>150000</v>
      </c>
      <c r="F18" s="208" t="e">
        <f>#N/A</f>
        <v>#N/A</v>
      </c>
    </row>
    <row r="19" spans="1:6" ht="19.5" customHeight="1">
      <c r="A19" s="178" t="s">
        <v>26</v>
      </c>
      <c r="B19" s="31" t="s">
        <v>182</v>
      </c>
      <c r="C19" s="14">
        <v>500000</v>
      </c>
      <c r="D19" s="14">
        <v>500000</v>
      </c>
      <c r="E19" s="15">
        <v>0</v>
      </c>
      <c r="F19" s="208" t="e">
        <f>#N/A</f>
        <v>#N/A</v>
      </c>
    </row>
    <row r="20" spans="1:6" ht="19.5" customHeight="1">
      <c r="A20" s="178" t="s">
        <v>28</v>
      </c>
      <c r="B20" s="30" t="s">
        <v>173</v>
      </c>
      <c r="C20" s="14">
        <v>33000000</v>
      </c>
      <c r="D20" s="14">
        <v>33000000</v>
      </c>
      <c r="E20" s="15">
        <v>0</v>
      </c>
      <c r="F20" s="208" t="e">
        <f>#N/A</f>
        <v>#N/A</v>
      </c>
    </row>
    <row r="21" spans="1:6" ht="19.5" customHeight="1">
      <c r="A21" s="178" t="s">
        <v>31</v>
      </c>
      <c r="B21" s="32" t="s">
        <v>360</v>
      </c>
      <c r="C21" s="17">
        <v>18000000</v>
      </c>
      <c r="D21" s="14">
        <v>18000000</v>
      </c>
      <c r="E21" s="15">
        <v>5830000</v>
      </c>
      <c r="F21" s="208" t="e">
        <f>#N/A</f>
        <v>#N/A</v>
      </c>
    </row>
    <row r="22" spans="1:6" ht="19.5" customHeight="1">
      <c r="A22" s="178" t="s">
        <v>49</v>
      </c>
      <c r="B22" s="13" t="s">
        <v>186</v>
      </c>
      <c r="C22" s="29">
        <f>SUM(C23:C27)</f>
        <v>73500000</v>
      </c>
      <c r="D22" s="29">
        <f>SUM(D23:D27)</f>
        <v>73500000</v>
      </c>
      <c r="E22" s="29">
        <f>SUM(E23:E27)</f>
        <v>24474120</v>
      </c>
      <c r="F22" s="209" t="e">
        <f>#N/A</f>
        <v>#N/A</v>
      </c>
    </row>
    <row r="23" spans="1:6" ht="19.5" customHeight="1">
      <c r="A23" s="178" t="s">
        <v>33</v>
      </c>
      <c r="B23" s="30" t="s">
        <v>177</v>
      </c>
      <c r="C23" s="14">
        <v>500000</v>
      </c>
      <c r="D23" s="14">
        <v>500000</v>
      </c>
      <c r="E23" s="15">
        <v>179952</v>
      </c>
      <c r="F23" s="208" t="e">
        <f>#N/A</f>
        <v>#N/A</v>
      </c>
    </row>
    <row r="24" spans="1:6" ht="19.5" customHeight="1">
      <c r="A24" s="178" t="s">
        <v>35</v>
      </c>
      <c r="B24" s="30" t="s">
        <v>178</v>
      </c>
      <c r="C24" s="14">
        <v>20000000</v>
      </c>
      <c r="D24" s="14">
        <v>20000000</v>
      </c>
      <c r="E24" s="15">
        <v>5816471</v>
      </c>
      <c r="F24" s="208" t="e">
        <f>#N/A</f>
        <v>#N/A</v>
      </c>
    </row>
    <row r="25" spans="1:6" ht="19.5" customHeight="1">
      <c r="A25" s="178" t="s">
        <v>59</v>
      </c>
      <c r="B25" s="30" t="s">
        <v>361</v>
      </c>
      <c r="C25" s="14">
        <v>10000000</v>
      </c>
      <c r="D25" s="14">
        <v>10000000</v>
      </c>
      <c r="E25" s="15">
        <v>3493400</v>
      </c>
      <c r="F25" s="208" t="e">
        <f>#N/A</f>
        <v>#N/A</v>
      </c>
    </row>
    <row r="26" spans="1:6" ht="19.5" customHeight="1">
      <c r="A26" s="178" t="s">
        <v>60</v>
      </c>
      <c r="B26" s="30" t="s">
        <v>183</v>
      </c>
      <c r="C26" s="14">
        <v>42000000</v>
      </c>
      <c r="D26" s="14">
        <v>42000000</v>
      </c>
      <c r="E26" s="15">
        <v>14737615</v>
      </c>
      <c r="F26" s="208" t="e">
        <f>#N/A</f>
        <v>#N/A</v>
      </c>
    </row>
    <row r="27" spans="1:6" ht="19.5" customHeight="1">
      <c r="A27" s="178" t="s">
        <v>61</v>
      </c>
      <c r="B27" s="30" t="s">
        <v>184</v>
      </c>
      <c r="C27" s="14">
        <v>1000000</v>
      </c>
      <c r="D27" s="14">
        <v>1000000</v>
      </c>
      <c r="E27" s="15">
        <v>246682</v>
      </c>
      <c r="F27" s="208" t="e">
        <f>#N/A</f>
        <v>#N/A</v>
      </c>
    </row>
    <row r="28" spans="1:6" ht="19.5" customHeight="1">
      <c r="A28" s="178" t="s">
        <v>62</v>
      </c>
      <c r="B28" s="18" t="s">
        <v>188</v>
      </c>
      <c r="C28" s="19">
        <v>1500000</v>
      </c>
      <c r="D28" s="19">
        <v>1500000</v>
      </c>
      <c r="E28" s="271">
        <v>2044981</v>
      </c>
      <c r="F28" s="208" t="e">
        <f>#N/A</f>
        <v>#N/A</v>
      </c>
    </row>
    <row r="29" spans="1:6" ht="19.5" customHeight="1">
      <c r="A29" s="178" t="s">
        <v>63</v>
      </c>
      <c r="B29" s="18" t="s">
        <v>187</v>
      </c>
      <c r="C29" s="19">
        <v>6000000</v>
      </c>
      <c r="D29" s="19">
        <v>6000000</v>
      </c>
      <c r="E29" s="19">
        <v>705000</v>
      </c>
      <c r="F29" s="208" t="e">
        <f>#N/A</f>
        <v>#N/A</v>
      </c>
    </row>
    <row r="30" spans="1:6" ht="27.75" customHeight="1">
      <c r="A30" s="178" t="s">
        <v>64</v>
      </c>
      <c r="B30" s="33" t="s">
        <v>189</v>
      </c>
      <c r="C30" s="34">
        <f>C13+C22+C28+C29</f>
        <v>141700000</v>
      </c>
      <c r="D30" s="34">
        <f>D13+D22+D28+D29</f>
        <v>142380000</v>
      </c>
      <c r="E30" s="34">
        <f>E13+E22+E28+E29</f>
        <v>35472428</v>
      </c>
      <c r="F30" s="209" t="e">
        <f>#N/A</f>
        <v>#N/A</v>
      </c>
    </row>
    <row r="31" spans="1:8" s="21" customFormat="1" ht="21.75" customHeight="1">
      <c r="A31" s="178" t="s">
        <v>65</v>
      </c>
      <c r="B31" s="20" t="s">
        <v>165</v>
      </c>
      <c r="C31" s="543" t="s">
        <v>171</v>
      </c>
      <c r="D31" s="544"/>
      <c r="E31" s="545"/>
      <c r="F31" s="209"/>
      <c r="H31" s="270"/>
    </row>
    <row r="32" spans="1:6" ht="45" customHeight="1">
      <c r="A32" s="178" t="s">
        <v>66</v>
      </c>
      <c r="B32" s="18" t="s">
        <v>192</v>
      </c>
      <c r="C32" s="22" t="s">
        <v>172</v>
      </c>
      <c r="D32" s="22" t="s">
        <v>170</v>
      </c>
      <c r="E32" s="23" t="s">
        <v>99</v>
      </c>
      <c r="F32" s="209"/>
    </row>
    <row r="33" spans="1:6" ht="19.5" customHeight="1">
      <c r="A33" s="178" t="s">
        <v>68</v>
      </c>
      <c r="B33" s="30" t="s">
        <v>160</v>
      </c>
      <c r="C33" s="14">
        <v>4850000</v>
      </c>
      <c r="D33" s="14">
        <v>4850000</v>
      </c>
      <c r="E33" s="15">
        <v>665000</v>
      </c>
      <c r="F33" s="208" t="e">
        <f>#N/A</f>
        <v>#N/A</v>
      </c>
    </row>
    <row r="34" spans="1:6" ht="19.5" customHeight="1">
      <c r="A34" s="178" t="s">
        <v>71</v>
      </c>
      <c r="B34" s="30" t="s">
        <v>161</v>
      </c>
      <c r="C34" s="14">
        <v>1100000</v>
      </c>
      <c r="D34" s="14">
        <v>1100000</v>
      </c>
      <c r="E34" s="15">
        <v>180000</v>
      </c>
      <c r="F34" s="208" t="e">
        <f>#N/A</f>
        <v>#N/A</v>
      </c>
    </row>
    <row r="35" spans="1:6" ht="19.5" customHeight="1">
      <c r="A35" s="178" t="s">
        <v>73</v>
      </c>
      <c r="B35" s="35" t="s">
        <v>190</v>
      </c>
      <c r="C35" s="35">
        <f>SUM(C33:C34)</f>
        <v>5950000</v>
      </c>
      <c r="D35" s="35">
        <f>SUM(D33:D34)</f>
        <v>5950000</v>
      </c>
      <c r="E35" s="35">
        <f>SUM(E33:E34)</f>
        <v>845000</v>
      </c>
      <c r="F35" s="209" t="e">
        <f>#N/A</f>
        <v>#N/A</v>
      </c>
    </row>
    <row r="36" spans="1:6" ht="33.75" customHeight="1">
      <c r="A36" s="178" t="s">
        <v>75</v>
      </c>
      <c r="B36" s="24" t="s">
        <v>191</v>
      </c>
      <c r="C36" s="25">
        <f>C35+C30</f>
        <v>147650000</v>
      </c>
      <c r="D36" s="25">
        <f>D35+D30</f>
        <v>148330000</v>
      </c>
      <c r="E36" s="25">
        <f>E35+E30</f>
        <v>36317428</v>
      </c>
      <c r="F36" s="210" t="e">
        <f>#N/A</f>
        <v>#N/A</v>
      </c>
    </row>
    <row r="39" spans="2:5" ht="15.75" hidden="1">
      <c r="B39" s="10" t="s">
        <v>379</v>
      </c>
      <c r="C39" s="320">
        <f>2!L17</f>
        <v>135700000</v>
      </c>
      <c r="D39" s="320">
        <f>2!M17-12000</f>
        <v>136380000</v>
      </c>
      <c r="E39" s="320">
        <f>2!N17-12000</f>
        <v>34767428</v>
      </c>
    </row>
    <row r="40" spans="3:5" ht="15.75" hidden="1">
      <c r="C40" s="320">
        <f>C39-C36+C29+C35</f>
        <v>0</v>
      </c>
      <c r="D40" s="320">
        <f>D39-D36+D29+D35</f>
        <v>0</v>
      </c>
      <c r="E40" s="320">
        <f>E39-E36+E29+E35</f>
        <v>0</v>
      </c>
    </row>
    <row r="41" ht="15.75" hidden="1">
      <c r="C41" s="320"/>
    </row>
    <row r="42" ht="15.75" hidden="1">
      <c r="C42" s="320"/>
    </row>
    <row r="43" ht="15.75">
      <c r="C43" s="320"/>
    </row>
    <row r="44" ht="15.75">
      <c r="C44" s="320"/>
    </row>
    <row r="45" ht="15.75">
      <c r="C45" s="320"/>
    </row>
  </sheetData>
  <sheetProtection/>
  <mergeCells count="9">
    <mergeCell ref="B1:E1"/>
    <mergeCell ref="B3:E3"/>
    <mergeCell ref="C31:E31"/>
    <mergeCell ref="A5:E5"/>
    <mergeCell ref="A6:D6"/>
    <mergeCell ref="A7:E7"/>
    <mergeCell ref="A10:A11"/>
    <mergeCell ref="B10:B11"/>
    <mergeCell ref="C10:E10"/>
  </mergeCells>
  <printOptions horizontalCentered="1"/>
  <pageMargins left="0.7480314960629921" right="0.7480314960629921" top="0.1968503937007874" bottom="0.1968503937007874" header="0.5118110236220472" footer="0.5118110236220472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W52"/>
  <sheetViews>
    <sheetView zoomScalePageLayoutView="0" workbookViewId="0" topLeftCell="A1">
      <selection activeCell="I2" sqref="I2:O2"/>
    </sheetView>
  </sheetViews>
  <sheetFormatPr defaultColWidth="9.140625" defaultRowHeight="12.75"/>
  <cols>
    <col min="1" max="1" width="5.140625" style="1" customWidth="1"/>
    <col min="2" max="2" width="29.28125" style="1" customWidth="1"/>
    <col min="3" max="3" width="12.7109375" style="1" bestFit="1" customWidth="1"/>
    <col min="4" max="15" width="11.140625" style="1" bestFit="1" customWidth="1"/>
    <col min="16" max="16" width="10.57421875" style="1" hidden="1" customWidth="1"/>
    <col min="17" max="17" width="9.140625" style="1" customWidth="1"/>
    <col min="18" max="18" width="12.57421875" style="1" bestFit="1" customWidth="1"/>
    <col min="19" max="35" width="9.140625" style="1" customWidth="1"/>
    <col min="36" max="38" width="0" style="1" hidden="1" customWidth="1"/>
    <col min="39" max="16384" width="9.140625" style="1" customWidth="1"/>
  </cols>
  <sheetData>
    <row r="2" spans="1:15" ht="15.75">
      <c r="A2" s="4"/>
      <c r="B2" s="558"/>
      <c r="C2" s="558"/>
      <c r="D2" s="559"/>
      <c r="E2" s="559"/>
      <c r="F2" s="559"/>
      <c r="I2" s="560" t="s">
        <v>405</v>
      </c>
      <c r="J2" s="560"/>
      <c r="K2" s="560"/>
      <c r="L2" s="560"/>
      <c r="M2" s="560"/>
      <c r="N2" s="560"/>
      <c r="O2" s="560"/>
    </row>
    <row r="3" spans="1:15" ht="12.75">
      <c r="A3" s="4"/>
      <c r="N3" s="128"/>
      <c r="O3" s="128"/>
    </row>
    <row r="4" spans="1:15" ht="12.75">
      <c r="A4" s="4"/>
      <c r="N4" s="128"/>
      <c r="O4" s="128"/>
    </row>
    <row r="5" ht="12.75">
      <c r="A5" s="4"/>
    </row>
    <row r="6" spans="1:15" ht="20.25">
      <c r="A6" s="4"/>
      <c r="B6" s="555" t="s">
        <v>326</v>
      </c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5"/>
      <c r="O6" s="555"/>
    </row>
    <row r="7" spans="1:15" ht="20.25">
      <c r="A7" s="4"/>
      <c r="B7" s="555" t="s">
        <v>128</v>
      </c>
      <c r="C7" s="555"/>
      <c r="D7" s="555"/>
      <c r="E7" s="555"/>
      <c r="F7" s="555"/>
      <c r="G7" s="555"/>
      <c r="H7" s="555"/>
      <c r="I7" s="555"/>
      <c r="J7" s="555"/>
      <c r="K7" s="555"/>
      <c r="L7" s="555"/>
      <c r="M7" s="555"/>
      <c r="N7" s="555"/>
      <c r="O7" s="555"/>
    </row>
    <row r="8" spans="1:15" ht="20.25">
      <c r="A8" s="4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</row>
    <row r="9" spans="1:15" ht="19.5" customHeight="1">
      <c r="A9" s="4"/>
      <c r="B9" s="555" t="s">
        <v>127</v>
      </c>
      <c r="C9" s="555"/>
      <c r="D9" s="555"/>
      <c r="E9" s="555"/>
      <c r="F9" s="555"/>
      <c r="G9" s="555"/>
      <c r="H9" s="555"/>
      <c r="I9" s="555"/>
      <c r="J9" s="555"/>
      <c r="K9" s="555"/>
      <c r="L9" s="555"/>
      <c r="M9" s="555"/>
      <c r="N9" s="555"/>
      <c r="O9" s="555"/>
    </row>
    <row r="10" spans="1:15" ht="12.75" customHeight="1">
      <c r="A10" s="4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68"/>
      <c r="O10" s="169" t="s">
        <v>236</v>
      </c>
    </row>
    <row r="11" spans="1:15" ht="12" customHeight="1">
      <c r="A11" s="27"/>
      <c r="B11" s="27" t="s">
        <v>0</v>
      </c>
      <c r="C11" s="27" t="s">
        <v>1</v>
      </c>
      <c r="D11" s="27" t="s">
        <v>2</v>
      </c>
      <c r="E11" s="27" t="s">
        <v>3</v>
      </c>
      <c r="F11" s="27" t="s">
        <v>4</v>
      </c>
      <c r="G11" s="27" t="s">
        <v>5</v>
      </c>
      <c r="H11" s="27" t="s">
        <v>81</v>
      </c>
      <c r="I11" s="27" t="s">
        <v>6</v>
      </c>
      <c r="J11" s="27" t="s">
        <v>7</v>
      </c>
      <c r="K11" s="27" t="s">
        <v>39</v>
      </c>
      <c r="L11" s="27" t="s">
        <v>8</v>
      </c>
      <c r="M11" s="27" t="s">
        <v>94</v>
      </c>
      <c r="N11" s="27" t="s">
        <v>40</v>
      </c>
      <c r="O11" s="27" t="s">
        <v>9</v>
      </c>
    </row>
    <row r="12" spans="1:15" s="142" customFormat="1" ht="31.5" customHeight="1">
      <c r="A12" s="12" t="s">
        <v>10</v>
      </c>
      <c r="B12" s="132" t="s">
        <v>129</v>
      </c>
      <c r="C12" s="132" t="s">
        <v>130</v>
      </c>
      <c r="D12" s="133" t="s">
        <v>131</v>
      </c>
      <c r="E12" s="133" t="s">
        <v>132</v>
      </c>
      <c r="F12" s="133" t="s">
        <v>133</v>
      </c>
      <c r="G12" s="133" t="s">
        <v>134</v>
      </c>
      <c r="H12" s="133" t="s">
        <v>135</v>
      </c>
      <c r="I12" s="133" t="s">
        <v>136</v>
      </c>
      <c r="J12" s="133" t="s">
        <v>137</v>
      </c>
      <c r="K12" s="133" t="s">
        <v>138</v>
      </c>
      <c r="L12" s="133" t="s">
        <v>139</v>
      </c>
      <c r="M12" s="133" t="s">
        <v>140</v>
      </c>
      <c r="N12" s="133" t="s">
        <v>141</v>
      </c>
      <c r="O12" s="133" t="s">
        <v>142</v>
      </c>
    </row>
    <row r="13" spans="1:18" ht="24.75" customHeight="1">
      <c r="A13" s="12" t="s">
        <v>15</v>
      </c>
      <c r="B13" s="134" t="s">
        <v>16</v>
      </c>
      <c r="C13" s="135">
        <f>1!I17</f>
        <v>525787000</v>
      </c>
      <c r="D13" s="136">
        <f>C13/12</f>
        <v>43815583.333333336</v>
      </c>
      <c r="E13" s="136">
        <f>D13</f>
        <v>43815583.333333336</v>
      </c>
      <c r="F13" s="136">
        <f aca="true" t="shared" si="0" ref="F13:O13">E13</f>
        <v>43815583.333333336</v>
      </c>
      <c r="G13" s="136">
        <f t="shared" si="0"/>
        <v>43815583.333333336</v>
      </c>
      <c r="H13" s="136">
        <f t="shared" si="0"/>
        <v>43815583.333333336</v>
      </c>
      <c r="I13" s="136">
        <f t="shared" si="0"/>
        <v>43815583.333333336</v>
      </c>
      <c r="J13" s="136">
        <f t="shared" si="0"/>
        <v>43815583.333333336</v>
      </c>
      <c r="K13" s="136">
        <f t="shared" si="0"/>
        <v>43815583.333333336</v>
      </c>
      <c r="L13" s="136">
        <f t="shared" si="0"/>
        <v>43815583.333333336</v>
      </c>
      <c r="M13" s="136">
        <f t="shared" si="0"/>
        <v>43815583.333333336</v>
      </c>
      <c r="N13" s="136">
        <f t="shared" si="0"/>
        <v>43815583.333333336</v>
      </c>
      <c r="O13" s="136">
        <f t="shared" si="0"/>
        <v>43815583.333333336</v>
      </c>
      <c r="P13" s="137">
        <f>SUM(D13:O13)-C13</f>
        <v>0</v>
      </c>
      <c r="Q13" s="137"/>
      <c r="R13" s="8"/>
    </row>
    <row r="14" spans="1:16" ht="24" customHeight="1">
      <c r="A14" s="12" t="s">
        <v>22</v>
      </c>
      <c r="B14" s="134" t="s">
        <v>17</v>
      </c>
      <c r="C14" s="135">
        <f>1!G17</f>
        <v>580041000</v>
      </c>
      <c r="D14" s="136">
        <v>0</v>
      </c>
      <c r="E14" s="136">
        <v>0</v>
      </c>
      <c r="F14" s="136">
        <v>233795000</v>
      </c>
      <c r="G14" s="136">
        <v>0</v>
      </c>
      <c r="H14" s="136">
        <v>55398000</v>
      </c>
      <c r="I14" s="136">
        <v>0</v>
      </c>
      <c r="J14" s="136">
        <v>0</v>
      </c>
      <c r="K14" s="136">
        <v>0</v>
      </c>
      <c r="L14" s="136">
        <v>230795000</v>
      </c>
      <c r="M14" s="136">
        <v>0</v>
      </c>
      <c r="N14" s="136">
        <v>0</v>
      </c>
      <c r="O14" s="136">
        <v>60053000</v>
      </c>
      <c r="P14" s="137" t="e">
        <f>#N/A</f>
        <v>#N/A</v>
      </c>
    </row>
    <row r="15" spans="1:18" ht="35.25" customHeight="1">
      <c r="A15" s="12" t="s">
        <v>23</v>
      </c>
      <c r="B15" s="134" t="s">
        <v>143</v>
      </c>
      <c r="C15" s="135">
        <f>1!D17</f>
        <v>1345333232</v>
      </c>
      <c r="D15" s="136">
        <f aca="true" t="shared" si="1" ref="D15:D21">C15/12</f>
        <v>112111102.66666667</v>
      </c>
      <c r="E15" s="136">
        <f>D15</f>
        <v>112111102.66666667</v>
      </c>
      <c r="F15" s="136">
        <f aca="true" t="shared" si="2" ref="F15:O15">E15</f>
        <v>112111102.66666667</v>
      </c>
      <c r="G15" s="136">
        <f t="shared" si="2"/>
        <v>112111102.66666667</v>
      </c>
      <c r="H15" s="136">
        <f t="shared" si="2"/>
        <v>112111102.66666667</v>
      </c>
      <c r="I15" s="136">
        <f t="shared" si="2"/>
        <v>112111102.66666667</v>
      </c>
      <c r="J15" s="136">
        <f t="shared" si="2"/>
        <v>112111102.66666667</v>
      </c>
      <c r="K15" s="136">
        <f t="shared" si="2"/>
        <v>112111102.66666667</v>
      </c>
      <c r="L15" s="136">
        <f t="shared" si="2"/>
        <v>112111102.66666667</v>
      </c>
      <c r="M15" s="136">
        <f t="shared" si="2"/>
        <v>112111102.66666667</v>
      </c>
      <c r="N15" s="136">
        <f t="shared" si="2"/>
        <v>112111102.66666667</v>
      </c>
      <c r="O15" s="136">
        <f t="shared" si="2"/>
        <v>112111102.66666667</v>
      </c>
      <c r="P15" s="137" t="e">
        <f>#N/A</f>
        <v>#N/A</v>
      </c>
      <c r="R15" s="143"/>
    </row>
    <row r="16" spans="1:16" ht="24.75" customHeight="1">
      <c r="A16" s="12" t="s">
        <v>52</v>
      </c>
      <c r="B16" s="134" t="s">
        <v>174</v>
      </c>
      <c r="C16" s="135">
        <f>1!M17</f>
        <v>720901183</v>
      </c>
      <c r="D16" s="136">
        <f t="shared" si="1"/>
        <v>60075098.583333336</v>
      </c>
      <c r="E16" s="136">
        <f aca="true" t="shared" si="3" ref="E16:O21">D16</f>
        <v>60075098.583333336</v>
      </c>
      <c r="F16" s="136">
        <f t="shared" si="3"/>
        <v>60075098.583333336</v>
      </c>
      <c r="G16" s="136">
        <f t="shared" si="3"/>
        <v>60075098.583333336</v>
      </c>
      <c r="H16" s="136">
        <f t="shared" si="3"/>
        <v>60075098.583333336</v>
      </c>
      <c r="I16" s="136">
        <f t="shared" si="3"/>
        <v>60075098.583333336</v>
      </c>
      <c r="J16" s="136">
        <f t="shared" si="3"/>
        <v>60075098.583333336</v>
      </c>
      <c r="K16" s="136">
        <f t="shared" si="3"/>
        <v>60075098.583333336</v>
      </c>
      <c r="L16" s="136">
        <f t="shared" si="3"/>
        <v>60075098.583333336</v>
      </c>
      <c r="M16" s="136">
        <f t="shared" si="3"/>
        <v>60075098.583333336</v>
      </c>
      <c r="N16" s="136">
        <f t="shared" si="3"/>
        <v>60075098.583333336</v>
      </c>
      <c r="O16" s="136">
        <f t="shared" si="3"/>
        <v>60075098.583333336</v>
      </c>
      <c r="P16" s="137" t="e">
        <f>#N/A</f>
        <v>#N/A</v>
      </c>
    </row>
    <row r="17" spans="1:16" ht="24.75" customHeight="1">
      <c r="A17" s="12" t="s">
        <v>54</v>
      </c>
      <c r="B17" s="134" t="s">
        <v>214</v>
      </c>
      <c r="C17" s="135">
        <f>1!P17</f>
        <v>694465400</v>
      </c>
      <c r="D17" s="136">
        <f t="shared" si="1"/>
        <v>57872116.666666664</v>
      </c>
      <c r="E17" s="136">
        <f t="shared" si="3"/>
        <v>57872116.666666664</v>
      </c>
      <c r="F17" s="136">
        <f t="shared" si="3"/>
        <v>57872116.666666664</v>
      </c>
      <c r="G17" s="136">
        <f t="shared" si="3"/>
        <v>57872116.666666664</v>
      </c>
      <c r="H17" s="136">
        <f t="shared" si="3"/>
        <v>57872116.666666664</v>
      </c>
      <c r="I17" s="136">
        <f t="shared" si="3"/>
        <v>57872116.666666664</v>
      </c>
      <c r="J17" s="136">
        <f t="shared" si="3"/>
        <v>57872116.666666664</v>
      </c>
      <c r="K17" s="136">
        <f t="shared" si="3"/>
        <v>57872116.666666664</v>
      </c>
      <c r="L17" s="136">
        <f t="shared" si="3"/>
        <v>57872116.666666664</v>
      </c>
      <c r="M17" s="136">
        <f t="shared" si="3"/>
        <v>57872116.666666664</v>
      </c>
      <c r="N17" s="136">
        <f t="shared" si="3"/>
        <v>57872116.666666664</v>
      </c>
      <c r="O17" s="136">
        <f t="shared" si="3"/>
        <v>57872116.666666664</v>
      </c>
      <c r="P17" s="137" t="e">
        <f>#N/A</f>
        <v>#N/A</v>
      </c>
    </row>
    <row r="18" spans="1:16" ht="32.25" customHeight="1">
      <c r="A18" s="12" t="s">
        <v>48</v>
      </c>
      <c r="B18" s="134" t="s">
        <v>154</v>
      </c>
      <c r="C18" s="135">
        <f>1!Y17</f>
        <v>290606322</v>
      </c>
      <c r="D18" s="136">
        <f t="shared" si="1"/>
        <v>24217193.5</v>
      </c>
      <c r="E18" s="136">
        <f t="shared" si="3"/>
        <v>24217193.5</v>
      </c>
      <c r="F18" s="136">
        <f t="shared" si="3"/>
        <v>24217193.5</v>
      </c>
      <c r="G18" s="136">
        <f t="shared" si="3"/>
        <v>24217193.5</v>
      </c>
      <c r="H18" s="136">
        <f t="shared" si="3"/>
        <v>24217193.5</v>
      </c>
      <c r="I18" s="136">
        <f t="shared" si="3"/>
        <v>24217193.5</v>
      </c>
      <c r="J18" s="136">
        <f t="shared" si="3"/>
        <v>24217193.5</v>
      </c>
      <c r="K18" s="136">
        <f t="shared" si="3"/>
        <v>24217193.5</v>
      </c>
      <c r="L18" s="136">
        <f t="shared" si="3"/>
        <v>24217193.5</v>
      </c>
      <c r="M18" s="136">
        <f t="shared" si="3"/>
        <v>24217193.5</v>
      </c>
      <c r="N18" s="136">
        <f t="shared" si="3"/>
        <v>24217193.5</v>
      </c>
      <c r="O18" s="136">
        <f t="shared" si="3"/>
        <v>24217193.5</v>
      </c>
      <c r="P18" s="137" t="e">
        <f>#N/A</f>
        <v>#N/A</v>
      </c>
    </row>
    <row r="19" spans="1:16" ht="24.75" customHeight="1">
      <c r="A19" s="12" t="s">
        <v>24</v>
      </c>
      <c r="B19" s="134" t="s">
        <v>21</v>
      </c>
      <c r="C19" s="135">
        <f>1!AB17</f>
        <v>76513900</v>
      </c>
      <c r="D19" s="136">
        <f t="shared" si="1"/>
        <v>6376158.333333333</v>
      </c>
      <c r="E19" s="136">
        <f t="shared" si="3"/>
        <v>6376158.333333333</v>
      </c>
      <c r="F19" s="136">
        <f t="shared" si="3"/>
        <v>6376158.333333333</v>
      </c>
      <c r="G19" s="136">
        <f t="shared" si="3"/>
        <v>6376158.333333333</v>
      </c>
      <c r="H19" s="136">
        <f t="shared" si="3"/>
        <v>6376158.333333333</v>
      </c>
      <c r="I19" s="136">
        <f t="shared" si="3"/>
        <v>6376158.333333333</v>
      </c>
      <c r="J19" s="136">
        <f t="shared" si="3"/>
        <v>6376158.333333333</v>
      </c>
      <c r="K19" s="136">
        <f t="shared" si="3"/>
        <v>6376158.333333333</v>
      </c>
      <c r="L19" s="136">
        <f t="shared" si="3"/>
        <v>6376158.333333333</v>
      </c>
      <c r="M19" s="136">
        <f t="shared" si="3"/>
        <v>6376158.333333333</v>
      </c>
      <c r="N19" s="136">
        <f t="shared" si="3"/>
        <v>6376158.333333333</v>
      </c>
      <c r="O19" s="136">
        <f t="shared" si="3"/>
        <v>6376158.333333333</v>
      </c>
      <c r="P19" s="137" t="e">
        <f>#N/A</f>
        <v>#N/A</v>
      </c>
    </row>
    <row r="20" spans="1:16" ht="33.75" customHeight="1">
      <c r="A20" s="12" t="s">
        <v>26</v>
      </c>
      <c r="B20" s="134" t="s">
        <v>216</v>
      </c>
      <c r="C20" s="135">
        <f>1!AE17</f>
        <v>250000000</v>
      </c>
      <c r="D20" s="136">
        <f t="shared" si="1"/>
        <v>20833333.333333332</v>
      </c>
      <c r="E20" s="136">
        <f t="shared" si="3"/>
        <v>20833333.333333332</v>
      </c>
      <c r="F20" s="136">
        <f t="shared" si="3"/>
        <v>20833333.333333332</v>
      </c>
      <c r="G20" s="136">
        <f t="shared" si="3"/>
        <v>20833333.333333332</v>
      </c>
      <c r="H20" s="136">
        <f t="shared" si="3"/>
        <v>20833333.333333332</v>
      </c>
      <c r="I20" s="136">
        <f t="shared" si="3"/>
        <v>20833333.333333332</v>
      </c>
      <c r="J20" s="136">
        <f t="shared" si="3"/>
        <v>20833333.333333332</v>
      </c>
      <c r="K20" s="136">
        <f t="shared" si="3"/>
        <v>20833333.333333332</v>
      </c>
      <c r="L20" s="136">
        <f t="shared" si="3"/>
        <v>20833333.333333332</v>
      </c>
      <c r="M20" s="136">
        <f t="shared" si="3"/>
        <v>20833333.333333332</v>
      </c>
      <c r="N20" s="136">
        <f t="shared" si="3"/>
        <v>20833333.333333332</v>
      </c>
      <c r="O20" s="136">
        <f t="shared" si="3"/>
        <v>20833333.333333332</v>
      </c>
      <c r="P20" s="137" t="e">
        <f>#N/A</f>
        <v>#N/A</v>
      </c>
    </row>
    <row r="21" spans="1:16" ht="24.75" customHeight="1">
      <c r="A21" s="12" t="s">
        <v>28</v>
      </c>
      <c r="B21" s="134" t="s">
        <v>215</v>
      </c>
      <c r="C21" s="135">
        <f>1!AH17</f>
        <v>2648658331</v>
      </c>
      <c r="D21" s="136">
        <f t="shared" si="1"/>
        <v>220721527.58333334</v>
      </c>
      <c r="E21" s="136">
        <f t="shared" si="3"/>
        <v>220721527.58333334</v>
      </c>
      <c r="F21" s="136">
        <f t="shared" si="3"/>
        <v>220721527.58333334</v>
      </c>
      <c r="G21" s="136">
        <f t="shared" si="3"/>
        <v>220721527.58333334</v>
      </c>
      <c r="H21" s="136">
        <f t="shared" si="3"/>
        <v>220721527.58333334</v>
      </c>
      <c r="I21" s="136">
        <f t="shared" si="3"/>
        <v>220721527.58333334</v>
      </c>
      <c r="J21" s="136">
        <f t="shared" si="3"/>
        <v>220721527.58333334</v>
      </c>
      <c r="K21" s="136">
        <f t="shared" si="3"/>
        <v>220721527.58333334</v>
      </c>
      <c r="L21" s="136">
        <f t="shared" si="3"/>
        <v>220721527.58333334</v>
      </c>
      <c r="M21" s="136">
        <f t="shared" si="3"/>
        <v>220721527.58333334</v>
      </c>
      <c r="N21" s="136">
        <f t="shared" si="3"/>
        <v>220721527.58333334</v>
      </c>
      <c r="O21" s="136">
        <f t="shared" si="3"/>
        <v>220721527.58333334</v>
      </c>
      <c r="P21" s="137" t="e">
        <f>#N/A</f>
        <v>#N/A</v>
      </c>
    </row>
    <row r="22" spans="1:16" s="142" customFormat="1" ht="24.75" customHeight="1">
      <c r="A22" s="12" t="s">
        <v>31</v>
      </c>
      <c r="B22" s="140" t="s">
        <v>102</v>
      </c>
      <c r="C22" s="135">
        <f>SUM(C13:C21)</f>
        <v>7132306368</v>
      </c>
      <c r="D22" s="135">
        <f aca="true" t="shared" si="4" ref="D22:O22">SUM(D13:D21)</f>
        <v>546022114</v>
      </c>
      <c r="E22" s="135">
        <f t="shared" si="4"/>
        <v>546022114</v>
      </c>
      <c r="F22" s="135">
        <f t="shared" si="4"/>
        <v>779817114.0000001</v>
      </c>
      <c r="G22" s="135">
        <f t="shared" si="4"/>
        <v>546022114</v>
      </c>
      <c r="H22" s="135">
        <f t="shared" si="4"/>
        <v>601420114</v>
      </c>
      <c r="I22" s="135">
        <f t="shared" si="4"/>
        <v>546022114</v>
      </c>
      <c r="J22" s="135">
        <f t="shared" si="4"/>
        <v>546022114</v>
      </c>
      <c r="K22" s="135">
        <f t="shared" si="4"/>
        <v>546022114</v>
      </c>
      <c r="L22" s="135">
        <f t="shared" si="4"/>
        <v>776817114</v>
      </c>
      <c r="M22" s="135">
        <f t="shared" si="4"/>
        <v>546022114</v>
      </c>
      <c r="N22" s="135">
        <f t="shared" si="4"/>
        <v>546022114</v>
      </c>
      <c r="O22" s="135">
        <f t="shared" si="4"/>
        <v>606075114</v>
      </c>
      <c r="P22" s="137" t="e">
        <f>#N/A</f>
        <v>#N/A</v>
      </c>
    </row>
    <row r="23" spans="3:15" ht="19.5" customHeight="1" hidden="1">
      <c r="C23" s="137">
        <f>1!AN17</f>
        <v>7132306368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3:15" ht="19.5" customHeight="1" hidden="1">
      <c r="C24" s="137">
        <f>C23-C22</f>
        <v>0</v>
      </c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</row>
    <row r="25" spans="4:15" ht="12.75" hidden="1"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ht="12.75" hidden="1"/>
    <row r="27" spans="10:23" ht="20.25" hidden="1">
      <c r="J27" s="555"/>
      <c r="K27" s="555"/>
      <c r="L27" s="555"/>
      <c r="M27" s="555"/>
      <c r="N27" s="555"/>
      <c r="O27" s="555"/>
      <c r="P27" s="555"/>
      <c r="Q27" s="555"/>
      <c r="R27" s="555"/>
      <c r="S27" s="555"/>
      <c r="T27" s="555"/>
      <c r="U27" s="555"/>
      <c r="V27" s="555"/>
      <c r="W27" s="555"/>
    </row>
    <row r="33" spans="2:15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554"/>
      <c r="N33" s="556"/>
      <c r="O33" s="556"/>
    </row>
    <row r="34" spans="2:15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9"/>
      <c r="O34" s="9"/>
    </row>
    <row r="35" spans="2:15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9"/>
      <c r="O35" s="9"/>
    </row>
    <row r="36" spans="2:15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2:15" ht="22.5">
      <c r="B37" s="557"/>
      <c r="C37" s="557"/>
      <c r="D37" s="557"/>
      <c r="E37" s="557"/>
      <c r="F37" s="557"/>
      <c r="G37" s="557"/>
      <c r="H37" s="557"/>
      <c r="I37" s="557"/>
      <c r="J37" s="557"/>
      <c r="K37" s="557"/>
      <c r="L37" s="557"/>
      <c r="M37" s="557"/>
      <c r="N37" s="557"/>
      <c r="O37" s="557"/>
    </row>
    <row r="38" spans="2:15" ht="20.25">
      <c r="B38" s="561"/>
      <c r="C38" s="561"/>
      <c r="D38" s="561"/>
      <c r="E38" s="561"/>
      <c r="F38" s="561"/>
      <c r="G38" s="561"/>
      <c r="H38" s="561"/>
      <c r="I38" s="561"/>
      <c r="J38" s="561"/>
      <c r="K38" s="561"/>
      <c r="L38" s="561"/>
      <c r="M38" s="561"/>
      <c r="N38" s="561"/>
      <c r="O38" s="561"/>
    </row>
    <row r="39" spans="2:15" ht="20.25"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</row>
    <row r="40" spans="2:15" ht="20.25"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</row>
    <row r="41" spans="2:15" ht="20.25"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</row>
    <row r="42" spans="2:15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554"/>
      <c r="O42" s="554"/>
    </row>
    <row r="43" spans="2:15" ht="12.75">
      <c r="B43" s="147"/>
      <c r="C43" s="147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</row>
    <row r="44" spans="2:15" ht="24.75" customHeight="1">
      <c r="B44" s="149"/>
      <c r="C44" s="144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</row>
    <row r="45" spans="2:15" ht="24.75" customHeight="1">
      <c r="B45" s="149"/>
      <c r="C45" s="144"/>
      <c r="D45" s="151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</row>
    <row r="46" spans="2:15" ht="24.75" customHeight="1">
      <c r="B46" s="149"/>
      <c r="C46" s="144"/>
      <c r="D46" s="151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</row>
    <row r="47" spans="2:15" ht="24.75" customHeight="1">
      <c r="B47" s="149"/>
      <c r="C47" s="144"/>
      <c r="D47" s="151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</row>
    <row r="48" spans="2:15" ht="24.75" customHeight="1">
      <c r="B48" s="149"/>
      <c r="C48" s="144"/>
      <c r="D48" s="151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</row>
    <row r="49" spans="2:15" ht="24.75" customHeight="1">
      <c r="B49" s="149"/>
      <c r="C49" s="144"/>
      <c r="D49" s="151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</row>
    <row r="50" spans="2:15" ht="24.75" customHeight="1">
      <c r="B50" s="149"/>
      <c r="C50" s="144"/>
      <c r="D50" s="151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</row>
    <row r="51" spans="2:15" ht="24.75" customHeight="1">
      <c r="B51" s="149"/>
      <c r="C51" s="144"/>
      <c r="D51" s="151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</row>
    <row r="52" spans="2:15" ht="24.75" customHeight="1">
      <c r="B52" s="152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</row>
  </sheetData>
  <sheetProtection/>
  <mergeCells count="10">
    <mergeCell ref="N42:O42"/>
    <mergeCell ref="B9:O9"/>
    <mergeCell ref="J27:W27"/>
    <mergeCell ref="M33:O33"/>
    <mergeCell ref="B37:O37"/>
    <mergeCell ref="B2:F2"/>
    <mergeCell ref="I2:O2"/>
    <mergeCell ref="B6:O6"/>
    <mergeCell ref="B7:O7"/>
    <mergeCell ref="B38:O3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Békés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Váczi Julianna</dc:creator>
  <cp:keywords/>
  <dc:description/>
  <cp:lastModifiedBy>Dr. Tanai Judit</cp:lastModifiedBy>
  <cp:lastPrinted>2019-08-29T08:04:14Z</cp:lastPrinted>
  <dcterms:created xsi:type="dcterms:W3CDTF">2014-02-02T08:05:39Z</dcterms:created>
  <dcterms:modified xsi:type="dcterms:W3CDTF">2019-08-30T09:04:21Z</dcterms:modified>
  <cp:category/>
  <cp:version/>
  <cp:contentType/>
  <cp:contentStatus/>
</cp:coreProperties>
</file>