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45" windowWidth="9135" windowHeight="3930" firstSheet="1" activeTab="1"/>
  </bookViews>
  <sheets>
    <sheet name="Modul1" sheetId="1" state="veryHidden" r:id="rId1"/>
    <sheet name="TÁRSASHÁZAK" sheetId="2" r:id="rId2"/>
  </sheets>
  <externalReferences>
    <externalReference r:id="rId3"/>
    <externalReference r:id="rId4"/>
  </externalReferences>
  <definedNames>
    <definedName name="_xlnm.Print_Titles" localSheetId="1">TÁRSASHÁZAK!$5:$6</definedName>
  </definedNames>
  <calcPr calcId="145621"/>
</workbook>
</file>

<file path=xl/calcChain.xml><?xml version="1.0" encoding="utf-8"?>
<calcChain xmlns="http://schemas.openxmlformats.org/spreadsheetml/2006/main">
  <c r="O72" i="2" l="1"/>
  <c r="O101" i="2"/>
  <c r="O490" i="2" l="1"/>
  <c r="N490" i="2"/>
  <c r="P437" i="2"/>
  <c r="P165" i="2" l="1"/>
  <c r="P411" i="2" l="1"/>
  <c r="P217" i="2" l="1"/>
  <c r="P167" i="2"/>
  <c r="J7" i="2" l="1"/>
  <c r="K7" i="2" s="1"/>
  <c r="L7" i="2" s="1"/>
  <c r="P7" i="2"/>
  <c r="J8" i="2"/>
  <c r="K8" i="2" s="1"/>
  <c r="L8" i="2" s="1"/>
  <c r="P8" i="2"/>
  <c r="J9" i="2"/>
  <c r="K9" i="2" s="1"/>
  <c r="L9" i="2" s="1"/>
  <c r="P9" i="2"/>
  <c r="J10" i="2"/>
  <c r="K10" i="2" s="1"/>
  <c r="L10" i="2" s="1"/>
  <c r="P10" i="2"/>
  <c r="J11" i="2"/>
  <c r="K11" i="2" s="1"/>
  <c r="L11" i="2" s="1"/>
  <c r="P11" i="2"/>
  <c r="J12" i="2"/>
  <c r="K12" i="2" s="1"/>
  <c r="L12" i="2" s="1"/>
  <c r="P12" i="2"/>
  <c r="J13" i="2"/>
  <c r="L13" i="2"/>
  <c r="P13" i="2"/>
  <c r="J14" i="2"/>
  <c r="K14" i="2" s="1"/>
  <c r="L14" i="2" s="1"/>
  <c r="P14" i="2"/>
  <c r="E15" i="2"/>
  <c r="J15" i="2" s="1"/>
  <c r="F15" i="2"/>
  <c r="G15" i="2"/>
  <c r="P15" i="2"/>
  <c r="J16" i="2"/>
  <c r="K16" i="2" s="1"/>
  <c r="L16" i="2" s="1"/>
  <c r="P16" i="2"/>
  <c r="J17" i="2"/>
  <c r="K17" i="2" s="1"/>
  <c r="L17" i="2" s="1"/>
  <c r="P17" i="2"/>
  <c r="E18" i="2"/>
  <c r="J18" i="2" s="1"/>
  <c r="F18" i="2"/>
  <c r="G18" i="2"/>
  <c r="P18" i="2"/>
  <c r="J19" i="2"/>
  <c r="K19" i="2" s="1"/>
  <c r="L19" i="2" s="1"/>
  <c r="P19" i="2"/>
  <c r="P20" i="2"/>
  <c r="J21" i="2"/>
  <c r="K21" i="2" s="1"/>
  <c r="L21" i="2" s="1"/>
  <c r="P21" i="2"/>
  <c r="J22" i="2"/>
  <c r="K22" i="2" s="1"/>
  <c r="L22" i="2" s="1"/>
  <c r="P22" i="2"/>
  <c r="E23" i="2"/>
  <c r="F23" i="2"/>
  <c r="J23" i="2"/>
  <c r="P23" i="2"/>
  <c r="J24" i="2"/>
  <c r="K24" i="2" s="1"/>
  <c r="L24" i="2" s="1"/>
  <c r="P24" i="2"/>
  <c r="J25" i="2"/>
  <c r="K25" i="2" s="1"/>
  <c r="L25" i="2" s="1"/>
  <c r="P25" i="2"/>
  <c r="J26" i="2"/>
  <c r="K26" i="2" s="1"/>
  <c r="L26" i="2" s="1"/>
  <c r="P26" i="2"/>
  <c r="J27" i="2"/>
  <c r="K27" i="2" s="1"/>
  <c r="L27" i="2" s="1"/>
  <c r="P27" i="2"/>
  <c r="J28" i="2"/>
  <c r="K28" i="2" s="1"/>
  <c r="L28" i="2" s="1"/>
  <c r="P28" i="2"/>
  <c r="E29" i="2"/>
  <c r="J29" i="2" s="1"/>
  <c r="F29" i="2"/>
  <c r="G29" i="2"/>
  <c r="P29" i="2"/>
  <c r="E30" i="2"/>
  <c r="J30" i="2" s="1"/>
  <c r="F30" i="2"/>
  <c r="G30" i="2"/>
  <c r="P30" i="2"/>
  <c r="J31" i="2"/>
  <c r="K31" i="2" s="1"/>
  <c r="L31" i="2" s="1"/>
  <c r="P31" i="2"/>
  <c r="J32" i="2"/>
  <c r="K32" i="2" s="1"/>
  <c r="L32" i="2" s="1"/>
  <c r="P32" i="2"/>
  <c r="J33" i="2"/>
  <c r="K33" i="2" s="1"/>
  <c r="L33" i="2" s="1"/>
  <c r="P33" i="2"/>
  <c r="J34" i="2"/>
  <c r="K34" i="2" s="1"/>
  <c r="L34" i="2" s="1"/>
  <c r="P34" i="2"/>
  <c r="J35" i="2"/>
  <c r="K35" i="2" s="1"/>
  <c r="L35" i="2" s="1"/>
  <c r="P35" i="2"/>
  <c r="J36" i="2"/>
  <c r="K36" i="2" s="1"/>
  <c r="L36" i="2" s="1"/>
  <c r="P36" i="2"/>
  <c r="J37" i="2"/>
  <c r="K37" i="2" s="1"/>
  <c r="L37" i="2" s="1"/>
  <c r="P37" i="2"/>
  <c r="K38" i="2"/>
  <c r="L38" i="2" s="1"/>
  <c r="P38" i="2"/>
  <c r="D39" i="2"/>
  <c r="E39" i="2"/>
  <c r="G39" i="2"/>
  <c r="P39" i="2"/>
  <c r="J40" i="2"/>
  <c r="K40" i="2" s="1"/>
  <c r="L40" i="2" s="1"/>
  <c r="P40" i="2"/>
  <c r="J41" i="2"/>
  <c r="K41" i="2" s="1"/>
  <c r="L41" i="2" s="1"/>
  <c r="P41" i="2"/>
  <c r="J42" i="2"/>
  <c r="K42" i="2" s="1"/>
  <c r="L42" i="2" s="1"/>
  <c r="P42" i="2"/>
  <c r="F43" i="2"/>
  <c r="G43" i="2"/>
  <c r="J43" i="2"/>
  <c r="K43" i="2" s="1"/>
  <c r="P43" i="2"/>
  <c r="J44" i="2"/>
  <c r="K44" i="2" s="1"/>
  <c r="L44" i="2" s="1"/>
  <c r="P44" i="2"/>
  <c r="J45" i="2"/>
  <c r="K45" i="2" s="1"/>
  <c r="L45" i="2" s="1"/>
  <c r="P45" i="2"/>
  <c r="J46" i="2"/>
  <c r="K46" i="2" s="1"/>
  <c r="L46" i="2" s="1"/>
  <c r="P46" i="2"/>
  <c r="J47" i="2"/>
  <c r="K47" i="2" s="1"/>
  <c r="L47" i="2" s="1"/>
  <c r="P47" i="2"/>
  <c r="E48" i="2"/>
  <c r="J48" i="2" s="1"/>
  <c r="K48" i="2" s="1"/>
  <c r="L48" i="2" s="1"/>
  <c r="P48" i="2"/>
  <c r="J49" i="2"/>
  <c r="K49" i="2" s="1"/>
  <c r="L49" i="2" s="1"/>
  <c r="P49" i="2"/>
  <c r="J50" i="2"/>
  <c r="K50" i="2"/>
  <c r="L50" i="2" s="1"/>
  <c r="P50" i="2"/>
  <c r="J51" i="2"/>
  <c r="K51" i="2" s="1"/>
  <c r="L51" i="2" s="1"/>
  <c r="P51" i="2"/>
  <c r="J52" i="2"/>
  <c r="K52" i="2" s="1"/>
  <c r="L52" i="2" s="1"/>
  <c r="P52" i="2"/>
  <c r="J53" i="2"/>
  <c r="K53" i="2" s="1"/>
  <c r="L53" i="2" s="1"/>
  <c r="P53" i="2"/>
  <c r="J54" i="2"/>
  <c r="K54" i="2" s="1"/>
  <c r="L54" i="2" s="1"/>
  <c r="P54" i="2"/>
  <c r="J55" i="2"/>
  <c r="K55" i="2" s="1"/>
  <c r="L55" i="2" s="1"/>
  <c r="P55" i="2"/>
  <c r="J56" i="2"/>
  <c r="K56" i="2" s="1"/>
  <c r="L56" i="2" s="1"/>
  <c r="P56" i="2"/>
  <c r="P57" i="2"/>
  <c r="J58" i="2"/>
  <c r="K58" i="2" s="1"/>
  <c r="L58" i="2" s="1"/>
  <c r="P58" i="2"/>
  <c r="J59" i="2"/>
  <c r="K59" i="2" s="1"/>
  <c r="L59" i="2" s="1"/>
  <c r="P59" i="2"/>
  <c r="P60" i="2"/>
  <c r="J61" i="2"/>
  <c r="K61" i="2" s="1"/>
  <c r="L61" i="2" s="1"/>
  <c r="P61" i="2"/>
  <c r="J62" i="2"/>
  <c r="K62" i="2" s="1"/>
  <c r="L62" i="2" s="1"/>
  <c r="P62" i="2"/>
  <c r="J63" i="2"/>
  <c r="K63" i="2" s="1"/>
  <c r="L63" i="2" s="1"/>
  <c r="P63" i="2"/>
  <c r="J64" i="2"/>
  <c r="K64" i="2" s="1"/>
  <c r="L64" i="2" s="1"/>
  <c r="P64" i="2"/>
  <c r="J65" i="2"/>
  <c r="K65" i="2" s="1"/>
  <c r="L65" i="2" s="1"/>
  <c r="P65" i="2"/>
  <c r="J66" i="2"/>
  <c r="K66" i="2" s="1"/>
  <c r="L66" i="2" s="1"/>
  <c r="P66" i="2"/>
  <c r="J67" i="2"/>
  <c r="K67" i="2" s="1"/>
  <c r="L67" i="2" s="1"/>
  <c r="P67" i="2"/>
  <c r="F68" i="2"/>
  <c r="G68" i="2"/>
  <c r="J68" i="2"/>
  <c r="K68" i="2" s="1"/>
  <c r="P68" i="2"/>
  <c r="P69" i="2"/>
  <c r="J70" i="2"/>
  <c r="K70" i="2" s="1"/>
  <c r="L70" i="2" s="1"/>
  <c r="P70" i="2"/>
  <c r="J71" i="2"/>
  <c r="K71" i="2" s="1"/>
  <c r="L71" i="2" s="1"/>
  <c r="P71" i="2"/>
  <c r="J72" i="2"/>
  <c r="K72" i="2" s="1"/>
  <c r="L72" i="2" s="1"/>
  <c r="P72" i="2"/>
  <c r="E73" i="2"/>
  <c r="J73" i="2" s="1"/>
  <c r="K73" i="2" s="1"/>
  <c r="L73" i="2" s="1"/>
  <c r="P73" i="2"/>
  <c r="J74" i="2"/>
  <c r="K74" i="2" s="1"/>
  <c r="L74" i="2" s="1"/>
  <c r="P74" i="2"/>
  <c r="J75" i="2"/>
  <c r="K75" i="2" s="1"/>
  <c r="L75" i="2" s="1"/>
  <c r="P75" i="2"/>
  <c r="J76" i="2"/>
  <c r="K76" i="2" s="1"/>
  <c r="L76" i="2" s="1"/>
  <c r="P76" i="2"/>
  <c r="J77" i="2"/>
  <c r="K77" i="2" s="1"/>
  <c r="L77" i="2" s="1"/>
  <c r="P77" i="2"/>
  <c r="P78" i="2"/>
  <c r="J79" i="2"/>
  <c r="K79" i="2" s="1"/>
  <c r="L79" i="2" s="1"/>
  <c r="P79" i="2"/>
  <c r="J80" i="2"/>
  <c r="K80" i="2" s="1"/>
  <c r="L80" i="2" s="1"/>
  <c r="P80" i="2"/>
  <c r="J81" i="2"/>
  <c r="K81" i="2" s="1"/>
  <c r="L81" i="2" s="1"/>
  <c r="P81" i="2"/>
  <c r="J82" i="2"/>
  <c r="K82" i="2" s="1"/>
  <c r="L82" i="2" s="1"/>
  <c r="P82" i="2"/>
  <c r="J83" i="2"/>
  <c r="K83" i="2" s="1"/>
  <c r="L83" i="2" s="1"/>
  <c r="P83" i="2"/>
  <c r="E84" i="2"/>
  <c r="J84" i="2" s="1"/>
  <c r="F84" i="2"/>
  <c r="G84" i="2"/>
  <c r="P84" i="2"/>
  <c r="J85" i="2"/>
  <c r="K85" i="2" s="1"/>
  <c r="L85" i="2" s="1"/>
  <c r="P85" i="2"/>
  <c r="J86" i="2"/>
  <c r="K86" i="2" s="1"/>
  <c r="L86" i="2" s="1"/>
  <c r="P86" i="2"/>
  <c r="J87" i="2"/>
  <c r="K87" i="2" s="1"/>
  <c r="L87" i="2" s="1"/>
  <c r="P87" i="2"/>
  <c r="J88" i="2"/>
  <c r="K88" i="2" s="1"/>
  <c r="L88" i="2" s="1"/>
  <c r="P88" i="2"/>
  <c r="J89" i="2"/>
  <c r="K89" i="2" s="1"/>
  <c r="L89" i="2" s="1"/>
  <c r="P89" i="2"/>
  <c r="J90" i="2"/>
  <c r="K90" i="2" s="1"/>
  <c r="L90" i="2" s="1"/>
  <c r="P90" i="2"/>
  <c r="E91" i="2"/>
  <c r="J91" i="2" s="1"/>
  <c r="F91" i="2"/>
  <c r="G91" i="2"/>
  <c r="P91" i="2"/>
  <c r="E92" i="2"/>
  <c r="J92" i="2" s="1"/>
  <c r="F92" i="2"/>
  <c r="G92" i="2"/>
  <c r="P92" i="2"/>
  <c r="J93" i="2"/>
  <c r="K93" i="2" s="1"/>
  <c r="L93" i="2" s="1"/>
  <c r="P93" i="2"/>
  <c r="J94" i="2"/>
  <c r="K94" i="2" s="1"/>
  <c r="L94" i="2" s="1"/>
  <c r="P94" i="2"/>
  <c r="J95" i="2"/>
  <c r="K95" i="2" s="1"/>
  <c r="L95" i="2" s="1"/>
  <c r="P95" i="2"/>
  <c r="J96" i="2"/>
  <c r="K96" i="2" s="1"/>
  <c r="L96" i="2" s="1"/>
  <c r="P96" i="2"/>
  <c r="J97" i="2"/>
  <c r="K97" i="2" s="1"/>
  <c r="L97" i="2" s="1"/>
  <c r="P97" i="2"/>
  <c r="J98" i="2"/>
  <c r="K98" i="2" s="1"/>
  <c r="L98" i="2" s="1"/>
  <c r="P98" i="2"/>
  <c r="J99" i="2"/>
  <c r="K99" i="2" s="1"/>
  <c r="L99" i="2" s="1"/>
  <c r="P99" i="2"/>
  <c r="J100" i="2"/>
  <c r="K100" i="2" s="1"/>
  <c r="L100" i="2" s="1"/>
  <c r="P100" i="2"/>
  <c r="P101" i="2"/>
  <c r="J102" i="2"/>
  <c r="K102" i="2" s="1"/>
  <c r="L102" i="2" s="1"/>
  <c r="P102" i="2"/>
  <c r="J103" i="2"/>
  <c r="K103" i="2" s="1"/>
  <c r="L103" i="2" s="1"/>
  <c r="P103" i="2"/>
  <c r="J104" i="2"/>
  <c r="K104" i="2" s="1"/>
  <c r="L104" i="2" s="1"/>
  <c r="P104" i="2"/>
  <c r="J105" i="2"/>
  <c r="K105" i="2" s="1"/>
  <c r="L105" i="2" s="1"/>
  <c r="P105" i="2"/>
  <c r="J106" i="2"/>
  <c r="K106" i="2" s="1"/>
  <c r="L106" i="2" s="1"/>
  <c r="P106" i="2"/>
  <c r="J107" i="2"/>
  <c r="K107" i="2" s="1"/>
  <c r="L107" i="2" s="1"/>
  <c r="P107" i="2"/>
  <c r="P108" i="2"/>
  <c r="E109" i="2"/>
  <c r="J109" i="2" s="1"/>
  <c r="F109" i="2"/>
  <c r="G109" i="2"/>
  <c r="P109" i="2"/>
  <c r="E110" i="2"/>
  <c r="J110" i="2" s="1"/>
  <c r="F110" i="2"/>
  <c r="G110" i="2"/>
  <c r="P110" i="2"/>
  <c r="J111" i="2"/>
  <c r="K111" i="2" s="1"/>
  <c r="L111" i="2" s="1"/>
  <c r="P111" i="2"/>
  <c r="J112" i="2"/>
  <c r="K112" i="2" s="1"/>
  <c r="L112" i="2" s="1"/>
  <c r="P112" i="2"/>
  <c r="J113" i="2"/>
  <c r="K113" i="2" s="1"/>
  <c r="L113" i="2" s="1"/>
  <c r="P113" i="2"/>
  <c r="E114" i="2"/>
  <c r="G114" i="2"/>
  <c r="J114" i="2"/>
  <c r="K114" i="2" s="1"/>
  <c r="P114" i="2"/>
  <c r="J115" i="2"/>
  <c r="K115" i="2" s="1"/>
  <c r="L115" i="2" s="1"/>
  <c r="P115" i="2"/>
  <c r="J116" i="2"/>
  <c r="K116" i="2" s="1"/>
  <c r="L116" i="2" s="1"/>
  <c r="P116" i="2"/>
  <c r="J117" i="2"/>
  <c r="K117" i="2" s="1"/>
  <c r="L117" i="2" s="1"/>
  <c r="P117" i="2"/>
  <c r="J118" i="2"/>
  <c r="K118" i="2" s="1"/>
  <c r="L118" i="2" s="1"/>
  <c r="P118" i="2"/>
  <c r="J119" i="2"/>
  <c r="K119" i="2" s="1"/>
  <c r="L119" i="2"/>
  <c r="P119" i="2"/>
  <c r="J120" i="2"/>
  <c r="K120" i="2" s="1"/>
  <c r="L120" i="2" s="1"/>
  <c r="P120" i="2"/>
  <c r="J121" i="2"/>
  <c r="K121" i="2" s="1"/>
  <c r="L121" i="2" s="1"/>
  <c r="P121" i="2"/>
  <c r="J122" i="2"/>
  <c r="K122" i="2" s="1"/>
  <c r="L122" i="2" s="1"/>
  <c r="P122" i="2"/>
  <c r="J123" i="2"/>
  <c r="K123" i="2" s="1"/>
  <c r="L123" i="2" s="1"/>
  <c r="P123" i="2"/>
  <c r="P124" i="2"/>
  <c r="J125" i="2"/>
  <c r="K125" i="2" s="1"/>
  <c r="L125" i="2" s="1"/>
  <c r="P125" i="2"/>
  <c r="G126" i="2"/>
  <c r="J126" i="2"/>
  <c r="K126" i="2" s="1"/>
  <c r="P126" i="2"/>
  <c r="J127" i="2"/>
  <c r="K127" i="2" s="1"/>
  <c r="L127" i="2" s="1"/>
  <c r="P127" i="2"/>
  <c r="E128" i="2"/>
  <c r="G128" i="2"/>
  <c r="J128" i="2"/>
  <c r="K128" i="2" s="1"/>
  <c r="P128" i="2"/>
  <c r="J129" i="2"/>
  <c r="K129" i="2" s="1"/>
  <c r="L129" i="2" s="1"/>
  <c r="P129" i="2"/>
  <c r="J130" i="2"/>
  <c r="K130" i="2" s="1"/>
  <c r="L130" i="2" s="1"/>
  <c r="P130" i="2"/>
  <c r="K131" i="2"/>
  <c r="L131" i="2" s="1"/>
  <c r="P131" i="2"/>
  <c r="J132" i="2"/>
  <c r="K132" i="2" s="1"/>
  <c r="L132" i="2" s="1"/>
  <c r="P132" i="2"/>
  <c r="J133" i="2"/>
  <c r="K133" i="2" s="1"/>
  <c r="L133" i="2" s="1"/>
  <c r="P133" i="2"/>
  <c r="J134" i="2"/>
  <c r="K134" i="2" s="1"/>
  <c r="L134" i="2" s="1"/>
  <c r="P134" i="2"/>
  <c r="P135" i="2"/>
  <c r="J136" i="2"/>
  <c r="K136" i="2" s="1"/>
  <c r="L136" i="2" s="1"/>
  <c r="P136" i="2"/>
  <c r="J137" i="2"/>
  <c r="K137" i="2" s="1"/>
  <c r="L137" i="2" s="1"/>
  <c r="P137" i="2"/>
  <c r="P138" i="2"/>
  <c r="J139" i="2"/>
  <c r="K139" i="2" s="1"/>
  <c r="L139" i="2" s="1"/>
  <c r="P139" i="2"/>
  <c r="J140" i="2"/>
  <c r="K140" i="2" s="1"/>
  <c r="L140" i="2" s="1"/>
  <c r="P140" i="2"/>
  <c r="D141" i="2"/>
  <c r="E141" i="2"/>
  <c r="F141" i="2"/>
  <c r="G141" i="2"/>
  <c r="P141" i="2"/>
  <c r="J142" i="2"/>
  <c r="K142" i="2" s="1"/>
  <c r="L142" i="2" s="1"/>
  <c r="P142" i="2"/>
  <c r="J143" i="2"/>
  <c r="K143" i="2" s="1"/>
  <c r="L143" i="2" s="1"/>
  <c r="P143" i="2"/>
  <c r="J144" i="2"/>
  <c r="K144" i="2" s="1"/>
  <c r="L144" i="2" s="1"/>
  <c r="P144" i="2"/>
  <c r="J145" i="2"/>
  <c r="K145" i="2" s="1"/>
  <c r="L145" i="2" s="1"/>
  <c r="P145" i="2"/>
  <c r="J146" i="2"/>
  <c r="K146" i="2" s="1"/>
  <c r="L146" i="2" s="1"/>
  <c r="P146" i="2"/>
  <c r="J147" i="2"/>
  <c r="K147" i="2" s="1"/>
  <c r="L147" i="2" s="1"/>
  <c r="P147" i="2"/>
  <c r="J148" i="2"/>
  <c r="K148" i="2" s="1"/>
  <c r="L148" i="2" s="1"/>
  <c r="P148" i="2"/>
  <c r="J149" i="2"/>
  <c r="K149" i="2" s="1"/>
  <c r="L149" i="2" s="1"/>
  <c r="P149" i="2"/>
  <c r="J150" i="2"/>
  <c r="K150" i="2" s="1"/>
  <c r="L150" i="2" s="1"/>
  <c r="P150" i="2"/>
  <c r="J151" i="2"/>
  <c r="K151" i="2" s="1"/>
  <c r="L151" i="2" s="1"/>
  <c r="P151" i="2"/>
  <c r="J152" i="2"/>
  <c r="K152" i="2" s="1"/>
  <c r="L152" i="2" s="1"/>
  <c r="P152" i="2"/>
  <c r="J153" i="2"/>
  <c r="K153" i="2" s="1"/>
  <c r="L153" i="2" s="1"/>
  <c r="P153" i="2"/>
  <c r="J154" i="2"/>
  <c r="K154" i="2" s="1"/>
  <c r="L154" i="2" s="1"/>
  <c r="P154" i="2"/>
  <c r="J155" i="2"/>
  <c r="K155" i="2" s="1"/>
  <c r="L155" i="2" s="1"/>
  <c r="P155" i="2"/>
  <c r="J156" i="2"/>
  <c r="K156" i="2" s="1"/>
  <c r="L156" i="2" s="1"/>
  <c r="P156" i="2"/>
  <c r="J157" i="2"/>
  <c r="K157" i="2" s="1"/>
  <c r="L157" i="2" s="1"/>
  <c r="P157" i="2"/>
  <c r="J158" i="2"/>
  <c r="K158" i="2" s="1"/>
  <c r="L158" i="2" s="1"/>
  <c r="P158" i="2"/>
  <c r="J159" i="2"/>
  <c r="K159" i="2" s="1"/>
  <c r="L159" i="2" s="1"/>
  <c r="P159" i="2"/>
  <c r="J160" i="2"/>
  <c r="K160" i="2" s="1"/>
  <c r="L160" i="2" s="1"/>
  <c r="P160" i="2"/>
  <c r="J161" i="2"/>
  <c r="K161" i="2" s="1"/>
  <c r="L161" i="2" s="1"/>
  <c r="P161" i="2"/>
  <c r="P162" i="2"/>
  <c r="J163" i="2"/>
  <c r="K163" i="2" s="1"/>
  <c r="L163" i="2" s="1"/>
  <c r="P163" i="2"/>
  <c r="J164" i="2"/>
  <c r="K164" i="2" s="1"/>
  <c r="L164" i="2" s="1"/>
  <c r="P164" i="2"/>
  <c r="J166" i="2"/>
  <c r="K166" i="2" s="1"/>
  <c r="L166" i="2" s="1"/>
  <c r="P166" i="2"/>
  <c r="G168" i="2"/>
  <c r="K168" i="2"/>
  <c r="P168" i="2"/>
  <c r="J169" i="2"/>
  <c r="K169" i="2" s="1"/>
  <c r="L169" i="2" s="1"/>
  <c r="P169" i="2"/>
  <c r="J170" i="2"/>
  <c r="K170" i="2" s="1"/>
  <c r="L170" i="2" s="1"/>
  <c r="P170" i="2"/>
  <c r="J171" i="2"/>
  <c r="K171" i="2" s="1"/>
  <c r="L171" i="2" s="1"/>
  <c r="P171" i="2"/>
  <c r="J172" i="2"/>
  <c r="K172" i="2" s="1"/>
  <c r="L172" i="2" s="1"/>
  <c r="P172" i="2"/>
  <c r="J173" i="2"/>
  <c r="K173" i="2" s="1"/>
  <c r="L173" i="2" s="1"/>
  <c r="P173" i="2"/>
  <c r="J174" i="2"/>
  <c r="K174" i="2" s="1"/>
  <c r="L174" i="2" s="1"/>
  <c r="P174" i="2"/>
  <c r="J175" i="2"/>
  <c r="K175" i="2" s="1"/>
  <c r="L175" i="2" s="1"/>
  <c r="P175" i="2"/>
  <c r="J176" i="2"/>
  <c r="K176" i="2" s="1"/>
  <c r="L176" i="2" s="1"/>
  <c r="P176" i="2"/>
  <c r="J177" i="2"/>
  <c r="K177" i="2" s="1"/>
  <c r="L177" i="2" s="1"/>
  <c r="P177" i="2"/>
  <c r="J178" i="2"/>
  <c r="K178" i="2" s="1"/>
  <c r="L178" i="2" s="1"/>
  <c r="P178" i="2"/>
  <c r="J179" i="2"/>
  <c r="K179" i="2" s="1"/>
  <c r="L179" i="2" s="1"/>
  <c r="P179" i="2"/>
  <c r="P180" i="2"/>
  <c r="J181" i="2"/>
  <c r="K181" i="2" s="1"/>
  <c r="L181" i="2" s="1"/>
  <c r="P181" i="2"/>
  <c r="J182" i="2"/>
  <c r="K182" i="2" s="1"/>
  <c r="L182" i="2" s="1"/>
  <c r="P182" i="2"/>
  <c r="J183" i="2"/>
  <c r="K183" i="2" s="1"/>
  <c r="L183" i="2" s="1"/>
  <c r="P183" i="2"/>
  <c r="J184" i="2"/>
  <c r="K184" i="2" s="1"/>
  <c r="L184" i="2" s="1"/>
  <c r="P184" i="2"/>
  <c r="D185" i="2"/>
  <c r="E185" i="2"/>
  <c r="P185" i="2"/>
  <c r="E186" i="2"/>
  <c r="G186" i="2"/>
  <c r="J186" i="2"/>
  <c r="K186" i="2" s="1"/>
  <c r="P186" i="2"/>
  <c r="J187" i="2"/>
  <c r="K187" i="2" s="1"/>
  <c r="L187" i="2" s="1"/>
  <c r="P187" i="2"/>
  <c r="J188" i="2"/>
  <c r="K188" i="2" s="1"/>
  <c r="L188" i="2" s="1"/>
  <c r="P188" i="2"/>
  <c r="E189" i="2"/>
  <c r="J189" i="2" s="1"/>
  <c r="F189" i="2"/>
  <c r="G189" i="2"/>
  <c r="P189" i="2"/>
  <c r="J190" i="2"/>
  <c r="K190" i="2"/>
  <c r="L190" i="2" s="1"/>
  <c r="P190" i="2"/>
  <c r="J191" i="2"/>
  <c r="K191" i="2" s="1"/>
  <c r="L191" i="2" s="1"/>
  <c r="P191" i="2"/>
  <c r="E192" i="2"/>
  <c r="G192" i="2"/>
  <c r="J192" i="2"/>
  <c r="K192" i="2" s="1"/>
  <c r="P192" i="2"/>
  <c r="J193" i="2"/>
  <c r="K193" i="2" s="1"/>
  <c r="L193" i="2" s="1"/>
  <c r="P193" i="2"/>
  <c r="J194" i="2"/>
  <c r="K194" i="2" s="1"/>
  <c r="L194" i="2" s="1"/>
  <c r="P194" i="2"/>
  <c r="P195" i="2"/>
  <c r="E196" i="2"/>
  <c r="G196" i="2"/>
  <c r="J196" i="2"/>
  <c r="K196" i="2" s="1"/>
  <c r="P196" i="2"/>
  <c r="J197" i="2"/>
  <c r="K197" i="2" s="1"/>
  <c r="L197" i="2" s="1"/>
  <c r="P197" i="2"/>
  <c r="J198" i="2"/>
  <c r="K198" i="2" s="1"/>
  <c r="L198" i="2" s="1"/>
  <c r="P198" i="2"/>
  <c r="J199" i="2"/>
  <c r="K199" i="2" s="1"/>
  <c r="L199" i="2" s="1"/>
  <c r="P199" i="2"/>
  <c r="F200" i="2"/>
  <c r="G200" i="2"/>
  <c r="J200" i="2"/>
  <c r="K200" i="2" s="1"/>
  <c r="P200" i="2"/>
  <c r="J201" i="2"/>
  <c r="L201" i="2"/>
  <c r="P201" i="2"/>
  <c r="D202" i="2"/>
  <c r="E202" i="2"/>
  <c r="G202" i="2"/>
  <c r="P202" i="2"/>
  <c r="J203" i="2"/>
  <c r="K203" i="2" s="1"/>
  <c r="L203" i="2" s="1"/>
  <c r="P203" i="2"/>
  <c r="J204" i="2"/>
  <c r="K204" i="2" s="1"/>
  <c r="L204" i="2" s="1"/>
  <c r="P204" i="2"/>
  <c r="E205" i="2"/>
  <c r="F205" i="2"/>
  <c r="J205" i="2"/>
  <c r="P205" i="2"/>
  <c r="J206" i="2"/>
  <c r="K206" i="2" s="1"/>
  <c r="L206" i="2" s="1"/>
  <c r="P206" i="2"/>
  <c r="J207" i="2"/>
  <c r="K207" i="2" s="1"/>
  <c r="L207" i="2" s="1"/>
  <c r="P207" i="2"/>
  <c r="J208" i="2"/>
  <c r="K208" i="2" s="1"/>
  <c r="L208" i="2" s="1"/>
  <c r="P208" i="2"/>
  <c r="G209" i="2"/>
  <c r="J209" i="2"/>
  <c r="K209" i="2" s="1"/>
  <c r="P209" i="2"/>
  <c r="E210" i="2"/>
  <c r="J210" i="2" s="1"/>
  <c r="K210" i="2" s="1"/>
  <c r="L210" i="2" s="1"/>
  <c r="P210" i="2"/>
  <c r="J211" i="2"/>
  <c r="K211" i="2" s="1"/>
  <c r="L211" i="2" s="1"/>
  <c r="P211" i="2"/>
  <c r="J212" i="2"/>
  <c r="K212" i="2" s="1"/>
  <c r="L212" i="2" s="1"/>
  <c r="P212" i="2"/>
  <c r="J213" i="2"/>
  <c r="K213" i="2" s="1"/>
  <c r="L213" i="2" s="1"/>
  <c r="P213" i="2"/>
  <c r="J214" i="2"/>
  <c r="K214" i="2" s="1"/>
  <c r="L214" i="2" s="1"/>
  <c r="P214" i="2"/>
  <c r="J215" i="2"/>
  <c r="K215" i="2" s="1"/>
  <c r="L215" i="2" s="1"/>
  <c r="P215" i="2"/>
  <c r="J216" i="2"/>
  <c r="K216" i="2" s="1"/>
  <c r="L216" i="2" s="1"/>
  <c r="P216" i="2"/>
  <c r="J218" i="2"/>
  <c r="K218" i="2" s="1"/>
  <c r="L218" i="2" s="1"/>
  <c r="P218" i="2"/>
  <c r="J219" i="2"/>
  <c r="K219" i="2" s="1"/>
  <c r="L219" i="2" s="1"/>
  <c r="P219" i="2"/>
  <c r="J220" i="2"/>
  <c r="K220" i="2" s="1"/>
  <c r="L220" i="2" s="1"/>
  <c r="P220" i="2"/>
  <c r="D221" i="2"/>
  <c r="J221" i="2" s="1"/>
  <c r="K221" i="2" s="1"/>
  <c r="L221" i="2" s="1"/>
  <c r="P221" i="2"/>
  <c r="J222" i="2"/>
  <c r="K222" i="2" s="1"/>
  <c r="L222" i="2" s="1"/>
  <c r="P222" i="2"/>
  <c r="P223" i="2"/>
  <c r="J224" i="2"/>
  <c r="K224" i="2" s="1"/>
  <c r="L224" i="2" s="1"/>
  <c r="P224" i="2"/>
  <c r="J225" i="2"/>
  <c r="K225" i="2" s="1"/>
  <c r="L225" i="2" s="1"/>
  <c r="P225" i="2"/>
  <c r="J226" i="2"/>
  <c r="K226" i="2" s="1"/>
  <c r="L226" i="2" s="1"/>
  <c r="P226" i="2"/>
  <c r="J227" i="2"/>
  <c r="K227" i="2" s="1"/>
  <c r="L227" i="2" s="1"/>
  <c r="P227" i="2"/>
  <c r="J228" i="2"/>
  <c r="K228" i="2" s="1"/>
  <c r="L228" i="2" s="1"/>
  <c r="P228" i="2"/>
  <c r="J229" i="2"/>
  <c r="K229" i="2" s="1"/>
  <c r="L229" i="2" s="1"/>
  <c r="P229" i="2"/>
  <c r="P230" i="2"/>
  <c r="J231" i="2"/>
  <c r="K231" i="2" s="1"/>
  <c r="L231" i="2" s="1"/>
  <c r="P231" i="2"/>
  <c r="J232" i="2"/>
  <c r="K232" i="2" s="1"/>
  <c r="L232" i="2" s="1"/>
  <c r="P232" i="2"/>
  <c r="J233" i="2"/>
  <c r="K233" i="2" s="1"/>
  <c r="L233" i="2" s="1"/>
  <c r="P233" i="2"/>
  <c r="J234" i="2"/>
  <c r="K234" i="2" s="1"/>
  <c r="L234" i="2" s="1"/>
  <c r="P234" i="2"/>
  <c r="D235" i="2"/>
  <c r="E235" i="2"/>
  <c r="F235" i="2"/>
  <c r="G235" i="2"/>
  <c r="P235" i="2"/>
  <c r="J236" i="2"/>
  <c r="K236" i="2" s="1"/>
  <c r="L236" i="2" s="1"/>
  <c r="P236" i="2"/>
  <c r="J237" i="2"/>
  <c r="K237" i="2" s="1"/>
  <c r="L237" i="2" s="1"/>
  <c r="P237" i="2"/>
  <c r="E238" i="2"/>
  <c r="J238" i="2" s="1"/>
  <c r="F238" i="2"/>
  <c r="G238" i="2"/>
  <c r="P238" i="2"/>
  <c r="J239" i="2"/>
  <c r="K239" i="2" s="1"/>
  <c r="L239" i="2" s="1"/>
  <c r="P239" i="2"/>
  <c r="J240" i="2"/>
  <c r="K240" i="2" s="1"/>
  <c r="L240" i="2" s="1"/>
  <c r="P240" i="2"/>
  <c r="J241" i="2"/>
  <c r="K241" i="2" s="1"/>
  <c r="L241" i="2" s="1"/>
  <c r="P241" i="2"/>
  <c r="J242" i="2"/>
  <c r="K242" i="2" s="1"/>
  <c r="P242" i="2"/>
  <c r="J243" i="2"/>
  <c r="K243" i="2" s="1"/>
  <c r="L243" i="2" s="1"/>
  <c r="P243" i="2"/>
  <c r="J244" i="2"/>
  <c r="K244" i="2" s="1"/>
  <c r="L244" i="2" s="1"/>
  <c r="P244" i="2"/>
  <c r="J245" i="2"/>
  <c r="K245" i="2" s="1"/>
  <c r="L245" i="2" s="1"/>
  <c r="P245" i="2"/>
  <c r="J246" i="2"/>
  <c r="K246" i="2" s="1"/>
  <c r="L246" i="2" s="1"/>
  <c r="P246" i="2"/>
  <c r="G247" i="2"/>
  <c r="J247" i="2"/>
  <c r="K247" i="2" s="1"/>
  <c r="P247" i="2"/>
  <c r="J248" i="2"/>
  <c r="K248" i="2" s="1"/>
  <c r="L248" i="2" s="1"/>
  <c r="P248" i="2"/>
  <c r="J249" i="2"/>
  <c r="K249" i="2" s="1"/>
  <c r="L249" i="2" s="1"/>
  <c r="P249" i="2"/>
  <c r="J250" i="2"/>
  <c r="K250" i="2" s="1"/>
  <c r="L250" i="2" s="1"/>
  <c r="P250" i="2"/>
  <c r="J251" i="2"/>
  <c r="K251" i="2" s="1"/>
  <c r="L251" i="2" s="1"/>
  <c r="P251" i="2"/>
  <c r="J252" i="2"/>
  <c r="K252" i="2" s="1"/>
  <c r="L252" i="2" s="1"/>
  <c r="P252" i="2"/>
  <c r="J253" i="2"/>
  <c r="K253" i="2" s="1"/>
  <c r="L253" i="2" s="1"/>
  <c r="P253" i="2"/>
  <c r="E254" i="2"/>
  <c r="J254" i="2" s="1"/>
  <c r="F254" i="2"/>
  <c r="G254" i="2"/>
  <c r="P254" i="2"/>
  <c r="J255" i="2"/>
  <c r="K255" i="2" s="1"/>
  <c r="L255" i="2" s="1"/>
  <c r="P255" i="2"/>
  <c r="J256" i="2"/>
  <c r="K256" i="2" s="1"/>
  <c r="L256" i="2" s="1"/>
  <c r="P256" i="2"/>
  <c r="P257" i="2"/>
  <c r="P258" i="2"/>
  <c r="P259" i="2"/>
  <c r="J260" i="2"/>
  <c r="K260" i="2" s="1"/>
  <c r="L260" i="2" s="1"/>
  <c r="P260" i="2"/>
  <c r="J261" i="2"/>
  <c r="K261" i="2" s="1"/>
  <c r="L261" i="2" s="1"/>
  <c r="P261" i="2"/>
  <c r="E262" i="2"/>
  <c r="J262" i="2" s="1"/>
  <c r="K262" i="2" s="1"/>
  <c r="G262" i="2"/>
  <c r="P262" i="2"/>
  <c r="J263" i="2"/>
  <c r="K263" i="2" s="1"/>
  <c r="L263" i="2" s="1"/>
  <c r="P263" i="2"/>
  <c r="J264" i="2"/>
  <c r="K264" i="2" s="1"/>
  <c r="L264" i="2" s="1"/>
  <c r="P264" i="2"/>
  <c r="J265" i="2"/>
  <c r="K265" i="2" s="1"/>
  <c r="L265" i="2" s="1"/>
  <c r="P265" i="2"/>
  <c r="J266" i="2"/>
  <c r="K266" i="2" s="1"/>
  <c r="L266" i="2" s="1"/>
  <c r="P266" i="2"/>
  <c r="J267" i="2"/>
  <c r="K267" i="2" s="1"/>
  <c r="L267" i="2" s="1"/>
  <c r="P267" i="2"/>
  <c r="G268" i="2"/>
  <c r="J268" i="2"/>
  <c r="K268" i="2" s="1"/>
  <c r="P268" i="2"/>
  <c r="J269" i="2"/>
  <c r="K269" i="2" s="1"/>
  <c r="L269" i="2" s="1"/>
  <c r="P269" i="2"/>
  <c r="J270" i="2"/>
  <c r="K270" i="2" s="1"/>
  <c r="L270" i="2" s="1"/>
  <c r="P270" i="2"/>
  <c r="D271" i="2"/>
  <c r="E271" i="2"/>
  <c r="F271" i="2"/>
  <c r="G271" i="2"/>
  <c r="P271" i="2"/>
  <c r="J272" i="2"/>
  <c r="K272" i="2" s="1"/>
  <c r="L272" i="2" s="1"/>
  <c r="P272" i="2"/>
  <c r="J273" i="2"/>
  <c r="K273" i="2" s="1"/>
  <c r="L273" i="2" s="1"/>
  <c r="P273" i="2"/>
  <c r="J274" i="2"/>
  <c r="K274" i="2" s="1"/>
  <c r="L274" i="2" s="1"/>
  <c r="P274" i="2"/>
  <c r="J275" i="2"/>
  <c r="K275" i="2" s="1"/>
  <c r="L275" i="2" s="1"/>
  <c r="P275" i="2"/>
  <c r="J276" i="2"/>
  <c r="K276" i="2" s="1"/>
  <c r="L276" i="2" s="1"/>
  <c r="P276" i="2"/>
  <c r="J277" i="2"/>
  <c r="K277" i="2" s="1"/>
  <c r="L277" i="2" s="1"/>
  <c r="P277" i="2"/>
  <c r="J278" i="2"/>
  <c r="K278" i="2" s="1"/>
  <c r="L278" i="2" s="1"/>
  <c r="P278" i="2"/>
  <c r="J279" i="2"/>
  <c r="K279" i="2" s="1"/>
  <c r="L279" i="2" s="1"/>
  <c r="P279" i="2"/>
  <c r="J280" i="2"/>
  <c r="K280" i="2" s="1"/>
  <c r="L280" i="2" s="1"/>
  <c r="P280" i="2"/>
  <c r="J281" i="2"/>
  <c r="L281" i="2"/>
  <c r="P281" i="2"/>
  <c r="J282" i="2"/>
  <c r="K282" i="2" s="1"/>
  <c r="L282" i="2" s="1"/>
  <c r="P282" i="2"/>
  <c r="J283" i="2"/>
  <c r="K283" i="2"/>
  <c r="P283" i="2"/>
  <c r="J284" i="2"/>
  <c r="K284" i="2" s="1"/>
  <c r="L284" i="2" s="1"/>
  <c r="P284" i="2"/>
  <c r="J285" i="2"/>
  <c r="K285" i="2" s="1"/>
  <c r="L285" i="2" s="1"/>
  <c r="P285" i="2"/>
  <c r="J286" i="2"/>
  <c r="K286" i="2" s="1"/>
  <c r="L286" i="2" s="1"/>
  <c r="P286" i="2"/>
  <c r="J287" i="2"/>
  <c r="K287" i="2" s="1"/>
  <c r="L287" i="2" s="1"/>
  <c r="P287" i="2"/>
  <c r="J288" i="2"/>
  <c r="K288" i="2" s="1"/>
  <c r="L288" i="2" s="1"/>
  <c r="P288" i="2"/>
  <c r="J289" i="2"/>
  <c r="K289" i="2" s="1"/>
  <c r="L289" i="2" s="1"/>
  <c r="P289" i="2"/>
  <c r="F290" i="2"/>
  <c r="G290" i="2"/>
  <c r="J290" i="2"/>
  <c r="K290" i="2" s="1"/>
  <c r="P290" i="2"/>
  <c r="J291" i="2"/>
  <c r="K291" i="2" s="1"/>
  <c r="L291" i="2" s="1"/>
  <c r="P291" i="2"/>
  <c r="J292" i="2"/>
  <c r="K292" i="2" s="1"/>
  <c r="L292" i="2" s="1"/>
  <c r="P292" i="2"/>
  <c r="J293" i="2"/>
  <c r="K293" i="2" s="1"/>
  <c r="L293" i="2" s="1"/>
  <c r="P293" i="2"/>
  <c r="J294" i="2"/>
  <c r="K294" i="2" s="1"/>
  <c r="L294" i="2" s="1"/>
  <c r="P294" i="2"/>
  <c r="K295" i="2"/>
  <c r="L295" i="2" s="1"/>
  <c r="P295" i="2"/>
  <c r="J296" i="2"/>
  <c r="K296" i="2" s="1"/>
  <c r="L296" i="2" s="1"/>
  <c r="P296" i="2"/>
  <c r="E297" i="2"/>
  <c r="J297" i="2" s="1"/>
  <c r="F297" i="2"/>
  <c r="G297" i="2"/>
  <c r="P297" i="2"/>
  <c r="J298" i="2"/>
  <c r="K298" i="2" s="1"/>
  <c r="L298" i="2" s="1"/>
  <c r="P298" i="2"/>
  <c r="J299" i="2"/>
  <c r="K299" i="2" s="1"/>
  <c r="L299" i="2" s="1"/>
  <c r="P299" i="2"/>
  <c r="J300" i="2"/>
  <c r="K300" i="2" s="1"/>
  <c r="L300" i="2" s="1"/>
  <c r="P300" i="2"/>
  <c r="J301" i="2"/>
  <c r="K301" i="2" s="1"/>
  <c r="L301" i="2" s="1"/>
  <c r="P301" i="2"/>
  <c r="J302" i="2"/>
  <c r="K302" i="2" s="1"/>
  <c r="L302" i="2" s="1"/>
  <c r="P302" i="2"/>
  <c r="D303" i="2"/>
  <c r="E303" i="2"/>
  <c r="P303" i="2"/>
  <c r="J304" i="2"/>
  <c r="K304" i="2" s="1"/>
  <c r="L304" i="2" s="1"/>
  <c r="P304" i="2"/>
  <c r="J305" i="2"/>
  <c r="K305" i="2" s="1"/>
  <c r="L305" i="2" s="1"/>
  <c r="P305" i="2"/>
  <c r="J306" i="2"/>
  <c r="K306" i="2" s="1"/>
  <c r="L306" i="2" s="1"/>
  <c r="P306" i="2"/>
  <c r="J307" i="2"/>
  <c r="K307" i="2" s="1"/>
  <c r="L307" i="2" s="1"/>
  <c r="P307" i="2"/>
  <c r="J308" i="2"/>
  <c r="K308" i="2" s="1"/>
  <c r="L308" i="2" s="1"/>
  <c r="P308" i="2"/>
  <c r="J309" i="2"/>
  <c r="K309" i="2" s="1"/>
  <c r="L309" i="2" s="1"/>
  <c r="P309" i="2"/>
  <c r="J310" i="2"/>
  <c r="K310" i="2" s="1"/>
  <c r="L310" i="2" s="1"/>
  <c r="P310" i="2"/>
  <c r="J311" i="2"/>
  <c r="K311" i="2" s="1"/>
  <c r="L311" i="2" s="1"/>
  <c r="P311" i="2"/>
  <c r="J312" i="2"/>
  <c r="K312" i="2" s="1"/>
  <c r="L312" i="2" s="1"/>
  <c r="P312" i="2"/>
  <c r="J313" i="2"/>
  <c r="K313" i="2" s="1"/>
  <c r="L313" i="2" s="1"/>
  <c r="P313" i="2"/>
  <c r="J314" i="2"/>
  <c r="K314" i="2" s="1"/>
  <c r="L314" i="2" s="1"/>
  <c r="P314" i="2"/>
  <c r="J315" i="2"/>
  <c r="K315" i="2" s="1"/>
  <c r="L315" i="2" s="1"/>
  <c r="P315" i="2"/>
  <c r="J316" i="2"/>
  <c r="K316" i="2" s="1"/>
  <c r="L316" i="2" s="1"/>
  <c r="P316" i="2"/>
  <c r="J317" i="2"/>
  <c r="K317" i="2" s="1"/>
  <c r="L317" i="2" s="1"/>
  <c r="P317" i="2"/>
  <c r="J318" i="2"/>
  <c r="K318" i="2" s="1"/>
  <c r="L318" i="2" s="1"/>
  <c r="P318" i="2"/>
  <c r="J319" i="2"/>
  <c r="K319" i="2" s="1"/>
  <c r="L319" i="2" s="1"/>
  <c r="P319" i="2"/>
  <c r="J320" i="2"/>
  <c r="K320" i="2" s="1"/>
  <c r="L320" i="2" s="1"/>
  <c r="P320" i="2"/>
  <c r="J321" i="2"/>
  <c r="K321" i="2" s="1"/>
  <c r="L321" i="2" s="1"/>
  <c r="P321" i="2"/>
  <c r="J322" i="2"/>
  <c r="K322" i="2"/>
  <c r="L322" i="2" s="1"/>
  <c r="P322" i="2"/>
  <c r="J323" i="2"/>
  <c r="K323" i="2" s="1"/>
  <c r="L323" i="2" s="1"/>
  <c r="P323" i="2"/>
  <c r="J324" i="2"/>
  <c r="K324" i="2" s="1"/>
  <c r="L324" i="2" s="1"/>
  <c r="P324" i="2"/>
  <c r="D325" i="2"/>
  <c r="E325" i="2"/>
  <c r="F325" i="2"/>
  <c r="G325" i="2"/>
  <c r="P325" i="2"/>
  <c r="J326" i="2"/>
  <c r="K326" i="2" s="1"/>
  <c r="L326" i="2" s="1"/>
  <c r="P326" i="2"/>
  <c r="J327" i="2"/>
  <c r="K327" i="2" s="1"/>
  <c r="L327" i="2" s="1"/>
  <c r="P327" i="2"/>
  <c r="J328" i="2"/>
  <c r="K328" i="2" s="1"/>
  <c r="L328" i="2" s="1"/>
  <c r="P328" i="2"/>
  <c r="J329" i="2"/>
  <c r="K329" i="2" s="1"/>
  <c r="L329" i="2" s="1"/>
  <c r="P329" i="2"/>
  <c r="J330" i="2"/>
  <c r="K330" i="2" s="1"/>
  <c r="L330" i="2" s="1"/>
  <c r="P330" i="2"/>
  <c r="J331" i="2"/>
  <c r="K331" i="2" s="1"/>
  <c r="L331" i="2" s="1"/>
  <c r="P331" i="2"/>
  <c r="J332" i="2"/>
  <c r="K332" i="2" s="1"/>
  <c r="L332" i="2" s="1"/>
  <c r="P332" i="2"/>
  <c r="J333" i="2"/>
  <c r="K333" i="2" s="1"/>
  <c r="L333" i="2" s="1"/>
  <c r="P333" i="2"/>
  <c r="J334" i="2"/>
  <c r="K334" i="2" s="1"/>
  <c r="L334" i="2" s="1"/>
  <c r="P334" i="2"/>
  <c r="J335" i="2"/>
  <c r="K335" i="2"/>
  <c r="L335" i="2"/>
  <c r="P335" i="2"/>
  <c r="J336" i="2"/>
  <c r="K336" i="2" s="1"/>
  <c r="L336" i="2" s="1"/>
  <c r="P336" i="2"/>
  <c r="J337" i="2"/>
  <c r="K337" i="2" s="1"/>
  <c r="L337" i="2" s="1"/>
  <c r="P337" i="2"/>
  <c r="J338" i="2"/>
  <c r="K338" i="2" s="1"/>
  <c r="L338" i="2" s="1"/>
  <c r="P338" i="2"/>
  <c r="J339" i="2"/>
  <c r="K339" i="2" s="1"/>
  <c r="L339" i="2" s="1"/>
  <c r="P339" i="2"/>
  <c r="J340" i="2"/>
  <c r="K340" i="2" s="1"/>
  <c r="L340" i="2" s="1"/>
  <c r="P340" i="2"/>
  <c r="J341" i="2"/>
  <c r="K341" i="2" s="1"/>
  <c r="L341" i="2" s="1"/>
  <c r="P341" i="2"/>
  <c r="P342" i="2"/>
  <c r="J343" i="2"/>
  <c r="K343" i="2" s="1"/>
  <c r="L343" i="2" s="1"/>
  <c r="P343" i="2"/>
  <c r="J344" i="2"/>
  <c r="K344" i="2" s="1"/>
  <c r="L344" i="2" s="1"/>
  <c r="P344" i="2"/>
  <c r="J345" i="2"/>
  <c r="K345" i="2" s="1"/>
  <c r="L345" i="2" s="1"/>
  <c r="P345" i="2"/>
  <c r="I346" i="2"/>
  <c r="J346" i="2" s="1"/>
  <c r="K346" i="2" s="1"/>
  <c r="L346" i="2" s="1"/>
  <c r="P346" i="2"/>
  <c r="J347" i="2"/>
  <c r="K347" i="2" s="1"/>
  <c r="L347" i="2" s="1"/>
  <c r="P347" i="2"/>
  <c r="J348" i="2"/>
  <c r="K348" i="2" s="1"/>
  <c r="L348" i="2" s="1"/>
  <c r="P348" i="2"/>
  <c r="J349" i="2"/>
  <c r="K349" i="2" s="1"/>
  <c r="L349" i="2" s="1"/>
  <c r="P349" i="2"/>
  <c r="J350" i="2"/>
  <c r="L350" i="2"/>
  <c r="P350" i="2"/>
  <c r="J351" i="2"/>
  <c r="K351" i="2" s="1"/>
  <c r="L351" i="2" s="1"/>
  <c r="P351" i="2"/>
  <c r="J352" i="2"/>
  <c r="K352" i="2" s="1"/>
  <c r="L352" i="2" s="1"/>
  <c r="P352" i="2"/>
  <c r="J353" i="2"/>
  <c r="K353" i="2" s="1"/>
  <c r="L353" i="2" s="1"/>
  <c r="P353" i="2"/>
  <c r="P354" i="2"/>
  <c r="J355" i="2"/>
  <c r="K355" i="2" s="1"/>
  <c r="L355" i="2" s="1"/>
  <c r="P355" i="2"/>
  <c r="J356" i="2"/>
  <c r="K356" i="2" s="1"/>
  <c r="L356" i="2" s="1"/>
  <c r="P356" i="2"/>
  <c r="J357" i="2"/>
  <c r="K357" i="2" s="1"/>
  <c r="L357" i="2" s="1"/>
  <c r="P357" i="2"/>
  <c r="J358" i="2"/>
  <c r="K358" i="2" s="1"/>
  <c r="L358" i="2" s="1"/>
  <c r="P358" i="2"/>
  <c r="J359" i="2"/>
  <c r="K359" i="2" s="1"/>
  <c r="L359" i="2" s="1"/>
  <c r="P359" i="2"/>
  <c r="J360" i="2"/>
  <c r="K360" i="2" s="1"/>
  <c r="L360" i="2" s="1"/>
  <c r="P360" i="2"/>
  <c r="J361" i="2"/>
  <c r="K361" i="2" s="1"/>
  <c r="L361" i="2" s="1"/>
  <c r="P361" i="2"/>
  <c r="J362" i="2"/>
  <c r="K362" i="2" s="1"/>
  <c r="L362" i="2" s="1"/>
  <c r="P362" i="2"/>
  <c r="J363" i="2"/>
  <c r="K363" i="2" s="1"/>
  <c r="L363" i="2" s="1"/>
  <c r="P363" i="2"/>
  <c r="J364" i="2"/>
  <c r="K364" i="2" s="1"/>
  <c r="L364" i="2" s="1"/>
  <c r="P364" i="2"/>
  <c r="J365" i="2"/>
  <c r="K365" i="2" s="1"/>
  <c r="L365" i="2" s="1"/>
  <c r="P365" i="2"/>
  <c r="E366" i="2"/>
  <c r="J366" i="2" s="1"/>
  <c r="K366" i="2" s="1"/>
  <c r="L366" i="2" s="1"/>
  <c r="P366" i="2"/>
  <c r="J367" i="2"/>
  <c r="K367" i="2" s="1"/>
  <c r="L367" i="2" s="1"/>
  <c r="P367" i="2"/>
  <c r="J368" i="2"/>
  <c r="K368" i="2" s="1"/>
  <c r="L368" i="2" s="1"/>
  <c r="P368" i="2"/>
  <c r="J369" i="2"/>
  <c r="K369" i="2" s="1"/>
  <c r="L369" i="2" s="1"/>
  <c r="P369" i="2"/>
  <c r="J370" i="2"/>
  <c r="K370" i="2" s="1"/>
  <c r="L370" i="2" s="1"/>
  <c r="P370" i="2"/>
  <c r="E371" i="2"/>
  <c r="J371" i="2" s="1"/>
  <c r="F371" i="2"/>
  <c r="G371" i="2"/>
  <c r="P371" i="2"/>
  <c r="J372" i="2"/>
  <c r="K372" i="2" s="1"/>
  <c r="L372" i="2" s="1"/>
  <c r="P372" i="2"/>
  <c r="J373" i="2"/>
  <c r="K373" i="2" s="1"/>
  <c r="L373" i="2" s="1"/>
  <c r="P373" i="2"/>
  <c r="J374" i="2"/>
  <c r="K374" i="2" s="1"/>
  <c r="L374" i="2" s="1"/>
  <c r="P374" i="2"/>
  <c r="J375" i="2"/>
  <c r="K375" i="2" s="1"/>
  <c r="L375" i="2" s="1"/>
  <c r="P375" i="2"/>
  <c r="J376" i="2"/>
  <c r="K376" i="2" s="1"/>
  <c r="L376" i="2" s="1"/>
  <c r="P376" i="2"/>
  <c r="J377" i="2"/>
  <c r="K377" i="2" s="1"/>
  <c r="L377" i="2" s="1"/>
  <c r="P377" i="2"/>
  <c r="J378" i="2"/>
  <c r="K378" i="2" s="1"/>
  <c r="L378" i="2" s="1"/>
  <c r="P378" i="2"/>
  <c r="J379" i="2"/>
  <c r="K379" i="2" s="1"/>
  <c r="L379" i="2" s="1"/>
  <c r="P379" i="2"/>
  <c r="J380" i="2"/>
  <c r="K380" i="2" s="1"/>
  <c r="L380" i="2" s="1"/>
  <c r="P380" i="2"/>
  <c r="J381" i="2"/>
  <c r="K381" i="2" s="1"/>
  <c r="L381" i="2" s="1"/>
  <c r="P381" i="2"/>
  <c r="J382" i="2"/>
  <c r="K382" i="2" s="1"/>
  <c r="L382" i="2" s="1"/>
  <c r="P382" i="2"/>
  <c r="E383" i="2"/>
  <c r="J383" i="2" s="1"/>
  <c r="K383" i="2" s="1"/>
  <c r="L383" i="2" s="1"/>
  <c r="P383" i="2"/>
  <c r="J384" i="2"/>
  <c r="K384" i="2" s="1"/>
  <c r="L384" i="2" s="1"/>
  <c r="P384" i="2"/>
  <c r="J385" i="2"/>
  <c r="K385" i="2" s="1"/>
  <c r="L385" i="2" s="1"/>
  <c r="P385" i="2"/>
  <c r="P386" i="2"/>
  <c r="J387" i="2"/>
  <c r="K387" i="2" s="1"/>
  <c r="L387" i="2" s="1"/>
  <c r="P387" i="2"/>
  <c r="J388" i="2"/>
  <c r="K388" i="2" s="1"/>
  <c r="L388" i="2" s="1"/>
  <c r="P388" i="2"/>
  <c r="J389" i="2"/>
  <c r="K389" i="2" s="1"/>
  <c r="L389" i="2" s="1"/>
  <c r="P389" i="2"/>
  <c r="J390" i="2"/>
  <c r="K390" i="2" s="1"/>
  <c r="L390" i="2" s="1"/>
  <c r="P390" i="2"/>
  <c r="J391" i="2"/>
  <c r="K391" i="2" s="1"/>
  <c r="L391" i="2" s="1"/>
  <c r="P391" i="2"/>
  <c r="J392" i="2"/>
  <c r="K392" i="2" s="1"/>
  <c r="L392" i="2" s="1"/>
  <c r="P392" i="2"/>
  <c r="J393" i="2"/>
  <c r="K393" i="2" s="1"/>
  <c r="L393" i="2" s="1"/>
  <c r="P393" i="2"/>
  <c r="J394" i="2"/>
  <c r="K394" i="2" s="1"/>
  <c r="L394" i="2" s="1"/>
  <c r="P394" i="2"/>
  <c r="P395" i="2"/>
  <c r="J396" i="2"/>
  <c r="K396" i="2" s="1"/>
  <c r="L396" i="2" s="1"/>
  <c r="P396" i="2"/>
  <c r="J397" i="2"/>
  <c r="K397" i="2" s="1"/>
  <c r="L397" i="2" s="1"/>
  <c r="P397" i="2"/>
  <c r="J398" i="2"/>
  <c r="K398" i="2" s="1"/>
  <c r="L398" i="2" s="1"/>
  <c r="P398" i="2"/>
  <c r="J399" i="2"/>
  <c r="K399" i="2" s="1"/>
  <c r="L399" i="2" s="1"/>
  <c r="P399" i="2"/>
  <c r="J400" i="2"/>
  <c r="K400" i="2" s="1"/>
  <c r="L400" i="2" s="1"/>
  <c r="P400" i="2"/>
  <c r="J401" i="2"/>
  <c r="K401" i="2" s="1"/>
  <c r="L401" i="2" s="1"/>
  <c r="P401" i="2"/>
  <c r="J402" i="2"/>
  <c r="K402" i="2" s="1"/>
  <c r="L402" i="2" s="1"/>
  <c r="P402" i="2"/>
  <c r="J403" i="2"/>
  <c r="L403" i="2"/>
  <c r="P403" i="2"/>
  <c r="J404" i="2"/>
  <c r="K404" i="2" s="1"/>
  <c r="L404" i="2" s="1"/>
  <c r="P404" i="2"/>
  <c r="J405" i="2"/>
  <c r="K405" i="2" s="1"/>
  <c r="L405" i="2" s="1"/>
  <c r="P405" i="2"/>
  <c r="E406" i="2"/>
  <c r="J406" i="2" s="1"/>
  <c r="F406" i="2"/>
  <c r="G406" i="2"/>
  <c r="P406" i="2"/>
  <c r="J407" i="2"/>
  <c r="K407" i="2" s="1"/>
  <c r="L407" i="2" s="1"/>
  <c r="P407" i="2"/>
  <c r="J408" i="2"/>
  <c r="K408" i="2" s="1"/>
  <c r="L408" i="2" s="1"/>
  <c r="P408" i="2"/>
  <c r="J409" i="2"/>
  <c r="K409" i="2" s="1"/>
  <c r="L409" i="2" s="1"/>
  <c r="P409" i="2"/>
  <c r="P410" i="2"/>
  <c r="J412" i="2"/>
  <c r="K412" i="2" s="1"/>
  <c r="L412" i="2" s="1"/>
  <c r="P412" i="2"/>
  <c r="J413" i="2"/>
  <c r="K413" i="2" s="1"/>
  <c r="L413" i="2" s="1"/>
  <c r="P413" i="2"/>
  <c r="E414" i="2"/>
  <c r="J414" i="2" s="1"/>
  <c r="K414" i="2" s="1"/>
  <c r="G414" i="2"/>
  <c r="P414" i="2"/>
  <c r="J415" i="2"/>
  <c r="K415" i="2" s="1"/>
  <c r="L415" i="2" s="1"/>
  <c r="P415" i="2"/>
  <c r="J416" i="2"/>
  <c r="K416" i="2" s="1"/>
  <c r="L416" i="2" s="1"/>
  <c r="P416" i="2"/>
  <c r="J417" i="2"/>
  <c r="K417" i="2" s="1"/>
  <c r="L417" i="2" s="1"/>
  <c r="P417" i="2"/>
  <c r="J418" i="2"/>
  <c r="K418" i="2" s="1"/>
  <c r="L418" i="2" s="1"/>
  <c r="P418" i="2"/>
  <c r="J419" i="2"/>
  <c r="K419" i="2" s="1"/>
  <c r="L419" i="2" s="1"/>
  <c r="P419" i="2"/>
  <c r="J420" i="2"/>
  <c r="K420" i="2" s="1"/>
  <c r="L420" i="2" s="1"/>
  <c r="P420" i="2"/>
  <c r="J421" i="2"/>
  <c r="K421" i="2" s="1"/>
  <c r="L421" i="2" s="1"/>
  <c r="P421" i="2"/>
  <c r="J422" i="2"/>
  <c r="K422" i="2" s="1"/>
  <c r="L422" i="2" s="1"/>
  <c r="P422" i="2"/>
  <c r="J423" i="2"/>
  <c r="K423" i="2" s="1"/>
  <c r="L423" i="2" s="1"/>
  <c r="P423" i="2"/>
  <c r="J424" i="2"/>
  <c r="K424" i="2" s="1"/>
  <c r="L424" i="2" s="1"/>
  <c r="P424" i="2"/>
  <c r="J425" i="2"/>
  <c r="K425" i="2" s="1"/>
  <c r="L425" i="2" s="1"/>
  <c r="P425" i="2"/>
  <c r="J426" i="2"/>
  <c r="K426" i="2" s="1"/>
  <c r="L426" i="2" s="1"/>
  <c r="P426" i="2"/>
  <c r="E427" i="2"/>
  <c r="G427" i="2"/>
  <c r="J427" i="2"/>
  <c r="K427" i="2" s="1"/>
  <c r="P427" i="2"/>
  <c r="J428" i="2"/>
  <c r="K428" i="2" s="1"/>
  <c r="L428" i="2" s="1"/>
  <c r="P428" i="2"/>
  <c r="J429" i="2"/>
  <c r="K429" i="2" s="1"/>
  <c r="L429" i="2" s="1"/>
  <c r="P429" i="2"/>
  <c r="E430" i="2"/>
  <c r="J430" i="2" s="1"/>
  <c r="F430" i="2"/>
  <c r="G430" i="2"/>
  <c r="P430" i="2"/>
  <c r="J431" i="2"/>
  <c r="K431" i="2" s="1"/>
  <c r="L431" i="2" s="1"/>
  <c r="P431" i="2"/>
  <c r="J432" i="2"/>
  <c r="K432" i="2"/>
  <c r="L432" i="2" s="1"/>
  <c r="P432" i="2"/>
  <c r="J433" i="2"/>
  <c r="K433" i="2" s="1"/>
  <c r="L433" i="2" s="1"/>
  <c r="P433" i="2"/>
  <c r="J434" i="2"/>
  <c r="K434" i="2" s="1"/>
  <c r="L434" i="2" s="1"/>
  <c r="P434" i="2"/>
  <c r="J435" i="2"/>
  <c r="K435" i="2" s="1"/>
  <c r="L435" i="2" s="1"/>
  <c r="P435" i="2"/>
  <c r="J436" i="2"/>
  <c r="K436" i="2" s="1"/>
  <c r="L436" i="2" s="1"/>
  <c r="P436" i="2"/>
  <c r="J438" i="2"/>
  <c r="K438" i="2" s="1"/>
  <c r="L438" i="2" s="1"/>
  <c r="P438" i="2"/>
  <c r="J439" i="2"/>
  <c r="K439" i="2" s="1"/>
  <c r="L439" i="2" s="1"/>
  <c r="P439" i="2"/>
  <c r="J440" i="2"/>
  <c r="K440" i="2" s="1"/>
  <c r="L440" i="2" s="1"/>
  <c r="P440" i="2"/>
  <c r="D441" i="2"/>
  <c r="E441" i="2"/>
  <c r="F441" i="2"/>
  <c r="G441" i="2"/>
  <c r="P441" i="2"/>
  <c r="J442" i="2"/>
  <c r="K442" i="2" s="1"/>
  <c r="L442" i="2" s="1"/>
  <c r="P442" i="2"/>
  <c r="J443" i="2"/>
  <c r="K443" i="2" s="1"/>
  <c r="L443" i="2" s="1"/>
  <c r="P443" i="2"/>
  <c r="J444" i="2"/>
  <c r="K444" i="2" s="1"/>
  <c r="L444" i="2" s="1"/>
  <c r="P444" i="2"/>
  <c r="J445" i="2"/>
  <c r="K445" i="2" s="1"/>
  <c r="L445" i="2" s="1"/>
  <c r="P445" i="2"/>
  <c r="J446" i="2"/>
  <c r="K446" i="2" s="1"/>
  <c r="L446" i="2" s="1"/>
  <c r="P446" i="2"/>
  <c r="J447" i="2"/>
  <c r="K447" i="2" s="1"/>
  <c r="L447" i="2" s="1"/>
  <c r="P447" i="2"/>
  <c r="E448" i="2"/>
  <c r="J448" i="2" s="1"/>
  <c r="F448" i="2"/>
  <c r="G448" i="2"/>
  <c r="P448" i="2"/>
  <c r="J449" i="2"/>
  <c r="K449" i="2" s="1"/>
  <c r="L449" i="2" s="1"/>
  <c r="P449" i="2"/>
  <c r="J450" i="2"/>
  <c r="K450" i="2" s="1"/>
  <c r="L450" i="2" s="1"/>
  <c r="P450" i="2"/>
  <c r="J451" i="2"/>
  <c r="K451" i="2" s="1"/>
  <c r="L451" i="2" s="1"/>
  <c r="P451" i="2"/>
  <c r="J452" i="2"/>
  <c r="K452" i="2" s="1"/>
  <c r="L452" i="2" s="1"/>
  <c r="P452" i="2"/>
  <c r="J453" i="2"/>
  <c r="K453" i="2" s="1"/>
  <c r="L453" i="2" s="1"/>
  <c r="P453" i="2"/>
  <c r="J454" i="2"/>
  <c r="K454" i="2" s="1"/>
  <c r="L454" i="2" s="1"/>
  <c r="P454" i="2"/>
  <c r="J455" i="2"/>
  <c r="K455" i="2" s="1"/>
  <c r="L455" i="2" s="1"/>
  <c r="P455" i="2"/>
  <c r="J456" i="2"/>
  <c r="K456" i="2" s="1"/>
  <c r="L456" i="2" s="1"/>
  <c r="P456" i="2"/>
  <c r="J457" i="2"/>
  <c r="K457" i="2" s="1"/>
  <c r="L457" i="2" s="1"/>
  <c r="P457" i="2"/>
  <c r="J458" i="2"/>
  <c r="K458" i="2" s="1"/>
  <c r="L458" i="2" s="1"/>
  <c r="P458" i="2"/>
  <c r="J459" i="2"/>
  <c r="K459" i="2" s="1"/>
  <c r="L459" i="2" s="1"/>
  <c r="P459" i="2"/>
  <c r="J460" i="2"/>
  <c r="K460" i="2" s="1"/>
  <c r="L460" i="2" s="1"/>
  <c r="P460" i="2"/>
  <c r="J461" i="2"/>
  <c r="K461" i="2" s="1"/>
  <c r="L461" i="2" s="1"/>
  <c r="P461" i="2"/>
  <c r="J462" i="2"/>
  <c r="K462" i="2" s="1"/>
  <c r="L462" i="2" s="1"/>
  <c r="P462" i="2"/>
  <c r="P490" i="2" l="1"/>
  <c r="L283" i="2"/>
  <c r="L242" i="2"/>
  <c r="J39" i="2"/>
  <c r="K39" i="2" s="1"/>
  <c r="L39" i="2" s="1"/>
  <c r="L168" i="2"/>
  <c r="J141" i="2"/>
  <c r="K141" i="2" s="1"/>
  <c r="L141" i="2" s="1"/>
  <c r="L114" i="2"/>
  <c r="K110" i="2"/>
  <c r="L110" i="2" s="1"/>
  <c r="K109" i="2"/>
  <c r="L109" i="2" s="1"/>
  <c r="K18" i="2"/>
  <c r="L18" i="2" s="1"/>
  <c r="L43" i="2"/>
  <c r="K15" i="2"/>
  <c r="L15" i="2" s="1"/>
  <c r="J303" i="2"/>
  <c r="K303" i="2" s="1"/>
  <c r="L303" i="2" s="1"/>
  <c r="L414" i="2"/>
  <c r="J441" i="2"/>
  <c r="K441" i="2" s="1"/>
  <c r="L441" i="2" s="1"/>
  <c r="L268" i="2"/>
  <c r="L209" i="2"/>
  <c r="L196" i="2"/>
  <c r="K189" i="2"/>
  <c r="L189" i="2" s="1"/>
  <c r="K448" i="2"/>
  <c r="L448" i="2" s="1"/>
  <c r="K430" i="2"/>
  <c r="L430" i="2" s="1"/>
  <c r="K297" i="2"/>
  <c r="L297" i="2" s="1"/>
  <c r="J235" i="2"/>
  <c r="K235" i="2" s="1"/>
  <c r="L235" i="2" s="1"/>
  <c r="K205" i="2"/>
  <c r="L205" i="2" s="1"/>
  <c r="J202" i="2"/>
  <c r="K202" i="2" s="1"/>
  <c r="L202" i="2" s="1"/>
  <c r="L427" i="2"/>
  <c r="K371" i="2"/>
  <c r="L371" i="2" s="1"/>
  <c r="L186" i="2"/>
  <c r="J185" i="2"/>
  <c r="K185" i="2" s="1"/>
  <c r="L185" i="2" s="1"/>
  <c r="L128" i="2"/>
  <c r="K406" i="2"/>
  <c r="L406" i="2" s="1"/>
  <c r="J325" i="2"/>
  <c r="K325" i="2" s="1"/>
  <c r="L325" i="2" s="1"/>
  <c r="L290" i="2"/>
  <c r="L262" i="2"/>
  <c r="K254" i="2"/>
  <c r="L254" i="2" s="1"/>
  <c r="K238" i="2"/>
  <c r="L238" i="2" s="1"/>
  <c r="L200" i="2"/>
  <c r="L126" i="2"/>
  <c r="K91" i="2"/>
  <c r="L91" i="2" s="1"/>
  <c r="K84" i="2"/>
  <c r="L84" i="2" s="1"/>
  <c r="L68" i="2"/>
  <c r="K30" i="2"/>
  <c r="L30" i="2" s="1"/>
  <c r="K29" i="2"/>
  <c r="K23" i="2"/>
  <c r="L23" i="2" s="1"/>
  <c r="J271" i="2"/>
  <c r="K271" i="2" s="1"/>
  <c r="L271" i="2" s="1"/>
  <c r="L247" i="2"/>
  <c r="L192" i="2"/>
  <c r="K92" i="2"/>
  <c r="L92" i="2" s="1"/>
  <c r="L29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J489" i="2" l="1"/>
  <c r="K489" i="2" s="1"/>
  <c r="L489" i="2" s="1"/>
  <c r="J488" i="2"/>
  <c r="K488" i="2" s="1"/>
  <c r="L488" i="2" s="1"/>
  <c r="J487" i="2"/>
  <c r="K487" i="2" s="1"/>
  <c r="L487" i="2" s="1"/>
  <c r="J486" i="2"/>
  <c r="K486" i="2" s="1"/>
  <c r="L486" i="2" s="1"/>
  <c r="J485" i="2"/>
  <c r="K485" i="2" s="1"/>
  <c r="L485" i="2" s="1"/>
  <c r="J484" i="2"/>
  <c r="K484" i="2" s="1"/>
  <c r="L484" i="2" s="1"/>
  <c r="J483" i="2"/>
  <c r="K483" i="2" s="1"/>
  <c r="L483" i="2" s="1"/>
  <c r="J482" i="2"/>
  <c r="F482" i="2"/>
  <c r="G482" i="2"/>
  <c r="J481" i="2"/>
  <c r="K481" i="2" s="1"/>
  <c r="L481" i="2" s="1"/>
  <c r="J480" i="2"/>
  <c r="K480" i="2" s="1"/>
  <c r="L480" i="2" s="1"/>
  <c r="J478" i="2"/>
  <c r="K478" i="2" s="1"/>
  <c r="L478" i="2" s="1"/>
  <c r="J477" i="2"/>
  <c r="K477" i="2" s="1"/>
  <c r="L477" i="2" s="1"/>
  <c r="J475" i="2"/>
  <c r="K475" i="2" s="1"/>
  <c r="L475" i="2" s="1"/>
  <c r="E474" i="2"/>
  <c r="J474" i="2" s="1"/>
  <c r="F474" i="2"/>
  <c r="G474" i="2"/>
  <c r="J473" i="2"/>
  <c r="K473" i="2" s="1"/>
  <c r="L473" i="2" s="1"/>
  <c r="J472" i="2"/>
  <c r="K472" i="2" s="1"/>
  <c r="L472" i="2" s="1"/>
  <c r="J471" i="2"/>
  <c r="K471" i="2" s="1"/>
  <c r="L471" i="2" s="1"/>
  <c r="J470" i="2"/>
  <c r="K470" i="2" s="1"/>
  <c r="G470" i="2"/>
  <c r="J469" i="2"/>
  <c r="K469" i="2" s="1"/>
  <c r="L469" i="2" s="1"/>
  <c r="J468" i="2"/>
  <c r="K468" i="2" s="1"/>
  <c r="L468" i="2" s="1"/>
  <c r="J467" i="2"/>
  <c r="K467" i="2" s="1"/>
  <c r="L467" i="2" s="1"/>
  <c r="K465" i="2"/>
  <c r="L465" i="2" s="1"/>
  <c r="J465" i="2"/>
  <c r="I465" i="2" s="1"/>
  <c r="J464" i="2"/>
  <c r="K464" i="2" s="1"/>
  <c r="L464" i="2" s="1"/>
  <c r="J463" i="2"/>
  <c r="K463" i="2" s="1"/>
  <c r="L463" i="2" s="1"/>
  <c r="L470" i="2" l="1"/>
  <c r="K474" i="2"/>
  <c r="L474" i="2" s="1"/>
  <c r="K482" i="2"/>
  <c r="L482" i="2" s="1"/>
</calcChain>
</file>

<file path=xl/sharedStrings.xml><?xml version="1.0" encoding="utf-8"?>
<sst xmlns="http://schemas.openxmlformats.org/spreadsheetml/2006/main" count="1094" uniqueCount="1085">
  <si>
    <t>Ingatlan címe</t>
  </si>
  <si>
    <t>HRSZ.</t>
  </si>
  <si>
    <t>Bruttó érték</t>
  </si>
  <si>
    <t>1.</t>
  </si>
  <si>
    <t>Akadémia u. 7.</t>
  </si>
  <si>
    <t>2.</t>
  </si>
  <si>
    <t>Akadémia u.  9.</t>
  </si>
  <si>
    <t>3.</t>
  </si>
  <si>
    <t>Akadémia u. 11.</t>
  </si>
  <si>
    <t>4.</t>
  </si>
  <si>
    <t>Akadémia u. 14.</t>
  </si>
  <si>
    <t>5.</t>
  </si>
  <si>
    <t>Akadémia u. 16.</t>
  </si>
  <si>
    <t>6.</t>
  </si>
  <si>
    <t>Alkotmány u. 4.</t>
  </si>
  <si>
    <t>24900/3</t>
  </si>
  <si>
    <t>7.</t>
  </si>
  <si>
    <t>8.</t>
  </si>
  <si>
    <t>9.</t>
  </si>
  <si>
    <t>10.</t>
  </si>
  <si>
    <t>Alkotmány u. 18.</t>
  </si>
  <si>
    <t>11.</t>
  </si>
  <si>
    <t>Alkotmány u. 19.</t>
  </si>
  <si>
    <t>12.</t>
  </si>
  <si>
    <t>Alkotmány u. 20.</t>
  </si>
  <si>
    <t>13.</t>
  </si>
  <si>
    <t>14.</t>
  </si>
  <si>
    <t>Alkotmány u. 23.</t>
  </si>
  <si>
    <t>15.</t>
  </si>
  <si>
    <t>Alkotmány u. 31.</t>
  </si>
  <si>
    <t>16.</t>
  </si>
  <si>
    <t>18.</t>
  </si>
  <si>
    <t>Apáczai Cs. J. u. 5.</t>
  </si>
  <si>
    <t>19.</t>
  </si>
  <si>
    <t>Apáczai Cs J u. 17.</t>
  </si>
  <si>
    <t>20.</t>
  </si>
  <si>
    <t>Arany J. u. 7.</t>
  </si>
  <si>
    <t>21.</t>
  </si>
  <si>
    <t>Arany J. u.  9.</t>
  </si>
  <si>
    <t>22.</t>
  </si>
  <si>
    <t>Arany J. u. 15.</t>
  </si>
  <si>
    <t>23.</t>
  </si>
  <si>
    <t>Arany J. u. 16.</t>
  </si>
  <si>
    <t>24.</t>
  </si>
  <si>
    <t>Arany J. u. 18.</t>
  </si>
  <si>
    <t>24754</t>
  </si>
  <si>
    <t>25.</t>
  </si>
  <si>
    <t>Arany J. u.  27.</t>
  </si>
  <si>
    <t>26.</t>
  </si>
  <si>
    <t>Arany J. u.  29.</t>
  </si>
  <si>
    <t>27.</t>
  </si>
  <si>
    <t>Arany J. u.  33.</t>
  </si>
  <si>
    <t>28.</t>
  </si>
  <si>
    <t>Aranykéz u.  2.</t>
  </si>
  <si>
    <t>29.</t>
  </si>
  <si>
    <t>Aranykéz u. 3.</t>
  </si>
  <si>
    <t>30.</t>
  </si>
  <si>
    <t>Aranykéz u. 7.</t>
  </si>
  <si>
    <t>31.</t>
  </si>
  <si>
    <t>32.</t>
  </si>
  <si>
    <t>Aulich u. 4-6.</t>
  </si>
  <si>
    <t>33.</t>
  </si>
  <si>
    <t xml:space="preserve">Aulich u. 5. </t>
  </si>
  <si>
    <t>34.</t>
  </si>
  <si>
    <t xml:space="preserve">Aulich u. 7. </t>
  </si>
  <si>
    <t>35.</t>
  </si>
  <si>
    <t>Aulich u. 8.</t>
  </si>
  <si>
    <t>Bajcsy-Zs. u. 16.</t>
  </si>
  <si>
    <t>24552</t>
  </si>
  <si>
    <t>36.</t>
  </si>
  <si>
    <t>Bajcsy Zs. u. 18.</t>
  </si>
  <si>
    <t>37.</t>
  </si>
  <si>
    <t>Bajcsy Zs. u. 20.</t>
  </si>
  <si>
    <t>38.</t>
  </si>
  <si>
    <t>Bajcsy Zs. u. 22.</t>
  </si>
  <si>
    <t>39.</t>
  </si>
  <si>
    <t>Bajcsy Zs. u. 24.</t>
  </si>
  <si>
    <t>40.</t>
  </si>
  <si>
    <t>Bajcsy Zs. u. 34.</t>
  </si>
  <si>
    <t>41.</t>
  </si>
  <si>
    <t>42.</t>
  </si>
  <si>
    <t>Bajcsy Zs. u. 40.</t>
  </si>
  <si>
    <t>24795/2</t>
  </si>
  <si>
    <t>43.</t>
  </si>
  <si>
    <t>44.</t>
  </si>
  <si>
    <t>Bajcsy Zs. u. 50.</t>
  </si>
  <si>
    <t>45.</t>
  </si>
  <si>
    <t>Bajcsy Zs. u. 54.</t>
  </si>
  <si>
    <t>Bajcsy Zs. u. 56.</t>
  </si>
  <si>
    <t>47.</t>
  </si>
  <si>
    <t>48.</t>
  </si>
  <si>
    <t>Bajcsy Zs. u. 60.</t>
  </si>
  <si>
    <t>49.</t>
  </si>
  <si>
    <t>50.</t>
  </si>
  <si>
    <t>Bajcsy Zs. u. 64.</t>
  </si>
  <si>
    <t>51.</t>
  </si>
  <si>
    <t>52.</t>
  </si>
  <si>
    <t>Bajcsy Zs. u. 72.</t>
  </si>
  <si>
    <t>53.</t>
  </si>
  <si>
    <t>Bajcsy Zs. u. 74.</t>
  </si>
  <si>
    <t>54.</t>
  </si>
  <si>
    <t>Bajcsy Zs. u. 76.</t>
  </si>
  <si>
    <t>55.</t>
  </si>
  <si>
    <t>56.</t>
  </si>
  <si>
    <t>Balassi Bálint u. 7.</t>
  </si>
  <si>
    <t>57.</t>
  </si>
  <si>
    <t>Balassi B. u.  9-11.</t>
  </si>
  <si>
    <t>58.</t>
  </si>
  <si>
    <t>59.</t>
  </si>
  <si>
    <t>60.</t>
  </si>
  <si>
    <t>61.</t>
  </si>
  <si>
    <t>62.</t>
  </si>
  <si>
    <t>Balaton u. 12.</t>
  </si>
  <si>
    <t>64.</t>
  </si>
  <si>
    <t>Balaton u. 27.</t>
  </si>
  <si>
    <t>25002/4</t>
  </si>
  <si>
    <t>65.</t>
  </si>
  <si>
    <t>68.</t>
  </si>
  <si>
    <t xml:space="preserve">Bank u. 7. </t>
  </si>
  <si>
    <t>69.</t>
  </si>
  <si>
    <t>Bástya u.10.</t>
  </si>
  <si>
    <t>24053/4</t>
  </si>
  <si>
    <t>70.</t>
  </si>
  <si>
    <t>Bástya u. 12.</t>
  </si>
  <si>
    <t>71.</t>
  </si>
  <si>
    <t>Bástya u. 13.</t>
  </si>
  <si>
    <t>72.</t>
  </si>
  <si>
    <t>Bástya u. 17.</t>
  </si>
  <si>
    <t>74.</t>
  </si>
  <si>
    <t>Bástya u. 18.</t>
  </si>
  <si>
    <t>75.</t>
  </si>
  <si>
    <t>76.</t>
  </si>
  <si>
    <t>77.</t>
  </si>
  <si>
    <t>Bástya u. 22.</t>
  </si>
  <si>
    <t>24094</t>
  </si>
  <si>
    <t>78.</t>
  </si>
  <si>
    <t>Bástya u. 31.</t>
  </si>
  <si>
    <t>79.</t>
  </si>
  <si>
    <t>Báthori u. 3.</t>
  </si>
  <si>
    <t>80.</t>
  </si>
  <si>
    <t>81.</t>
  </si>
  <si>
    <t>Báthori u. 5.</t>
  </si>
  <si>
    <t>82.</t>
  </si>
  <si>
    <t>Báthori u. 6.</t>
  </si>
  <si>
    <t>83.</t>
  </si>
  <si>
    <t>84.</t>
  </si>
  <si>
    <t>Báthori u. 8.</t>
  </si>
  <si>
    <t>85.</t>
  </si>
  <si>
    <t>86.</t>
  </si>
  <si>
    <t>Báthori u. 17.</t>
  </si>
  <si>
    <t>87.</t>
  </si>
  <si>
    <t>Báthori u. 18.</t>
  </si>
  <si>
    <t>88.</t>
  </si>
  <si>
    <t>Báthori u. 19.</t>
  </si>
  <si>
    <t>89.</t>
  </si>
  <si>
    <t>Báthori u. 22.</t>
  </si>
  <si>
    <t>90.</t>
  </si>
  <si>
    <t>Báthori u. 23.</t>
  </si>
  <si>
    <t>91.</t>
  </si>
  <si>
    <t>Báthori u. 24.</t>
  </si>
  <si>
    <t>92.</t>
  </si>
  <si>
    <t>Belgrád rkp. 2.</t>
  </si>
  <si>
    <t>93.</t>
  </si>
  <si>
    <t>Belgrád rkp. 3-4.</t>
  </si>
  <si>
    <t>95.</t>
  </si>
  <si>
    <t>Belgrád rkp. 10.</t>
  </si>
  <si>
    <t>96.</t>
  </si>
  <si>
    <t>97.</t>
  </si>
  <si>
    <t>98.</t>
  </si>
  <si>
    <t>Belgrád rkp.13-15.</t>
  </si>
  <si>
    <t>99.</t>
  </si>
  <si>
    <t>100.</t>
  </si>
  <si>
    <t>Belgrád rkp. 17.</t>
  </si>
  <si>
    <t>101.</t>
  </si>
  <si>
    <t>Belgrád rkp. 18.</t>
  </si>
  <si>
    <t>102.</t>
  </si>
  <si>
    <t>Belgrád rkp. 19.</t>
  </si>
  <si>
    <t>103.</t>
  </si>
  <si>
    <t>Belgrád rkp. 20.</t>
  </si>
  <si>
    <t>104.</t>
  </si>
  <si>
    <t>Belgrád rkp. 21.</t>
  </si>
  <si>
    <t>105.</t>
  </si>
  <si>
    <t>Belgrád rkp. 22.</t>
  </si>
  <si>
    <t>106.</t>
  </si>
  <si>
    <t>107.</t>
  </si>
  <si>
    <t>Belgrád rkp. 25.</t>
  </si>
  <si>
    <t>108.</t>
  </si>
  <si>
    <t>Belgrád rkp. 26.</t>
  </si>
  <si>
    <t>109.</t>
  </si>
  <si>
    <t>Belgrád rkp. 27.</t>
  </si>
  <si>
    <t>110.</t>
  </si>
  <si>
    <t>Bécsi u.  1-3.</t>
  </si>
  <si>
    <t>111.</t>
  </si>
  <si>
    <t>Bécsi u. 5.</t>
  </si>
  <si>
    <t>112.</t>
  </si>
  <si>
    <t>113.</t>
  </si>
  <si>
    <t>Bihari J. u. 15.</t>
  </si>
  <si>
    <t>25046</t>
  </si>
  <si>
    <t>114.</t>
  </si>
  <si>
    <t>Bihari J. u. 16.</t>
  </si>
  <si>
    <t>115.</t>
  </si>
  <si>
    <t>116.</t>
  </si>
  <si>
    <t>Bihari J. u. 20.</t>
  </si>
  <si>
    <t>117.</t>
  </si>
  <si>
    <t>118.</t>
  </si>
  <si>
    <t>Cukor u. 4.</t>
  </si>
  <si>
    <t>119.</t>
  </si>
  <si>
    <t>120.</t>
  </si>
  <si>
    <t>Deák F. u. 17.</t>
  </si>
  <si>
    <t>121.</t>
  </si>
  <si>
    <t>Deák F. u. 19.</t>
  </si>
  <si>
    <t>122.</t>
  </si>
  <si>
    <t>Deák F. u. 21.</t>
  </si>
  <si>
    <t>123.</t>
  </si>
  <si>
    <t>Deák F. u. 23.</t>
  </si>
  <si>
    <t>124.</t>
  </si>
  <si>
    <t>Dorottya u. 3.</t>
  </si>
  <si>
    <t>125.</t>
  </si>
  <si>
    <t>Dorottya u. 9.</t>
  </si>
  <si>
    <t>126.</t>
  </si>
  <si>
    <t xml:space="preserve">Duna u. 1. </t>
  </si>
  <si>
    <t>127.</t>
  </si>
  <si>
    <t>Duna u. 3.</t>
  </si>
  <si>
    <t>128.</t>
  </si>
  <si>
    <t>Egyetem tér 5.</t>
  </si>
  <si>
    <t>129.</t>
  </si>
  <si>
    <t>Erzsébet tér 1.</t>
  </si>
  <si>
    <t>24463</t>
  </si>
  <si>
    <t>130.</t>
  </si>
  <si>
    <t>Erzsébet tér 2.</t>
  </si>
  <si>
    <t>131.</t>
  </si>
  <si>
    <t>Erzsébet tér  5.</t>
  </si>
  <si>
    <t>132.</t>
  </si>
  <si>
    <t xml:space="preserve">Falk Miksa u. 3. </t>
  </si>
  <si>
    <t>133.</t>
  </si>
  <si>
    <t>Falk Miksa u. 4.</t>
  </si>
  <si>
    <t>134.</t>
  </si>
  <si>
    <t>Falk Miksa u. 5.</t>
  </si>
  <si>
    <t>135.</t>
  </si>
  <si>
    <t>Falk Miksa u. 6.</t>
  </si>
  <si>
    <t>136.</t>
  </si>
  <si>
    <t>137.</t>
  </si>
  <si>
    <t>Falk Miksa u. 8.</t>
  </si>
  <si>
    <t>138.</t>
  </si>
  <si>
    <t>Falk Miksa u. 10.</t>
  </si>
  <si>
    <t>139.</t>
  </si>
  <si>
    <t>Falk Miksa u. 12.</t>
  </si>
  <si>
    <t>140.</t>
  </si>
  <si>
    <t>141.</t>
  </si>
  <si>
    <t>Falk Miksa u. 14.</t>
  </si>
  <si>
    <t>142.</t>
  </si>
  <si>
    <t>143.</t>
  </si>
  <si>
    <t>144.</t>
  </si>
  <si>
    <t>Falk Miksa u. 18-20.</t>
  </si>
  <si>
    <t>145.</t>
  </si>
  <si>
    <t>146.</t>
  </si>
  <si>
    <t>Falk Miksa u. 22.</t>
  </si>
  <si>
    <t>147.</t>
  </si>
  <si>
    <t>Falk Miksa u. 24-26.</t>
  </si>
  <si>
    <t>148.</t>
  </si>
  <si>
    <t>Falk Miksa u. 28.</t>
  </si>
  <si>
    <t>149.</t>
  </si>
  <si>
    <t>Falk Miksa u. 30.</t>
  </si>
  <si>
    <t>Fehérhajó u. 5.</t>
  </si>
  <si>
    <t>151.</t>
  </si>
  <si>
    <t>152.</t>
  </si>
  <si>
    <t>Ferenciek tere  2.</t>
  </si>
  <si>
    <t>153.</t>
  </si>
  <si>
    <t>154.</t>
  </si>
  <si>
    <t>Ferenciek tere   4.</t>
  </si>
  <si>
    <t>155.</t>
  </si>
  <si>
    <t>Ferenciek tere   5.</t>
  </si>
  <si>
    <t>156.</t>
  </si>
  <si>
    <t>Ferenciek tere 11.</t>
  </si>
  <si>
    <t>157.</t>
  </si>
  <si>
    <t>Ferenczy I.  u. 14.</t>
  </si>
  <si>
    <t>158.</t>
  </si>
  <si>
    <t>Ferenczy I. u. 24.</t>
  </si>
  <si>
    <t>159.</t>
  </si>
  <si>
    <t>Ferenczy I.  u.  28.</t>
  </si>
  <si>
    <t>160.</t>
  </si>
  <si>
    <t>Fővám tér 2-3.</t>
  </si>
  <si>
    <t>161.</t>
  </si>
  <si>
    <t>Fővám tér  4.</t>
  </si>
  <si>
    <t>162.</t>
  </si>
  <si>
    <t>Galamb u. 3.</t>
  </si>
  <si>
    <t>24327/3</t>
  </si>
  <si>
    <t>163.</t>
  </si>
  <si>
    <t>164.</t>
  </si>
  <si>
    <t>Garibaldi u. 1.</t>
  </si>
  <si>
    <t>166.</t>
  </si>
  <si>
    <t>Garibaldi u. 3.</t>
  </si>
  <si>
    <t>167.</t>
  </si>
  <si>
    <t>Garibaldi u. 5.</t>
  </si>
  <si>
    <t>168.</t>
  </si>
  <si>
    <t>Garibaldi u. 7.</t>
  </si>
  <si>
    <t>170.</t>
  </si>
  <si>
    <t>Gerlóczy u. 7.</t>
  </si>
  <si>
    <t>171.</t>
  </si>
  <si>
    <t>Gerlóczy u. 11.</t>
  </si>
  <si>
    <t>172.</t>
  </si>
  <si>
    <t>173.</t>
  </si>
  <si>
    <t>Haris köz 2.</t>
  </si>
  <si>
    <t>24301/1</t>
  </si>
  <si>
    <t>174.</t>
  </si>
  <si>
    <t>175.</t>
  </si>
  <si>
    <t>176.</t>
  </si>
  <si>
    <t>Haris köz 5.</t>
  </si>
  <si>
    <t>24301/6</t>
  </si>
  <si>
    <t>177.</t>
  </si>
  <si>
    <t>178.</t>
  </si>
  <si>
    <t>179.</t>
  </si>
  <si>
    <t>180.</t>
  </si>
  <si>
    <t>Havas u. 2.</t>
  </si>
  <si>
    <t>181.</t>
  </si>
  <si>
    <t>182.</t>
  </si>
  <si>
    <t>Havas u. 4.</t>
  </si>
  <si>
    <t>183.</t>
  </si>
  <si>
    <t>Havas u. 5.</t>
  </si>
  <si>
    <t>184.</t>
  </si>
  <si>
    <t>185.</t>
  </si>
  <si>
    <t xml:space="preserve">Henszlmann I. u. 3. </t>
  </si>
  <si>
    <t>186.</t>
  </si>
  <si>
    <t>187.</t>
  </si>
  <si>
    <t>Henszlmann I. u. 9.</t>
  </si>
  <si>
    <t>188.</t>
  </si>
  <si>
    <t>Hercegprímás u. 2.</t>
  </si>
  <si>
    <t>189.</t>
  </si>
  <si>
    <t>190.</t>
  </si>
  <si>
    <t>Hercegprímás u. 4.</t>
  </si>
  <si>
    <t>24543</t>
  </si>
  <si>
    <t>191.</t>
  </si>
  <si>
    <t>Hercegprímás u. 6.</t>
  </si>
  <si>
    <t>192.</t>
  </si>
  <si>
    <t>193.</t>
  </si>
  <si>
    <t>194.</t>
  </si>
  <si>
    <t>Hercegprímás u. 10.</t>
  </si>
  <si>
    <t>195.</t>
  </si>
  <si>
    <t>196.</t>
  </si>
  <si>
    <t>197.</t>
  </si>
  <si>
    <t>Hercegpímás u. 17.</t>
  </si>
  <si>
    <t>198.</t>
  </si>
  <si>
    <t>Hercegprímás u. 19.</t>
  </si>
  <si>
    <t>24767</t>
  </si>
  <si>
    <t>199.</t>
  </si>
  <si>
    <t>200.</t>
  </si>
  <si>
    <t>201.</t>
  </si>
  <si>
    <t>202.</t>
  </si>
  <si>
    <t>203.</t>
  </si>
  <si>
    <t>Hold u. 8.</t>
  </si>
  <si>
    <t>204.</t>
  </si>
  <si>
    <t>205.</t>
  </si>
  <si>
    <t>Hold u.15.</t>
  </si>
  <si>
    <t>206.</t>
  </si>
  <si>
    <t>Hold u. 21.</t>
  </si>
  <si>
    <t>207.</t>
  </si>
  <si>
    <t>Hold u. 23.</t>
  </si>
  <si>
    <t>208.</t>
  </si>
  <si>
    <t>Hold u. 25.</t>
  </si>
  <si>
    <t>209.</t>
  </si>
  <si>
    <t>Hold u. 29.</t>
  </si>
  <si>
    <t>210.</t>
  </si>
  <si>
    <t>211.</t>
  </si>
  <si>
    <t>Honvéd u. 8.</t>
  </si>
  <si>
    <t>212.</t>
  </si>
  <si>
    <t>Honvéd u.16.</t>
  </si>
  <si>
    <t>24900/2</t>
  </si>
  <si>
    <t>213.</t>
  </si>
  <si>
    <t>Honvéd u. 17/a.</t>
  </si>
  <si>
    <t>24904/1</t>
  </si>
  <si>
    <t>214.</t>
  </si>
  <si>
    <t>215.</t>
  </si>
  <si>
    <t>Honvéd u. 38.</t>
  </si>
  <si>
    <t>216.</t>
  </si>
  <si>
    <t>Honvéd u. 40.</t>
  </si>
  <si>
    <t xml:space="preserve">25022/2 </t>
  </si>
  <si>
    <t>217.</t>
  </si>
  <si>
    <t>218.</t>
  </si>
  <si>
    <t>Irányi u. 8.</t>
  </si>
  <si>
    <t>219.</t>
  </si>
  <si>
    <t>220.</t>
  </si>
  <si>
    <t>Irányi u. 10.</t>
  </si>
  <si>
    <t>221.</t>
  </si>
  <si>
    <t>Irányi u. 12.</t>
  </si>
  <si>
    <t>222.</t>
  </si>
  <si>
    <t>Irányi u. 15.</t>
  </si>
  <si>
    <t>223.</t>
  </si>
  <si>
    <t>Irányi u.19-23.</t>
  </si>
  <si>
    <t>224.</t>
  </si>
  <si>
    <t>Irányi u. 27.</t>
  </si>
  <si>
    <t>225.</t>
  </si>
  <si>
    <t>226.</t>
  </si>
  <si>
    <t>József A. u. 10.</t>
  </si>
  <si>
    <t>227.</t>
  </si>
  <si>
    <t>József A. u. 12.</t>
  </si>
  <si>
    <t>228.</t>
  </si>
  <si>
    <t>József A. u. 18.</t>
  </si>
  <si>
    <t>229.</t>
  </si>
  <si>
    <t>230.</t>
  </si>
  <si>
    <t>József nádor tér  8.</t>
  </si>
  <si>
    <t>József nádor tér  9.</t>
  </si>
  <si>
    <t>232.</t>
  </si>
  <si>
    <t>József nádor tér 10.</t>
  </si>
  <si>
    <t>233.</t>
  </si>
  <si>
    <t>József nádor tér 11.</t>
  </si>
  <si>
    <t>234.</t>
  </si>
  <si>
    <t>235.</t>
  </si>
  <si>
    <t>Kálmán I. u. 14.</t>
  </si>
  <si>
    <t>236.</t>
  </si>
  <si>
    <t>Kálmán I. u. 15.</t>
  </si>
  <si>
    <t>237.</t>
  </si>
  <si>
    <t>238.</t>
  </si>
  <si>
    <t>239.</t>
  </si>
  <si>
    <t>Kálmán I. u. 21.</t>
  </si>
  <si>
    <t>241.</t>
  </si>
  <si>
    <t>Kálmán I. u. 22.</t>
  </si>
  <si>
    <t>242.</t>
  </si>
  <si>
    <t>243.</t>
  </si>
  <si>
    <t>Kálmán I. u. 24.</t>
  </si>
  <si>
    <t>244.</t>
  </si>
  <si>
    <t>245.</t>
  </si>
  <si>
    <t>Kálvin tér  2.</t>
  </si>
  <si>
    <t>246.</t>
  </si>
  <si>
    <t>Kálvin tér  3.</t>
  </si>
  <si>
    <t>247.</t>
  </si>
  <si>
    <t>248.</t>
  </si>
  <si>
    <t>Kálvin tér 5.</t>
  </si>
  <si>
    <t>24080</t>
  </si>
  <si>
    <t>249.</t>
  </si>
  <si>
    <t>Károly krt. 2.</t>
  </si>
  <si>
    <t>250.</t>
  </si>
  <si>
    <t>Károly krt. 4.</t>
  </si>
  <si>
    <t>Károly krt. 8.</t>
  </si>
  <si>
    <t>24229</t>
  </si>
  <si>
    <t>252.</t>
  </si>
  <si>
    <t>Károly krt. 10.</t>
  </si>
  <si>
    <t>253.</t>
  </si>
  <si>
    <t>Károly krt. 12.</t>
  </si>
  <si>
    <t>254.</t>
  </si>
  <si>
    <t>Károly krt. 14.</t>
  </si>
  <si>
    <t>255.</t>
  </si>
  <si>
    <t>Károly krt. 16.</t>
  </si>
  <si>
    <t>256.</t>
  </si>
  <si>
    <t>Károly krt. 18.</t>
  </si>
  <si>
    <t>257.</t>
  </si>
  <si>
    <t>Károly krt. 20.</t>
  </si>
  <si>
    <t>258.</t>
  </si>
  <si>
    <t>Károly krt. 24.</t>
  </si>
  <si>
    <t>24237</t>
  </si>
  <si>
    <t>259.</t>
  </si>
  <si>
    <t>Károly krt. 26.</t>
  </si>
  <si>
    <t>260.</t>
  </si>
  <si>
    <t>261.</t>
  </si>
  <si>
    <t>Kecskeméti u. 1.</t>
  </si>
  <si>
    <t>262.</t>
  </si>
  <si>
    <t>Kecskeméti u. 2.</t>
  </si>
  <si>
    <t>263.</t>
  </si>
  <si>
    <t>264.</t>
  </si>
  <si>
    <t>Kecskeméti u. 5.</t>
  </si>
  <si>
    <t>265.</t>
  </si>
  <si>
    <t>Kecskeméti u. 6.</t>
  </si>
  <si>
    <t>266.</t>
  </si>
  <si>
    <t>Kecskeméti u. 8.</t>
  </si>
  <si>
    <t>267.</t>
  </si>
  <si>
    <t>Kecskeméti u. 9.</t>
  </si>
  <si>
    <t>268.</t>
  </si>
  <si>
    <t>269.</t>
  </si>
  <si>
    <t>Kecskeméti u. 13.</t>
  </si>
  <si>
    <t>270.</t>
  </si>
  <si>
    <t>Képíró u. 6.</t>
  </si>
  <si>
    <t>272.</t>
  </si>
  <si>
    <t>273.</t>
  </si>
  <si>
    <t>274.</t>
  </si>
  <si>
    <t>275.</t>
  </si>
  <si>
    <t>Kígyó u. 4-6.</t>
  </si>
  <si>
    <t>276.</t>
  </si>
  <si>
    <t>Királyi P. u. 5-7.</t>
  </si>
  <si>
    <t>277.</t>
  </si>
  <si>
    <t>Királyi P. u. 8.</t>
  </si>
  <si>
    <t>278.</t>
  </si>
  <si>
    <t>Királyi P. u. 9.</t>
  </si>
  <si>
    <t>279.</t>
  </si>
  <si>
    <t>Királyi P. u. 10.</t>
  </si>
  <si>
    <t>280.</t>
  </si>
  <si>
    <t>Királyi P. u. 13/a.</t>
  </si>
  <si>
    <t>24062/2</t>
  </si>
  <si>
    <t>281.</t>
  </si>
  <si>
    <t>Királyi P. u. 13/b.</t>
  </si>
  <si>
    <t>24062/3</t>
  </si>
  <si>
    <t>283.</t>
  </si>
  <si>
    <t>Királyi P. u. 16.</t>
  </si>
  <si>
    <t>24097</t>
  </si>
  <si>
    <t>284.</t>
  </si>
  <si>
    <t>Királyi P. u. 20.</t>
  </si>
  <si>
    <t>285.</t>
  </si>
  <si>
    <t xml:space="preserve">Kossuth L. tér 9. </t>
  </si>
  <si>
    <t>24711</t>
  </si>
  <si>
    <t>286.</t>
  </si>
  <si>
    <t xml:space="preserve">Kossuth L. tér 13-15. </t>
  </si>
  <si>
    <t>287.</t>
  </si>
  <si>
    <t>Kossuth L. tér 16-17.</t>
  </si>
  <si>
    <t>288.</t>
  </si>
  <si>
    <t>Kossuth L . tér 18.</t>
  </si>
  <si>
    <t>24915/1</t>
  </si>
  <si>
    <t>289.</t>
  </si>
  <si>
    <t>Kossuth L. u. 2/a.</t>
  </si>
  <si>
    <t>290.</t>
  </si>
  <si>
    <t>Kossuth L. u. 2/b.</t>
  </si>
  <si>
    <t>291.</t>
  </si>
  <si>
    <t>Kossuth L. u. 4.</t>
  </si>
  <si>
    <t>293.</t>
  </si>
  <si>
    <t>294.</t>
  </si>
  <si>
    <t>Kossuth L. u. 8.</t>
  </si>
  <si>
    <t>295.</t>
  </si>
  <si>
    <t>296.</t>
  </si>
  <si>
    <t>Kossuth L. u. 11.</t>
  </si>
  <si>
    <t>297.</t>
  </si>
  <si>
    <t>Kossuth L. u. 12.</t>
  </si>
  <si>
    <t>298.</t>
  </si>
  <si>
    <t>299.</t>
  </si>
  <si>
    <t>Kossuth L. u. 14-16.</t>
  </si>
  <si>
    <t>300.</t>
  </si>
  <si>
    <t>301.</t>
  </si>
  <si>
    <t>Kossuth L. u. 17.</t>
  </si>
  <si>
    <t>302.</t>
  </si>
  <si>
    <t>Kristóf tér 4.</t>
  </si>
  <si>
    <t>303.</t>
  </si>
  <si>
    <t>Kristóf tér 6.</t>
  </si>
  <si>
    <t>304.</t>
  </si>
  <si>
    <t>Kristóf tér 7-8.</t>
  </si>
  <si>
    <t>305.</t>
  </si>
  <si>
    <t>Magyar u. 3.</t>
  </si>
  <si>
    <t>306.</t>
  </si>
  <si>
    <t>Magyar u. 5.</t>
  </si>
  <si>
    <t>Magyar u. 12-14.</t>
  </si>
  <si>
    <t>308.</t>
  </si>
  <si>
    <t>Magyar u. 18.</t>
  </si>
  <si>
    <t>309.</t>
  </si>
  <si>
    <t>Magyar u. 23.</t>
  </si>
  <si>
    <t>310.</t>
  </si>
  <si>
    <t>311.</t>
  </si>
  <si>
    <t>Magyar u. 38.</t>
  </si>
  <si>
    <t>313.</t>
  </si>
  <si>
    <t>314.</t>
  </si>
  <si>
    <t>Markó u. 1/b.</t>
  </si>
  <si>
    <t>24915/4</t>
  </si>
  <si>
    <t>315.</t>
  </si>
  <si>
    <t>Markó u. 7.</t>
  </si>
  <si>
    <t>316.</t>
  </si>
  <si>
    <t>Március 15. tér  2.</t>
  </si>
  <si>
    <t>317.</t>
  </si>
  <si>
    <t>318.</t>
  </si>
  <si>
    <t>319.</t>
  </si>
  <si>
    <t>Mérleg u. 7.</t>
  </si>
  <si>
    <t>320.</t>
  </si>
  <si>
    <t>Mérleg u. 12.</t>
  </si>
  <si>
    <t>322.</t>
  </si>
  <si>
    <t>Molnár u. 10.</t>
  </si>
  <si>
    <t>323.</t>
  </si>
  <si>
    <t>324.</t>
  </si>
  <si>
    <t>Molnár u. 12.</t>
  </si>
  <si>
    <t>325.</t>
  </si>
  <si>
    <t>Molnár u. 13.</t>
  </si>
  <si>
    <t>326.</t>
  </si>
  <si>
    <t>Molnár u. 15.</t>
  </si>
  <si>
    <t>327.</t>
  </si>
  <si>
    <t>Molnár u. 17.</t>
  </si>
  <si>
    <t>328.</t>
  </si>
  <si>
    <t>329.</t>
  </si>
  <si>
    <t>330.</t>
  </si>
  <si>
    <t>Molnár u. 22-24.</t>
  </si>
  <si>
    <t>331.</t>
  </si>
  <si>
    <t>Molnár u. 26.</t>
  </si>
  <si>
    <t>332.</t>
  </si>
  <si>
    <t>Molnár u. 27.</t>
  </si>
  <si>
    <t>333.</t>
  </si>
  <si>
    <t>Molnár u. 29.</t>
  </si>
  <si>
    <t>334.</t>
  </si>
  <si>
    <t>Molnár u. 30.</t>
  </si>
  <si>
    <t>335.</t>
  </si>
  <si>
    <t>Molnár u. 33.</t>
  </si>
  <si>
    <t>336.</t>
  </si>
  <si>
    <t>337.</t>
  </si>
  <si>
    <t>338.</t>
  </si>
  <si>
    <t>Molnár u. 53.</t>
  </si>
  <si>
    <t>339.</t>
  </si>
  <si>
    <t>340.</t>
  </si>
  <si>
    <t>341.</t>
  </si>
  <si>
    <t>342.</t>
  </si>
  <si>
    <t>Múzeum krt. 15.</t>
  </si>
  <si>
    <t>24129</t>
  </si>
  <si>
    <t>343.</t>
  </si>
  <si>
    <t>Múzeum krt. 17.</t>
  </si>
  <si>
    <t>344.</t>
  </si>
  <si>
    <t>Múzeum krt. 23-25.</t>
  </si>
  <si>
    <t>345.</t>
  </si>
  <si>
    <t>Múzeum krt. 27.</t>
  </si>
  <si>
    <t>346.</t>
  </si>
  <si>
    <t>347.</t>
  </si>
  <si>
    <t>Múzeum krt. 31-33.</t>
  </si>
  <si>
    <t>348.</t>
  </si>
  <si>
    <t>Múzeum krt. 35.</t>
  </si>
  <si>
    <t>349.</t>
  </si>
  <si>
    <t>350.</t>
  </si>
  <si>
    <t>Múzeum krt. 39.</t>
  </si>
  <si>
    <t>24118</t>
  </si>
  <si>
    <t>351.</t>
  </si>
  <si>
    <t>352.</t>
  </si>
  <si>
    <t>Nagy Ignác u. 14.</t>
  </si>
  <si>
    <t>25002/6</t>
  </si>
  <si>
    <t>353.</t>
  </si>
  <si>
    <t>Nagy Ignác u. 16.</t>
  </si>
  <si>
    <t>25002/7</t>
  </si>
  <si>
    <t>354.</t>
  </si>
  <si>
    <t>Nagy Ignác u. 19/a.</t>
  </si>
  <si>
    <t>355.</t>
  </si>
  <si>
    <t>Nagy Ignác u. 19/b.</t>
  </si>
  <si>
    <t>356.</t>
  </si>
  <si>
    <t>357.</t>
  </si>
  <si>
    <t>Nagysándor J. u. 3.</t>
  </si>
  <si>
    <t>358.</t>
  </si>
  <si>
    <t>Nagysándor J. u. 5.</t>
  </si>
  <si>
    <t>360.</t>
  </si>
  <si>
    <t>Nádor u. 8.</t>
  </si>
  <si>
    <t>361.</t>
  </si>
  <si>
    <t>Nádor u. 17.</t>
  </si>
  <si>
    <t>24583</t>
  </si>
  <si>
    <t>362.</t>
  </si>
  <si>
    <t>Nádor u. 20.</t>
  </si>
  <si>
    <t>363.</t>
  </si>
  <si>
    <t>364.</t>
  </si>
  <si>
    <t>Nádor u. 24.</t>
  </si>
  <si>
    <t>365.</t>
  </si>
  <si>
    <t>Nádor u. 26.</t>
  </si>
  <si>
    <t>366.</t>
  </si>
  <si>
    <t>Nádor u. 34.</t>
  </si>
  <si>
    <t>367.</t>
  </si>
  <si>
    <t>368.</t>
  </si>
  <si>
    <t>Nyáry P. u. 1/b.</t>
  </si>
  <si>
    <t>23883/2</t>
  </si>
  <si>
    <t>369.</t>
  </si>
  <si>
    <t>Nyáry P. u. 4.</t>
  </si>
  <si>
    <t>370.</t>
  </si>
  <si>
    <t>371.</t>
  </si>
  <si>
    <t>372.</t>
  </si>
  <si>
    <t>Nyáry P. u. 7.</t>
  </si>
  <si>
    <t>373.</t>
  </si>
  <si>
    <t>Nyáry P. u. 9.</t>
  </si>
  <si>
    <t>374.</t>
  </si>
  <si>
    <t>Nyáry P. u. 10.</t>
  </si>
  <si>
    <t>23988</t>
  </si>
  <si>
    <t>375.</t>
  </si>
  <si>
    <t>Nyugati tér 6.</t>
  </si>
  <si>
    <t>376.</t>
  </si>
  <si>
    <t>377.</t>
  </si>
  <si>
    <t>Nyugati tér 9.</t>
  </si>
  <si>
    <t>378.</t>
  </si>
  <si>
    <t>Október 6. u. 3.</t>
  </si>
  <si>
    <t>379.</t>
  </si>
  <si>
    <t>Október 6. u. 4.</t>
  </si>
  <si>
    <t>380.</t>
  </si>
  <si>
    <t>Október 6. u. 6.</t>
  </si>
  <si>
    <t>381.</t>
  </si>
  <si>
    <t>Október 6. u. 8.</t>
  </si>
  <si>
    <t>382.</t>
  </si>
  <si>
    <t>Október 6. u. 11.</t>
  </si>
  <si>
    <t>383.</t>
  </si>
  <si>
    <t>Október 6. u. 13.</t>
  </si>
  <si>
    <t>384.</t>
  </si>
  <si>
    <t>Október 6. u. 14.</t>
  </si>
  <si>
    <t>385.</t>
  </si>
  <si>
    <t>Október 6. u. 15.</t>
  </si>
  <si>
    <t>386.</t>
  </si>
  <si>
    <t>Október 6. u. 16-18.</t>
  </si>
  <si>
    <t>387.</t>
  </si>
  <si>
    <t>Október 6. u. 17.</t>
  </si>
  <si>
    <t>388.</t>
  </si>
  <si>
    <t>Október 6. u. 19.</t>
  </si>
  <si>
    <t>389.</t>
  </si>
  <si>
    <t>Október 6. u. 21.</t>
  </si>
  <si>
    <t>390.</t>
  </si>
  <si>
    <t>Október 6. u. 22.</t>
  </si>
  <si>
    <t>24595</t>
  </si>
  <si>
    <t>391.</t>
  </si>
  <si>
    <t>Október 6. u. 24.</t>
  </si>
  <si>
    <t>392.</t>
  </si>
  <si>
    <t>Papnövelde u. 1.</t>
  </si>
  <si>
    <t>393.</t>
  </si>
  <si>
    <t>Papnövelde u. 2.</t>
  </si>
  <si>
    <t>394.</t>
  </si>
  <si>
    <t>395.</t>
  </si>
  <si>
    <t>Papnövelde u. 8.</t>
  </si>
  <si>
    <t>396.</t>
  </si>
  <si>
    <t>Papnövelde u. 10.</t>
  </si>
  <si>
    <t>398.</t>
  </si>
  <si>
    <t>399.</t>
  </si>
  <si>
    <t>24349/1</t>
  </si>
  <si>
    <t>401.</t>
  </si>
  <si>
    <t>24349/2</t>
  </si>
  <si>
    <t>402.</t>
  </si>
  <si>
    <t>403.</t>
  </si>
  <si>
    <t>Perczel M. u. 2.</t>
  </si>
  <si>
    <t>404.</t>
  </si>
  <si>
    <t>405.</t>
  </si>
  <si>
    <t>406.</t>
  </si>
  <si>
    <t>Petőfi S. u. 6.</t>
  </si>
  <si>
    <t>407.</t>
  </si>
  <si>
    <t>Petőfi S. u. 7.</t>
  </si>
  <si>
    <t>408.</t>
  </si>
  <si>
    <t>409.</t>
  </si>
  <si>
    <t>Petőfi S. u. 10.</t>
  </si>
  <si>
    <t>410.</t>
  </si>
  <si>
    <t>411.</t>
  </si>
  <si>
    <t>Petőfi S. u. 12.</t>
  </si>
  <si>
    <t>24349/3</t>
  </si>
  <si>
    <t>412.</t>
  </si>
  <si>
    <t>413.</t>
  </si>
  <si>
    <t>Petőfi S. u. 16.</t>
  </si>
  <si>
    <t>24350/2</t>
  </si>
  <si>
    <t>414.</t>
  </si>
  <si>
    <t>Petőfi tér  3-5.</t>
  </si>
  <si>
    <t>24322/2</t>
  </si>
  <si>
    <t>415.</t>
  </si>
  <si>
    <t>Podmaniczky tér 4.</t>
  </si>
  <si>
    <t>416.</t>
  </si>
  <si>
    <t>Reáltanoda u. 9.</t>
  </si>
  <si>
    <t>417.</t>
  </si>
  <si>
    <t>Reáltanoda u. 11.</t>
  </si>
  <si>
    <t>418.</t>
  </si>
  <si>
    <t>419.</t>
  </si>
  <si>
    <t>Reáltanoda u. 16.</t>
  </si>
  <si>
    <t>421.</t>
  </si>
  <si>
    <t>422.</t>
  </si>
  <si>
    <t>Reáltanoda u. 18.</t>
  </si>
  <si>
    <t>423.</t>
  </si>
  <si>
    <t>Reáltanoda u. 19.</t>
  </si>
  <si>
    <t>24184</t>
  </si>
  <si>
    <t>424.</t>
  </si>
  <si>
    <t>Régiposta u. 4.</t>
  </si>
  <si>
    <t>425.</t>
  </si>
  <si>
    <t>426.</t>
  </si>
  <si>
    <t>Régiposta u. 7-9.</t>
  </si>
  <si>
    <t>428.</t>
  </si>
  <si>
    <t>Régiposta u. 11.</t>
  </si>
  <si>
    <t>429.</t>
  </si>
  <si>
    <t>Régiposta u. 12.</t>
  </si>
  <si>
    <t>431.</t>
  </si>
  <si>
    <t>433.</t>
  </si>
  <si>
    <t>Régiposta u. 19.</t>
  </si>
  <si>
    <t>434.</t>
  </si>
  <si>
    <t>Sas u. 1.</t>
  </si>
  <si>
    <t>435.</t>
  </si>
  <si>
    <t>Sas u. 3.</t>
  </si>
  <si>
    <t>24534</t>
  </si>
  <si>
    <t>436.</t>
  </si>
  <si>
    <t>Sas u. 5.</t>
  </si>
  <si>
    <t>437.</t>
  </si>
  <si>
    <t>Sas u. 7.</t>
  </si>
  <si>
    <t>438.</t>
  </si>
  <si>
    <t>Sas u. 9.</t>
  </si>
  <si>
    <t>439.</t>
  </si>
  <si>
    <t>440.</t>
  </si>
  <si>
    <t>Sas u. 14.</t>
  </si>
  <si>
    <t>24605</t>
  </si>
  <si>
    <t>441.</t>
  </si>
  <si>
    <t>442.</t>
  </si>
  <si>
    <t>443.</t>
  </si>
  <si>
    <t>Sas u. 20-22.</t>
  </si>
  <si>
    <t>444.</t>
  </si>
  <si>
    <t>Semmelweis u. 2.</t>
  </si>
  <si>
    <t>445.</t>
  </si>
  <si>
    <t>Semmelweis u. 4.</t>
  </si>
  <si>
    <t>446.</t>
  </si>
  <si>
    <t>Semmelweis u. 5.</t>
  </si>
  <si>
    <t>447.</t>
  </si>
  <si>
    <t>Semmelweis u. 7.</t>
  </si>
  <si>
    <t>448.</t>
  </si>
  <si>
    <t>449.</t>
  </si>
  <si>
    <t>Semmelweis u. 14.</t>
  </si>
  <si>
    <t>450.</t>
  </si>
  <si>
    <t>451.</t>
  </si>
  <si>
    <t>Semmelweis u. 19.</t>
  </si>
  <si>
    <t>454.</t>
  </si>
  <si>
    <t>455.</t>
  </si>
  <si>
    <t>456.</t>
  </si>
  <si>
    <t>457.</t>
  </si>
  <si>
    <t>458.</t>
  </si>
  <si>
    <t>459.</t>
  </si>
  <si>
    <t>Sörház u. 4.</t>
  </si>
  <si>
    <t>461.</t>
  </si>
  <si>
    <t>Steindl I. u. 7.</t>
  </si>
  <si>
    <t>462.</t>
  </si>
  <si>
    <t>Steindl I. u. 9.</t>
  </si>
  <si>
    <t>463.</t>
  </si>
  <si>
    <t>Steindl I. u. 11.</t>
  </si>
  <si>
    <t>464.</t>
  </si>
  <si>
    <t>Stollár B. u.  3/a-b.</t>
  </si>
  <si>
    <t>465.</t>
  </si>
  <si>
    <t>466.</t>
  </si>
  <si>
    <t>Stollár B. u. 12/b.</t>
  </si>
  <si>
    <t>25002/17</t>
  </si>
  <si>
    <t>467.</t>
  </si>
  <si>
    <t>Stollár B. u. 12/c.</t>
  </si>
  <si>
    <t>25002/18</t>
  </si>
  <si>
    <t>468.</t>
  </si>
  <si>
    <t>469.</t>
  </si>
  <si>
    <t>470.</t>
  </si>
  <si>
    <t>Stollár B. u. 16.</t>
  </si>
  <si>
    <t>471.</t>
  </si>
  <si>
    <t>Stollár B. u. 22.</t>
  </si>
  <si>
    <t>472.</t>
  </si>
  <si>
    <t>Sütő u. 2.</t>
  </si>
  <si>
    <t>473.</t>
  </si>
  <si>
    <t>Szalay u. 2.</t>
  </si>
  <si>
    <t>474.</t>
  </si>
  <si>
    <t>Szalay u. 3.</t>
  </si>
  <si>
    <t>24900/1</t>
  </si>
  <si>
    <t>475.</t>
  </si>
  <si>
    <t>Szalay u. 5/a.</t>
  </si>
  <si>
    <t>24904/2</t>
  </si>
  <si>
    <t>477.</t>
  </si>
  <si>
    <t>Szarka u. 4.</t>
  </si>
  <si>
    <t>479.</t>
  </si>
  <si>
    <t>480.</t>
  </si>
  <si>
    <t>Szemere u. 8.</t>
  </si>
  <si>
    <t>481.</t>
  </si>
  <si>
    <t>Szerb u. 2.</t>
  </si>
  <si>
    <t>Szerb u. 8.</t>
  </si>
  <si>
    <t>Szerb u. 13.</t>
  </si>
  <si>
    <t>Szerb u. 17-19.</t>
  </si>
  <si>
    <t>24043/1</t>
  </si>
  <si>
    <t>Szervita tér  2.</t>
  </si>
  <si>
    <t>Szervita tér 4.</t>
  </si>
  <si>
    <t>Széchenyi rkp. 7.</t>
  </si>
  <si>
    <t>Széchenyi u. 8.</t>
  </si>
  <si>
    <t>Széchenyi u. 14.</t>
  </si>
  <si>
    <t>Szép u. 3.</t>
  </si>
  <si>
    <t>Szép u. 5.</t>
  </si>
  <si>
    <t>Szt.István krt. 1.</t>
  </si>
  <si>
    <t>Szt.István krt. 5.</t>
  </si>
  <si>
    <t>Szt.István krt. 7.</t>
  </si>
  <si>
    <t>Szt.István krt. 9.</t>
  </si>
  <si>
    <t>Szt.István krt. 15.</t>
  </si>
  <si>
    <t>Szt.István krt. 17.</t>
  </si>
  <si>
    <t>Szt.István krt. 27.</t>
  </si>
  <si>
    <t>Szt.István krt. 29.</t>
  </si>
  <si>
    <t>Vadász u. 26.</t>
  </si>
  <si>
    <t>Vadász u. 27.</t>
  </si>
  <si>
    <t>Vadász u. 30.</t>
  </si>
  <si>
    <t>24816</t>
  </si>
  <si>
    <t>Vadász u. 34.</t>
  </si>
  <si>
    <t>24814</t>
  </si>
  <si>
    <t>Váci u. 4.</t>
  </si>
  <si>
    <t>Váci u. 7.</t>
  </si>
  <si>
    <t>Váci u. 9.</t>
  </si>
  <si>
    <t>Váci u. 10.</t>
  </si>
  <si>
    <t>Váci u. 11/b.</t>
  </si>
  <si>
    <t>Váci u. 17.</t>
  </si>
  <si>
    <t>Váci u. 18.</t>
  </si>
  <si>
    <t>Váci u. 24.</t>
  </si>
  <si>
    <t>Váci u. 25.</t>
  </si>
  <si>
    <t>Váci u. 40.</t>
  </si>
  <si>
    <t>Váci u. 41/a.</t>
  </si>
  <si>
    <t>Váci u. 42.</t>
  </si>
  <si>
    <t>Váci u. 45.</t>
  </si>
  <si>
    <t>Váci u. 51.</t>
  </si>
  <si>
    <t>Váci u. 57.</t>
  </si>
  <si>
    <t>Váci u. 60.</t>
  </si>
  <si>
    <t>23962</t>
  </si>
  <si>
    <t>Váci u. 61.</t>
  </si>
  <si>
    <t>Váci u. 63.</t>
  </si>
  <si>
    <t>23900</t>
  </si>
  <si>
    <t>Váci u. 68.</t>
  </si>
  <si>
    <t>Váci u. 71.</t>
  </si>
  <si>
    <t>Váci u. 78-80.</t>
  </si>
  <si>
    <t>Váci u. 79.</t>
  </si>
  <si>
    <t>23922</t>
  </si>
  <si>
    <t>Váci u. 84.</t>
  </si>
  <si>
    <t>Váci u. 85.</t>
  </si>
  <si>
    <t>Vámház krt. 4.</t>
  </si>
  <si>
    <t>Vámház krt. 8.</t>
  </si>
  <si>
    <t>Vámház krt. 10.</t>
  </si>
  <si>
    <t>Vámház krt. 12.</t>
  </si>
  <si>
    <t>24074</t>
  </si>
  <si>
    <t>Vámház krt. 16.</t>
  </si>
  <si>
    <t>Vármegye u. 7.</t>
  </si>
  <si>
    <t>Vármegye u. 11-13.</t>
  </si>
  <si>
    <t>Vármegye u. 15.</t>
  </si>
  <si>
    <t>Városház u. 3-5.</t>
  </si>
  <si>
    <t>Városház u. 4.</t>
  </si>
  <si>
    <t>Városház u. 8.</t>
  </si>
  <si>
    <t>Városház u. 10.</t>
  </si>
  <si>
    <t>Városház u. 12-14.</t>
  </si>
  <si>
    <t>Városház u. 16.</t>
  </si>
  <si>
    <t>Veres Pálné u. 4-6.</t>
  </si>
  <si>
    <t>Veres Pálné u. 8.</t>
  </si>
  <si>
    <t>Veres Pálné u. 9.</t>
  </si>
  <si>
    <t>Veres Pálné u. 10.</t>
  </si>
  <si>
    <t>Veres Pálné u. 12.</t>
  </si>
  <si>
    <t>Veres Pálné u. 15.</t>
  </si>
  <si>
    <t>Veres Pálné u. 16.</t>
  </si>
  <si>
    <t>Veres Pálné u. 25.</t>
  </si>
  <si>
    <t>Veres Pálné u. 27.</t>
  </si>
  <si>
    <t>Veres Pálné u. 28.</t>
  </si>
  <si>
    <t>Veres Pálné u. 29.</t>
  </si>
  <si>
    <t>Veres Pálné u. 30.</t>
  </si>
  <si>
    <t>Veres Pálné u. 33.</t>
  </si>
  <si>
    <t>Vécsey u. 4.</t>
  </si>
  <si>
    <t>Vértanúk tere 1.</t>
  </si>
  <si>
    <t>Vigyázó F. u. 4.</t>
  </si>
  <si>
    <t>Zoltán u. 6.</t>
  </si>
  <si>
    <t>24698/1</t>
  </si>
  <si>
    <t>Zoltán u. 9.</t>
  </si>
  <si>
    <t>24692/1</t>
  </si>
  <si>
    <t>Zoltán u. 11.</t>
  </si>
  <si>
    <t>Zoltán u. 12.</t>
  </si>
  <si>
    <t>Zoltán u. 13.</t>
  </si>
  <si>
    <t>Zoltán u. 18.</t>
  </si>
  <si>
    <t>Zrínyi u. 9.</t>
  </si>
  <si>
    <t>24523</t>
  </si>
  <si>
    <t>Zrínyi u. 12.</t>
  </si>
  <si>
    <t>Zrínyi u. 14.</t>
  </si>
  <si>
    <t>Fehérhajó u. 8-10.</t>
  </si>
  <si>
    <t>24418</t>
  </si>
  <si>
    <t>Hold u. 13.</t>
  </si>
  <si>
    <t>24807</t>
  </si>
  <si>
    <t>Nádor u. 14.</t>
  </si>
  <si>
    <t>24562</t>
  </si>
  <si>
    <t>Váci u. 67.</t>
  </si>
  <si>
    <t>23902</t>
  </si>
  <si>
    <t>Vörösmarty tér  5.</t>
  </si>
  <si>
    <t>24435</t>
  </si>
  <si>
    <t>Alkotmány u. 15.</t>
  </si>
  <si>
    <t>17.</t>
  </si>
  <si>
    <t>63.</t>
  </si>
  <si>
    <t>66.</t>
  </si>
  <si>
    <t>94.</t>
  </si>
  <si>
    <t>312.</t>
  </si>
  <si>
    <t>321.</t>
  </si>
  <si>
    <t>432.</t>
  </si>
  <si>
    <t>460.</t>
  </si>
  <si>
    <t>476.</t>
  </si>
  <si>
    <t>Tul.hányad</t>
  </si>
  <si>
    <t>1997.XII.31.</t>
  </si>
  <si>
    <t>1998.XII.31.</t>
  </si>
  <si>
    <t>1999.XII.31.</t>
  </si>
  <si>
    <t>2000.XII.31.</t>
  </si>
  <si>
    <t>eFt 1997.XII.31.</t>
  </si>
  <si>
    <t>eFt 1998.XII.31.</t>
  </si>
  <si>
    <t>eFt 1999.XII.31.</t>
  </si>
  <si>
    <t>eFt 2000.XII.31.</t>
  </si>
  <si>
    <t>Petőfi S. u. 3.</t>
  </si>
  <si>
    <t>24288</t>
  </si>
  <si>
    <t>430.</t>
  </si>
  <si>
    <t>452.</t>
  </si>
  <si>
    <t>453.</t>
  </si>
  <si>
    <t>478.</t>
  </si>
  <si>
    <t>Semmelweis u. 9.</t>
  </si>
  <si>
    <t>24247</t>
  </si>
  <si>
    <t>Sas u. 21.</t>
  </si>
  <si>
    <t>24613/1</t>
  </si>
  <si>
    <t>Balassi B. u. 21-23.</t>
  </si>
  <si>
    <t>24873/3</t>
  </si>
  <si>
    <t>hányad</t>
  </si>
  <si>
    <t>Ferenciek tere 7-8.</t>
  </si>
  <si>
    <t>24188</t>
  </si>
  <si>
    <t>Kálmán I. u. 10.</t>
  </si>
  <si>
    <t>24873</t>
  </si>
  <si>
    <t>Királyi P. u. 11.</t>
  </si>
  <si>
    <t>24060</t>
  </si>
  <si>
    <t>Széchenyi u. 12.</t>
  </si>
  <si>
    <t>24670</t>
  </si>
  <si>
    <t>Veres Pálné u. 17-19.</t>
  </si>
  <si>
    <t>23972</t>
  </si>
  <si>
    <t>Párizsi u. 2.</t>
  </si>
  <si>
    <t>Párizsi u. 4.</t>
  </si>
  <si>
    <t>Párizsi u. 6/a.</t>
  </si>
  <si>
    <t>Párizsi u. 6/b.</t>
  </si>
  <si>
    <t>Párizsi u. 7.</t>
  </si>
  <si>
    <t>Apáczai Cs. J. u. 3.</t>
  </si>
  <si>
    <t>24398</t>
  </si>
  <si>
    <t>Bank u. 3.</t>
  </si>
  <si>
    <t>24769</t>
  </si>
  <si>
    <t>Bástya u. 27-29.</t>
  </si>
  <si>
    <t>24088</t>
  </si>
  <si>
    <t>Báthori u. 20.</t>
  </si>
  <si>
    <t>24852</t>
  </si>
  <si>
    <t>Deák F. u. 8.</t>
  </si>
  <si>
    <t>24433</t>
  </si>
  <si>
    <t>Dorottya u. 11.</t>
  </si>
  <si>
    <t>24483</t>
  </si>
  <si>
    <t>Irányi u. 7.</t>
  </si>
  <si>
    <t>23877</t>
  </si>
  <si>
    <t>Magyar u. 24.</t>
  </si>
  <si>
    <t>24136</t>
  </si>
  <si>
    <t>Magyar u. 28.</t>
  </si>
  <si>
    <t>24126/2</t>
  </si>
  <si>
    <t>Régiposta u. 15.</t>
  </si>
  <si>
    <t>24338</t>
  </si>
  <si>
    <t>Zoltán u . 8.</t>
  </si>
  <si>
    <t>Zoltán u. 7.</t>
  </si>
  <si>
    <t>24692/2</t>
  </si>
  <si>
    <t>Összesen:</t>
  </si>
  <si>
    <t>Forgalomképes ingatlanvagyon</t>
  </si>
  <si>
    <t>Honvéd u. 22.</t>
  </si>
  <si>
    <t>Tul.</t>
  </si>
  <si>
    <t>Nettó érték</t>
  </si>
  <si>
    <t>összesen</t>
  </si>
  <si>
    <t>Ssz.</t>
  </si>
  <si>
    <t xml:space="preserve"> ÉCS </t>
  </si>
  <si>
    <t>Kossuth L. u. 6.</t>
  </si>
  <si>
    <t>Múzeum krt. 29.</t>
  </si>
  <si>
    <t>Párizsi u. 1.</t>
  </si>
  <si>
    <t>Régiposta u. 6.</t>
  </si>
  <si>
    <t>Mód.</t>
  </si>
  <si>
    <t>arány</t>
  </si>
  <si>
    <t>Tüköry u. 5.</t>
  </si>
  <si>
    <t>24655</t>
  </si>
  <si>
    <t>25016</t>
  </si>
  <si>
    <t>Falk Miksa u. 15.</t>
  </si>
  <si>
    <t>József nádor tér 12.</t>
  </si>
  <si>
    <t>24909</t>
  </si>
  <si>
    <t>Szemere u. 9.</t>
  </si>
  <si>
    <t>Ferenczy I.  u. 18.</t>
  </si>
  <si>
    <t>Képíró u. 5.</t>
  </si>
  <si>
    <t>24098</t>
  </si>
  <si>
    <t>Podmaniczky tér 3.</t>
  </si>
  <si>
    <t>24773</t>
  </si>
  <si>
    <t>Balassi B. u. 27.</t>
  </si>
  <si>
    <t>25012</t>
  </si>
  <si>
    <t>Társasházak</t>
  </si>
  <si>
    <t>Alkotmány u. 21.</t>
  </si>
  <si>
    <t>Szt.István krt. 13.</t>
  </si>
  <si>
    <t>Vadász u. 32.</t>
  </si>
  <si>
    <t>Váci u. 56-58.</t>
  </si>
  <si>
    <t>Zoltán u. 10.</t>
  </si>
  <si>
    <t>Szt.István krt. 19.</t>
  </si>
  <si>
    <t>24738</t>
  </si>
  <si>
    <t>Hold u. 6.</t>
  </si>
  <si>
    <t>169.</t>
  </si>
  <si>
    <t>307.</t>
  </si>
  <si>
    <t>24269/1</t>
  </si>
  <si>
    <t>Vitkovics M. u. 3-5.</t>
  </si>
  <si>
    <t>46.</t>
  </si>
  <si>
    <t>73.</t>
  </si>
  <si>
    <t>165.</t>
  </si>
  <si>
    <t>231.</t>
  </si>
  <si>
    <t>240.</t>
  </si>
  <si>
    <t>271.</t>
  </si>
  <si>
    <t>359.</t>
  </si>
  <si>
    <t>427.</t>
  </si>
  <si>
    <t>24172</t>
  </si>
  <si>
    <t>24301/2</t>
  </si>
  <si>
    <t>Haris köz 4.</t>
  </si>
  <si>
    <t>Vadász u. 42.</t>
  </si>
  <si>
    <t>Magyar u. 27.</t>
  </si>
  <si>
    <t>Falk Miksa u. 7. (iker Markó u.5)</t>
  </si>
  <si>
    <t>24709</t>
  </si>
  <si>
    <t>Nádor u. 36.</t>
  </si>
  <si>
    <t>Bajcsy Zs. u. 66.</t>
  </si>
  <si>
    <t xml:space="preserve">Bank u. 6. </t>
  </si>
  <si>
    <t>67.</t>
  </si>
  <si>
    <t>150.</t>
  </si>
  <si>
    <t>Hercegprímás u. 11.</t>
  </si>
  <si>
    <t>251.</t>
  </si>
  <si>
    <t>Kossuth L. u. 15.</t>
  </si>
  <si>
    <t>Március 15. tér 8.</t>
  </si>
  <si>
    <t>282.</t>
  </si>
  <si>
    <t>292.</t>
  </si>
  <si>
    <t>Múzeum krt. 41.</t>
  </si>
  <si>
    <t>Petőfi S. u. 5.</t>
  </si>
  <si>
    <t>400.</t>
  </si>
  <si>
    <t>Szt.István krt. 21.</t>
  </si>
  <si>
    <t>Hold u. 9.</t>
  </si>
  <si>
    <t>Kecskeméti u. 4.</t>
  </si>
  <si>
    <t>36274/000/A</t>
  </si>
  <si>
    <t>24785</t>
  </si>
  <si>
    <t>24157</t>
  </si>
  <si>
    <t>Üllői út 66/A</t>
  </si>
  <si>
    <t>397.</t>
  </si>
  <si>
    <t>420.</t>
  </si>
  <si>
    <t>482.</t>
  </si>
  <si>
    <t>Váci u. 66.</t>
  </si>
  <si>
    <t>23960</t>
  </si>
  <si>
    <t>483.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</si>
</sst>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164" formatCode="#,##0.00;[Red]\-#,##0.00"/>
    <numFmt numFmtId="165" formatCode="0.00_ ;[Red]\-0.00\ "/>
    <numFmt numFmtId="166" formatCode="#,##0.000;[Red]\-#,##0.000"/>
    <numFmt numFmtId="167" formatCode="0.00000"/>
    <numFmt numFmtId="168" formatCode="#,##0\ _F_t"/>
    <numFmt numFmtId="169" formatCode="_-* #,##0\ &quot;Ft&quot;_-;\-* #,##0\ &quot;Ft&quot;_-;_-* &quot;-&quot;??\ &quot;Ft&quot;_-;_-@_-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u/>
      <sz val="11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u/>
      <sz val="16"/>
      <name val="Arial CE"/>
      <family val="2"/>
      <charset val="238"/>
    </font>
    <font>
      <b/>
      <u/>
      <sz val="14"/>
      <name val="Arial CE"/>
      <family val="2"/>
      <charset val="238"/>
    </font>
    <font>
      <sz val="11"/>
      <name val="MS Sans Serif"/>
      <family val="2"/>
      <charset val="238"/>
    </font>
    <font>
      <b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/>
    <xf numFmtId="165" fontId="3" fillId="0" borderId="0" xfId="0" applyNumberFormat="1" applyFont="1" applyFill="1"/>
    <xf numFmtId="165" fontId="6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right"/>
    </xf>
    <xf numFmtId="49" fontId="4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center"/>
    </xf>
    <xf numFmtId="2" fontId="4" fillId="0" borderId="1" xfId="1" applyNumberFormat="1" applyFont="1" applyFill="1" applyBorder="1" applyAlignment="1">
      <alignment horizontal="right"/>
    </xf>
    <xf numFmtId="167" fontId="4" fillId="0" borderId="1" xfId="0" applyNumberFormat="1" applyFont="1" applyFill="1" applyBorder="1"/>
    <xf numFmtId="166" fontId="4" fillId="0" borderId="1" xfId="1" applyNumberFormat="1" applyFont="1" applyFill="1" applyBorder="1" applyAlignment="1">
      <alignment horizontal="right"/>
    </xf>
    <xf numFmtId="167" fontId="4" fillId="0" borderId="1" xfId="0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49" fontId="4" fillId="0" borderId="4" xfId="0" applyNumberFormat="1" applyFont="1" applyFill="1" applyBorder="1"/>
    <xf numFmtId="49" fontId="4" fillId="0" borderId="4" xfId="0" applyNumberFormat="1" applyFont="1" applyFill="1" applyBorder="1" applyAlignment="1">
      <alignment horizontal="center"/>
    </xf>
    <xf numFmtId="2" fontId="4" fillId="0" borderId="4" xfId="1" applyNumberFormat="1" applyFont="1" applyFill="1" applyBorder="1" applyAlignment="1">
      <alignment horizontal="right"/>
    </xf>
    <xf numFmtId="2" fontId="4" fillId="0" borderId="3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49" fontId="4" fillId="0" borderId="5" xfId="0" applyNumberFormat="1" applyFont="1" applyFill="1" applyBorder="1"/>
    <xf numFmtId="49" fontId="4" fillId="0" borderId="5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2" fontId="4" fillId="0" borderId="3" xfId="1" applyNumberFormat="1" applyFont="1" applyFill="1" applyBorder="1" applyAlignment="1">
      <alignment horizontal="right"/>
    </xf>
    <xf numFmtId="165" fontId="4" fillId="0" borderId="3" xfId="1" applyNumberFormat="1" applyFont="1" applyFill="1" applyBorder="1" applyAlignment="1">
      <alignment horizontal="right"/>
    </xf>
    <xf numFmtId="0" fontId="4" fillId="0" borderId="3" xfId="1" applyNumberFormat="1" applyFont="1" applyFill="1" applyBorder="1" applyAlignment="1">
      <alignment horizontal="right"/>
    </xf>
    <xf numFmtId="166" fontId="3" fillId="0" borderId="0" xfId="1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>
      <alignment horizontal="centerContinuous"/>
    </xf>
    <xf numFmtId="167" fontId="3" fillId="0" borderId="0" xfId="0" applyNumberFormat="1" applyFont="1" applyFill="1" applyAlignment="1">
      <alignment horizontal="centerContinuous"/>
    </xf>
    <xf numFmtId="2" fontId="3" fillId="0" borderId="0" xfId="0" applyNumberFormat="1" applyFont="1" applyFill="1" applyAlignment="1">
      <alignment horizontal="centerContinuous"/>
    </xf>
    <xf numFmtId="166" fontId="4" fillId="0" borderId="1" xfId="1" applyNumberFormat="1" applyFont="1" applyFill="1" applyBorder="1" applyAlignment="1">
      <alignment horizontal="center"/>
    </xf>
    <xf numFmtId="167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168" fontId="4" fillId="0" borderId="1" xfId="0" applyNumberFormat="1" applyFont="1" applyFill="1" applyBorder="1" applyAlignment="1">
      <alignment horizontal="center"/>
    </xf>
    <xf numFmtId="166" fontId="4" fillId="0" borderId="2" xfId="1" applyNumberFormat="1" applyFont="1" applyFill="1" applyBorder="1" applyAlignment="1">
      <alignment horizontal="center"/>
    </xf>
    <xf numFmtId="167" fontId="4" fillId="0" borderId="2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168" fontId="4" fillId="0" borderId="2" xfId="0" applyNumberFormat="1" applyFont="1" applyFill="1" applyBorder="1" applyAlignment="1">
      <alignment horizontal="center"/>
    </xf>
    <xf numFmtId="166" fontId="4" fillId="0" borderId="5" xfId="1" applyNumberFormat="1" applyFont="1" applyFill="1" applyBorder="1" applyAlignment="1">
      <alignment horizontal="right"/>
    </xf>
    <xf numFmtId="2" fontId="4" fillId="0" borderId="5" xfId="1" applyNumberFormat="1" applyFont="1" applyFill="1" applyBorder="1" applyAlignment="1">
      <alignment horizontal="right"/>
    </xf>
    <xf numFmtId="167" fontId="4" fillId="0" borderId="5" xfId="0" applyNumberFormat="1" applyFont="1" applyFill="1" applyBorder="1" applyAlignment="1">
      <alignment horizontal="right"/>
    </xf>
    <xf numFmtId="167" fontId="4" fillId="0" borderId="6" xfId="0" applyNumberFormat="1" applyFont="1" applyFill="1" applyBorder="1" applyAlignment="1">
      <alignment horizontal="right"/>
    </xf>
    <xf numFmtId="168" fontId="4" fillId="0" borderId="5" xfId="0" applyNumberFormat="1" applyFont="1" applyFill="1" applyBorder="1" applyAlignment="1">
      <alignment horizontal="right"/>
    </xf>
    <xf numFmtId="168" fontId="4" fillId="0" borderId="7" xfId="0" applyNumberFormat="1" applyFont="1" applyFill="1" applyBorder="1" applyAlignment="1">
      <alignment horizontal="right"/>
    </xf>
    <xf numFmtId="167" fontId="4" fillId="0" borderId="3" xfId="0" applyNumberFormat="1" applyFont="1" applyFill="1" applyBorder="1" applyAlignment="1">
      <alignment horizontal="right"/>
    </xf>
    <xf numFmtId="168" fontId="4" fillId="0" borderId="1" xfId="0" applyNumberFormat="1" applyFont="1" applyFill="1" applyBorder="1" applyAlignment="1">
      <alignment horizontal="right"/>
    </xf>
    <xf numFmtId="167" fontId="4" fillId="0" borderId="1" xfId="1" applyNumberFormat="1" applyFont="1" applyFill="1" applyBorder="1" applyAlignment="1">
      <alignment horizontal="right"/>
    </xf>
    <xf numFmtId="166" fontId="4" fillId="0" borderId="0" xfId="1" applyNumberFormat="1" applyFont="1" applyFill="1" applyAlignment="1">
      <alignment horizontal="right"/>
    </xf>
    <xf numFmtId="166" fontId="4" fillId="0" borderId="1" xfId="1" applyNumberFormat="1" applyFont="1" applyFill="1" applyBorder="1" applyAlignment="1"/>
    <xf numFmtId="2" fontId="4" fillId="0" borderId="1" xfId="1" applyNumberFormat="1" applyFont="1" applyFill="1" applyBorder="1" applyAlignment="1"/>
    <xf numFmtId="166" fontId="4" fillId="0" borderId="4" xfId="1" applyNumberFormat="1" applyFont="1" applyFill="1" applyBorder="1" applyAlignment="1">
      <alignment horizontal="right"/>
    </xf>
    <xf numFmtId="167" fontId="4" fillId="0" borderId="4" xfId="0" applyNumberFormat="1" applyFont="1" applyFill="1" applyBorder="1" applyAlignment="1">
      <alignment horizontal="right"/>
    </xf>
    <xf numFmtId="0" fontId="4" fillId="0" borderId="0" xfId="0" applyFont="1" applyFill="1"/>
    <xf numFmtId="2" fontId="4" fillId="0" borderId="0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6" fontId="4" fillId="0" borderId="2" xfId="1" applyNumberFormat="1" applyFont="1" applyFill="1" applyBorder="1" applyAlignment="1">
      <alignment horizontal="right"/>
    </xf>
    <xf numFmtId="2" fontId="3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7" fillId="0" borderId="0" xfId="0" applyFont="1" applyFill="1"/>
    <xf numFmtId="3" fontId="8" fillId="0" borderId="1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166" fontId="4" fillId="0" borderId="0" xfId="1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49" fontId="4" fillId="0" borderId="6" xfId="0" applyNumberFormat="1" applyFont="1" applyFill="1" applyBorder="1" applyAlignment="1">
      <alignment horizontal="right"/>
    </xf>
    <xf numFmtId="49" fontId="0" fillId="0" borderId="8" xfId="0" applyNumberFormat="1" applyFont="1" applyFill="1" applyBorder="1" applyAlignment="1"/>
    <xf numFmtId="3" fontId="8" fillId="0" borderId="5" xfId="0" applyNumberFormat="1" applyFont="1" applyFill="1" applyBorder="1" applyAlignment="1">
      <alignment horizontal="right"/>
    </xf>
    <xf numFmtId="169" fontId="3" fillId="0" borderId="0" xfId="2" applyNumberFormat="1" applyFont="1" applyFill="1" applyAlignment="1">
      <alignment horizontal="right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oltsegvetesi\majoros.viktoria\INGATLAN\M&#233;rleg%202011\eladott%20ingatlan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oltsegvetesi\majoros.viktoria\INGATLAN\M&#233;rleg%202011\I.%20n&#233;v\T&#225;rsash&#225;zak.2011.01.01.-2011.03.31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1"/>
      <sheetName val="TH-Nullára leírt"/>
    </sheetNames>
    <sheetDataSet>
      <sheetData sheetId="0" refreshError="1"/>
      <sheetData sheetId="1" refreshError="1">
        <row r="14">
          <cell r="D14">
            <v>0</v>
          </cell>
          <cell r="E14">
            <v>0</v>
          </cell>
          <cell r="I1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1"/>
      <sheetName val="TÁRSASHÁZAK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1"/>
  <sheetViews>
    <sheetView showGridLines="0" tabSelected="1" zoomScale="75" zoomScaleNormal="75" zoomScaleSheetLayoutView="85" workbookViewId="0">
      <selection activeCell="P490" sqref="A1:P490"/>
    </sheetView>
  </sheetViews>
  <sheetFormatPr defaultRowHeight="15.95" customHeight="1" x14ac:dyDescent="0.2"/>
  <cols>
    <col min="1" max="1" width="7" style="6" customWidth="1"/>
    <col min="2" max="2" width="23.5703125" style="2" bestFit="1" customWidth="1"/>
    <col min="3" max="3" width="12.85546875" style="3" bestFit="1" customWidth="1"/>
    <col min="4" max="6" width="12.28515625" style="29" hidden="1" customWidth="1"/>
    <col min="7" max="7" width="12.5703125" style="29" hidden="1" customWidth="1"/>
    <col min="8" max="8" width="9.7109375" style="29" customWidth="1"/>
    <col min="9" max="11" width="15.7109375" style="30" hidden="1" customWidth="1"/>
    <col min="12" max="12" width="19.28515625" style="30" hidden="1" customWidth="1"/>
    <col min="13" max="13" width="9.7109375" style="31" customWidth="1"/>
    <col min="14" max="16" width="19.5703125" style="30" bestFit="1" customWidth="1"/>
    <col min="17" max="17" width="3.7109375" style="2" customWidth="1"/>
    <col min="18" max="16384" width="9.140625" style="2"/>
  </cols>
  <sheetData>
    <row r="1" spans="1:17" ht="15.95" customHeight="1" x14ac:dyDescent="0.3">
      <c r="A1" s="62" t="s">
        <v>1003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7" ht="15.95" customHeight="1" x14ac:dyDescent="0.25">
      <c r="A2" s="1"/>
    </row>
    <row r="3" spans="1:17" ht="15.95" customHeight="1" x14ac:dyDescent="0.25">
      <c r="A3" s="4" t="s">
        <v>1030</v>
      </c>
      <c r="B3" s="5"/>
      <c r="C3" s="5"/>
      <c r="D3" s="32"/>
      <c r="E3" s="32"/>
      <c r="F3" s="32"/>
      <c r="G3" s="32"/>
      <c r="H3" s="32"/>
      <c r="I3" s="33"/>
      <c r="J3" s="33"/>
      <c r="K3" s="33"/>
      <c r="L3" s="33"/>
      <c r="M3" s="34"/>
      <c r="N3" s="33"/>
      <c r="O3" s="33"/>
      <c r="P3" s="33"/>
    </row>
    <row r="4" spans="1:17" ht="15.95" customHeight="1" x14ac:dyDescent="0.2">
      <c r="C4" s="7"/>
    </row>
    <row r="5" spans="1:17" s="57" customFormat="1" ht="15.95" customHeight="1" x14ac:dyDescent="0.25">
      <c r="A5" s="23" t="s">
        <v>1008</v>
      </c>
      <c r="B5" s="15" t="s">
        <v>0</v>
      </c>
      <c r="C5" s="15" t="s">
        <v>1</v>
      </c>
      <c r="D5" s="35" t="s">
        <v>942</v>
      </c>
      <c r="E5" s="35" t="s">
        <v>942</v>
      </c>
      <c r="F5" s="35" t="s">
        <v>942</v>
      </c>
      <c r="G5" s="35" t="s">
        <v>942</v>
      </c>
      <c r="H5" s="35" t="s">
        <v>1005</v>
      </c>
      <c r="I5" s="36" t="s">
        <v>2</v>
      </c>
      <c r="J5" s="36" t="s">
        <v>2</v>
      </c>
      <c r="K5" s="36" t="s">
        <v>2</v>
      </c>
      <c r="L5" s="36" t="s">
        <v>2</v>
      </c>
      <c r="M5" s="37" t="s">
        <v>1014</v>
      </c>
      <c r="N5" s="38" t="s">
        <v>2</v>
      </c>
      <c r="O5" s="38" t="s">
        <v>1009</v>
      </c>
      <c r="P5" s="38" t="s">
        <v>1006</v>
      </c>
      <c r="Q5" s="2"/>
    </row>
    <row r="6" spans="1:17" s="57" customFormat="1" ht="15.95" customHeight="1" thickBot="1" x14ac:dyDescent="0.3">
      <c r="A6" s="24"/>
      <c r="B6" s="25"/>
      <c r="C6" s="24"/>
      <c r="D6" s="39" t="s">
        <v>943</v>
      </c>
      <c r="E6" s="39" t="s">
        <v>944</v>
      </c>
      <c r="F6" s="39" t="s">
        <v>945</v>
      </c>
      <c r="G6" s="39" t="s">
        <v>946</v>
      </c>
      <c r="H6" s="39" t="s">
        <v>963</v>
      </c>
      <c r="I6" s="40" t="s">
        <v>947</v>
      </c>
      <c r="J6" s="40" t="s">
        <v>948</v>
      </c>
      <c r="K6" s="40" t="s">
        <v>949</v>
      </c>
      <c r="L6" s="40" t="s">
        <v>950</v>
      </c>
      <c r="M6" s="41" t="s">
        <v>1015</v>
      </c>
      <c r="N6" s="42" t="s">
        <v>1007</v>
      </c>
      <c r="O6" s="42" t="s">
        <v>1007</v>
      </c>
      <c r="P6" s="42" t="s">
        <v>1007</v>
      </c>
      <c r="Q6" s="2"/>
    </row>
    <row r="7" spans="1:17" ht="15.95" customHeight="1" x14ac:dyDescent="0.25">
      <c r="A7" s="20" t="s">
        <v>3</v>
      </c>
      <c r="B7" s="21" t="s">
        <v>4</v>
      </c>
      <c r="C7" s="22">
        <v>24650</v>
      </c>
      <c r="D7" s="43">
        <v>38.96</v>
      </c>
      <c r="E7" s="43">
        <v>20.420000000000002</v>
      </c>
      <c r="F7" s="43">
        <v>20.420000000000002</v>
      </c>
      <c r="G7" s="43">
        <v>20.420000000000002</v>
      </c>
      <c r="H7" s="44">
        <v>13.94</v>
      </c>
      <c r="I7" s="45">
        <v>15898.707</v>
      </c>
      <c r="J7" s="45">
        <f>I7*E7/D7</f>
        <v>8332.9465333675562</v>
      </c>
      <c r="K7" s="45">
        <f>J7*F7/E7</f>
        <v>8332.9465333675562</v>
      </c>
      <c r="L7" s="46">
        <f>K7*G7/F7</f>
        <v>8332.9465333675562</v>
      </c>
      <c r="M7" s="44">
        <v>13.94</v>
      </c>
      <c r="N7" s="47">
        <v>15332792</v>
      </c>
      <c r="O7" s="47">
        <v>6530860</v>
      </c>
      <c r="P7" s="48">
        <f>N7-O7</f>
        <v>8801932</v>
      </c>
    </row>
    <row r="8" spans="1:17" ht="15.95" customHeight="1" x14ac:dyDescent="0.25">
      <c r="A8" s="15" t="s">
        <v>5</v>
      </c>
      <c r="B8" s="8" t="s">
        <v>6</v>
      </c>
      <c r="C8" s="9">
        <v>24649</v>
      </c>
      <c r="D8" s="12">
        <v>15.99</v>
      </c>
      <c r="E8" s="12">
        <v>13.78</v>
      </c>
      <c r="F8" s="12">
        <v>13.78</v>
      </c>
      <c r="G8" s="12">
        <v>13.78</v>
      </c>
      <c r="H8" s="10">
        <v>4.51</v>
      </c>
      <c r="I8" s="13">
        <v>4569.2274600000001</v>
      </c>
      <c r="J8" s="13">
        <f t="shared" ref="J8:K12" si="0">I8*E8/D8</f>
        <v>3937.7082175609758</v>
      </c>
      <c r="K8" s="13">
        <f t="shared" si="0"/>
        <v>3937.7082175609758</v>
      </c>
      <c r="L8" s="49">
        <f>K8*G8/F8+2570.301</f>
        <v>6508.0092175609752</v>
      </c>
      <c r="M8" s="10">
        <v>4.51</v>
      </c>
      <c r="N8" s="50">
        <v>2310469</v>
      </c>
      <c r="O8" s="50">
        <v>1668404</v>
      </c>
      <c r="P8" s="48">
        <f t="shared" ref="P8:P67" si="1">N8-O8</f>
        <v>642065</v>
      </c>
    </row>
    <row r="9" spans="1:17" ht="15.95" customHeight="1" x14ac:dyDescent="0.25">
      <c r="A9" s="15" t="s">
        <v>7</v>
      </c>
      <c r="B9" s="8" t="s">
        <v>8</v>
      </c>
      <c r="C9" s="9">
        <v>24667</v>
      </c>
      <c r="D9" s="12">
        <v>28.32</v>
      </c>
      <c r="E9" s="12">
        <v>28.32</v>
      </c>
      <c r="F9" s="12">
        <v>28.32</v>
      </c>
      <c r="G9" s="12">
        <v>18.14</v>
      </c>
      <c r="H9" s="10">
        <v>7.89</v>
      </c>
      <c r="I9" s="51">
        <v>7796.1540000000005</v>
      </c>
      <c r="J9" s="13">
        <f t="shared" si="0"/>
        <v>7796.1540000000005</v>
      </c>
      <c r="K9" s="13">
        <f t="shared" si="0"/>
        <v>7796.1540000000005</v>
      </c>
      <c r="L9" s="49">
        <f t="shared" ref="L9:L15" si="2">K9*G9/F9</f>
        <v>4993.7229364406785</v>
      </c>
      <c r="M9" s="10">
        <v>7.89</v>
      </c>
      <c r="N9" s="50">
        <v>13001409</v>
      </c>
      <c r="O9" s="50">
        <v>4622029</v>
      </c>
      <c r="P9" s="48">
        <f t="shared" si="1"/>
        <v>8379380</v>
      </c>
    </row>
    <row r="10" spans="1:17" ht="15.95" customHeight="1" x14ac:dyDescent="0.25">
      <c r="A10" s="20" t="s">
        <v>9</v>
      </c>
      <c r="B10" s="8" t="s">
        <v>10</v>
      </c>
      <c r="C10" s="9">
        <v>24681</v>
      </c>
      <c r="D10" s="12">
        <v>20.72</v>
      </c>
      <c r="E10" s="12">
        <v>20.72</v>
      </c>
      <c r="F10" s="12">
        <v>20.72</v>
      </c>
      <c r="G10" s="12">
        <v>20.72</v>
      </c>
      <c r="H10" s="10">
        <v>5.9</v>
      </c>
      <c r="I10" s="13">
        <v>7328</v>
      </c>
      <c r="J10" s="13">
        <f t="shared" si="0"/>
        <v>7328.0000000000009</v>
      </c>
      <c r="K10" s="13">
        <f t="shared" si="0"/>
        <v>7328.0000000000009</v>
      </c>
      <c r="L10" s="49">
        <f t="shared" si="2"/>
        <v>7328.0000000000009</v>
      </c>
      <c r="M10" s="10">
        <v>5.9</v>
      </c>
      <c r="N10" s="50">
        <v>3860498</v>
      </c>
      <c r="O10" s="50">
        <v>3280038</v>
      </c>
      <c r="P10" s="48">
        <f t="shared" si="1"/>
        <v>580460</v>
      </c>
    </row>
    <row r="11" spans="1:17" ht="15.95" customHeight="1" x14ac:dyDescent="0.25">
      <c r="A11" s="15" t="s">
        <v>11</v>
      </c>
      <c r="B11" s="8" t="s">
        <v>12</v>
      </c>
      <c r="C11" s="9">
        <v>24683</v>
      </c>
      <c r="D11" s="12">
        <v>18.190000000000001</v>
      </c>
      <c r="E11" s="12">
        <v>16.09</v>
      </c>
      <c r="F11" s="12">
        <v>16.09</v>
      </c>
      <c r="G11" s="12">
        <v>16.09</v>
      </c>
      <c r="H11" s="10">
        <v>5.94</v>
      </c>
      <c r="I11" s="13">
        <v>3842</v>
      </c>
      <c r="J11" s="13">
        <f t="shared" si="0"/>
        <v>3398.4485981308408</v>
      </c>
      <c r="K11" s="13">
        <f t="shared" si="0"/>
        <v>3398.4485981308408</v>
      </c>
      <c r="L11" s="49">
        <f t="shared" si="2"/>
        <v>3398.4485981308408</v>
      </c>
      <c r="M11" s="10">
        <v>3.9</v>
      </c>
      <c r="N11" s="50">
        <v>1562828</v>
      </c>
      <c r="O11" s="50">
        <v>642681</v>
      </c>
      <c r="P11" s="48">
        <f t="shared" si="1"/>
        <v>920147</v>
      </c>
    </row>
    <row r="12" spans="1:17" ht="15.95" customHeight="1" x14ac:dyDescent="0.25">
      <c r="A12" s="15" t="s">
        <v>13</v>
      </c>
      <c r="B12" s="8" t="s">
        <v>14</v>
      </c>
      <c r="C12" s="9" t="s">
        <v>15</v>
      </c>
      <c r="D12" s="12">
        <v>33.5</v>
      </c>
      <c r="E12" s="12">
        <v>33.5</v>
      </c>
      <c r="F12" s="12">
        <v>33.299999999999997</v>
      </c>
      <c r="G12" s="12">
        <v>10.7</v>
      </c>
      <c r="H12" s="10">
        <v>0.5</v>
      </c>
      <c r="I12" s="13">
        <v>10905.53088</v>
      </c>
      <c r="J12" s="13">
        <f t="shared" si="0"/>
        <v>10905.53088</v>
      </c>
      <c r="K12" s="13">
        <f t="shared" si="0"/>
        <v>10840.423232955223</v>
      </c>
      <c r="L12" s="49">
        <f t="shared" si="2"/>
        <v>3483.2591168955219</v>
      </c>
      <c r="M12" s="10">
        <v>0.5</v>
      </c>
      <c r="N12" s="50">
        <v>304662</v>
      </c>
      <c r="O12" s="50">
        <v>221123</v>
      </c>
      <c r="P12" s="48">
        <f t="shared" si="1"/>
        <v>83539</v>
      </c>
    </row>
    <row r="13" spans="1:17" ht="15.95" customHeight="1" x14ac:dyDescent="0.25">
      <c r="A13" s="20" t="s">
        <v>16</v>
      </c>
      <c r="B13" s="8" t="s">
        <v>932</v>
      </c>
      <c r="C13" s="9" t="s">
        <v>962</v>
      </c>
      <c r="D13" s="12">
        <v>6.9</v>
      </c>
      <c r="E13" s="12">
        <v>0</v>
      </c>
      <c r="F13" s="12">
        <v>0.3</v>
      </c>
      <c r="G13" s="12">
        <v>0.3</v>
      </c>
      <c r="H13" s="10">
        <v>0.3</v>
      </c>
      <c r="I13" s="13">
        <v>1306</v>
      </c>
      <c r="J13" s="13">
        <f>I13*E13/D13</f>
        <v>0</v>
      </c>
      <c r="K13" s="13">
        <v>56.782609999999998</v>
      </c>
      <c r="L13" s="49">
        <f t="shared" si="2"/>
        <v>56.782609999999991</v>
      </c>
      <c r="M13" s="10">
        <v>0.3</v>
      </c>
      <c r="N13" s="50">
        <v>6458804</v>
      </c>
      <c r="O13" s="50">
        <v>1096888</v>
      </c>
      <c r="P13" s="48">
        <f t="shared" si="1"/>
        <v>5361916</v>
      </c>
    </row>
    <row r="14" spans="1:17" ht="15.95" customHeight="1" x14ac:dyDescent="0.25">
      <c r="A14" s="15" t="s">
        <v>17</v>
      </c>
      <c r="B14" s="8" t="s">
        <v>20</v>
      </c>
      <c r="C14" s="9">
        <v>24946</v>
      </c>
      <c r="D14" s="12">
        <v>9.0299999999999994</v>
      </c>
      <c r="E14" s="12">
        <v>9.0299999999999994</v>
      </c>
      <c r="F14" s="12">
        <v>9.0299999999999994</v>
      </c>
      <c r="G14" s="12">
        <v>4.04</v>
      </c>
      <c r="H14" s="10">
        <v>2.02</v>
      </c>
      <c r="I14" s="13">
        <v>1309</v>
      </c>
      <c r="J14" s="13">
        <f>I14*E14/D14</f>
        <v>1309</v>
      </c>
      <c r="K14" s="13">
        <f>J14*F14/E14</f>
        <v>1309</v>
      </c>
      <c r="L14" s="49">
        <f t="shared" si="2"/>
        <v>585.64341085271315</v>
      </c>
      <c r="M14" s="10">
        <v>2.02</v>
      </c>
      <c r="N14" s="50">
        <v>347908</v>
      </c>
      <c r="O14" s="50">
        <v>334567</v>
      </c>
      <c r="P14" s="48">
        <f t="shared" si="1"/>
        <v>13341</v>
      </c>
    </row>
    <row r="15" spans="1:17" ht="15.95" customHeight="1" x14ac:dyDescent="0.25">
      <c r="A15" s="15" t="s">
        <v>18</v>
      </c>
      <c r="B15" s="8" t="s">
        <v>22</v>
      </c>
      <c r="C15" s="9">
        <v>24866</v>
      </c>
      <c r="D15" s="12">
        <v>30.23</v>
      </c>
      <c r="E15" s="12">
        <f>36.54-9.19</f>
        <v>27.35</v>
      </c>
      <c r="F15" s="12">
        <f>36.54-9.19</f>
        <v>27.35</v>
      </c>
      <c r="G15" s="12">
        <f>36.54-9.19</f>
        <v>27.35</v>
      </c>
      <c r="H15" s="10">
        <v>30.11</v>
      </c>
      <c r="I15" s="13">
        <v>18092.609339999999</v>
      </c>
      <c r="J15" s="13">
        <f>I15*E15/D15</f>
        <v>16368.933690009922</v>
      </c>
      <c r="K15" s="13">
        <f>J15*F15/E15</f>
        <v>16368.933690009922</v>
      </c>
      <c r="L15" s="49">
        <f t="shared" si="2"/>
        <v>16368.933690009922</v>
      </c>
      <c r="M15" s="10">
        <v>30.11</v>
      </c>
      <c r="N15" s="50">
        <v>17217360</v>
      </c>
      <c r="O15" s="50">
        <v>9498060</v>
      </c>
      <c r="P15" s="48">
        <f t="shared" si="1"/>
        <v>7719300</v>
      </c>
    </row>
    <row r="16" spans="1:17" ht="15.95" customHeight="1" x14ac:dyDescent="0.25">
      <c r="A16" s="20" t="s">
        <v>19</v>
      </c>
      <c r="B16" s="8" t="s">
        <v>24</v>
      </c>
      <c r="C16" s="9">
        <v>24947</v>
      </c>
      <c r="D16" s="12">
        <v>36.68</v>
      </c>
      <c r="E16" s="12">
        <v>34.33</v>
      </c>
      <c r="F16" s="12">
        <v>34.33</v>
      </c>
      <c r="G16" s="12">
        <v>34.33</v>
      </c>
      <c r="H16" s="10">
        <v>30.51</v>
      </c>
      <c r="I16" s="13">
        <v>10809</v>
      </c>
      <c r="J16" s="13">
        <f>I16*E16/D16</f>
        <v>10116.493184296618</v>
      </c>
      <c r="K16" s="13">
        <f>J16*F16/E16</f>
        <v>10116.493184296618</v>
      </c>
      <c r="L16" s="49">
        <f>K16*G16/F16+104.241</f>
        <v>10220.734184296618</v>
      </c>
      <c r="M16" s="10">
        <v>30.51</v>
      </c>
      <c r="N16" s="50">
        <v>10082831</v>
      </c>
      <c r="O16" s="50">
        <v>9893021</v>
      </c>
      <c r="P16" s="48">
        <f t="shared" si="1"/>
        <v>189810</v>
      </c>
    </row>
    <row r="17" spans="1:16" ht="15.95" customHeight="1" x14ac:dyDescent="0.25">
      <c r="A17" s="15" t="s">
        <v>21</v>
      </c>
      <c r="B17" s="8" t="s">
        <v>1031</v>
      </c>
      <c r="C17" s="9">
        <v>24865</v>
      </c>
      <c r="D17" s="12">
        <v>67.819999999999993</v>
      </c>
      <c r="E17" s="12">
        <v>67.819999999999993</v>
      </c>
      <c r="F17" s="12">
        <v>67.819999999999993</v>
      </c>
      <c r="G17" s="12">
        <v>67.819999999999993</v>
      </c>
      <c r="H17" s="10">
        <v>59.64</v>
      </c>
      <c r="I17" s="13">
        <v>7952</v>
      </c>
      <c r="J17" s="13" t="e">
        <f>'[1]TH-Nullára leírt'!I14*'[1]TH-Nullára leírt'!E14/'[1]TH-Nullára leírt'!D14</f>
        <v>#DIV/0!</v>
      </c>
      <c r="K17" s="13" t="e">
        <f>J17*F17/E17</f>
        <v>#DIV/0!</v>
      </c>
      <c r="L17" s="49" t="e">
        <f>K17*G17/F17</f>
        <v>#DIV/0!</v>
      </c>
      <c r="M17" s="10">
        <v>59.64</v>
      </c>
      <c r="N17" s="50">
        <v>9570933</v>
      </c>
      <c r="O17" s="50">
        <v>8207277</v>
      </c>
      <c r="P17" s="48">
        <f t="shared" si="1"/>
        <v>1363656</v>
      </c>
    </row>
    <row r="18" spans="1:16" ht="15.95" customHeight="1" x14ac:dyDescent="0.25">
      <c r="A18" s="15" t="s">
        <v>23</v>
      </c>
      <c r="B18" s="8" t="s">
        <v>27</v>
      </c>
      <c r="C18" s="9">
        <v>24864</v>
      </c>
      <c r="D18" s="12">
        <v>4.55</v>
      </c>
      <c r="E18" s="12">
        <f>31.2-26.65</f>
        <v>4.5500000000000007</v>
      </c>
      <c r="F18" s="12">
        <f>31.2-26.65</f>
        <v>4.5500000000000007</v>
      </c>
      <c r="G18" s="12">
        <f>31.2-26.65</f>
        <v>4.5500000000000007</v>
      </c>
      <c r="H18" s="10">
        <v>31.2</v>
      </c>
      <c r="I18" s="13">
        <v>3036</v>
      </c>
      <c r="J18" s="13">
        <f>I18*E18/D18</f>
        <v>3036.0000000000009</v>
      </c>
      <c r="K18" s="13">
        <f>J18*F18/E18+184.924</f>
        <v>3220.9240000000009</v>
      </c>
      <c r="L18" s="49">
        <f>K18*G18/F18</f>
        <v>3220.9240000000009</v>
      </c>
      <c r="M18" s="10">
        <v>31.2</v>
      </c>
      <c r="N18" s="50">
        <v>70986996</v>
      </c>
      <c r="O18" s="50">
        <v>14023315</v>
      </c>
      <c r="P18" s="48">
        <f t="shared" si="1"/>
        <v>56963681</v>
      </c>
    </row>
    <row r="19" spans="1:16" ht="15.95" customHeight="1" x14ac:dyDescent="0.25">
      <c r="A19" s="20" t="s">
        <v>25</v>
      </c>
      <c r="B19" s="8" t="s">
        <v>29</v>
      </c>
      <c r="C19" s="9">
        <v>24846</v>
      </c>
      <c r="D19" s="12">
        <v>28.81</v>
      </c>
      <c r="E19" s="12">
        <v>23.56</v>
      </c>
      <c r="F19" s="12">
        <v>23.38</v>
      </c>
      <c r="G19" s="12">
        <v>23.38</v>
      </c>
      <c r="H19" s="10">
        <v>1.86</v>
      </c>
      <c r="I19" s="13">
        <v>7293.1723599999996</v>
      </c>
      <c r="J19" s="13">
        <f>I19*E19/D19</f>
        <v>5964.1492815550155</v>
      </c>
      <c r="K19" s="13">
        <f>J19*F19/E19</f>
        <v>5918.5827760083303</v>
      </c>
      <c r="L19" s="49">
        <f>K19*G19/F19</f>
        <v>5918.5827760083293</v>
      </c>
      <c r="M19" s="10">
        <v>1.86</v>
      </c>
      <c r="N19" s="50">
        <v>1552498</v>
      </c>
      <c r="O19" s="50">
        <v>813003</v>
      </c>
      <c r="P19" s="48">
        <f t="shared" si="1"/>
        <v>739495</v>
      </c>
    </row>
    <row r="20" spans="1:16" ht="15.95" customHeight="1" x14ac:dyDescent="0.25">
      <c r="A20" s="15" t="s">
        <v>26</v>
      </c>
      <c r="B20" s="8" t="s">
        <v>979</v>
      </c>
      <c r="C20" s="9" t="s">
        <v>980</v>
      </c>
      <c r="D20" s="12"/>
      <c r="E20" s="12"/>
      <c r="F20" s="12"/>
      <c r="G20" s="12"/>
      <c r="H20" s="10">
        <v>20.63</v>
      </c>
      <c r="I20" s="13"/>
      <c r="J20" s="13"/>
      <c r="K20" s="13"/>
      <c r="L20" s="49"/>
      <c r="M20" s="10">
        <v>20.63</v>
      </c>
      <c r="N20" s="50">
        <v>177848379</v>
      </c>
      <c r="O20" s="50">
        <v>31573832</v>
      </c>
      <c r="P20" s="48">
        <f t="shared" si="1"/>
        <v>146274547</v>
      </c>
    </row>
    <row r="21" spans="1:16" ht="15.95" customHeight="1" x14ac:dyDescent="0.25">
      <c r="A21" s="15" t="s">
        <v>28</v>
      </c>
      <c r="B21" s="8" t="s">
        <v>32</v>
      </c>
      <c r="C21" s="9">
        <v>24397</v>
      </c>
      <c r="D21" s="12">
        <v>32.93</v>
      </c>
      <c r="E21" s="12">
        <v>32.93</v>
      </c>
      <c r="F21" s="12">
        <v>30.16</v>
      </c>
      <c r="G21" s="12">
        <v>30.16</v>
      </c>
      <c r="H21" s="10">
        <v>30.16</v>
      </c>
      <c r="I21" s="13">
        <v>8242.9390000000003</v>
      </c>
      <c r="J21" s="13">
        <f t="shared" ref="J21:L33" si="3">I21*E21/D21</f>
        <v>8242.9390000000003</v>
      </c>
      <c r="K21" s="13">
        <f t="shared" si="3"/>
        <v>7549.5608940176135</v>
      </c>
      <c r="L21" s="49">
        <f t="shared" si="3"/>
        <v>7549.5608940176135</v>
      </c>
      <c r="M21" s="10">
        <v>30.16</v>
      </c>
      <c r="N21" s="50">
        <v>30169430</v>
      </c>
      <c r="O21" s="50">
        <v>12440829</v>
      </c>
      <c r="P21" s="48">
        <f t="shared" si="1"/>
        <v>17728601</v>
      </c>
    </row>
    <row r="22" spans="1:16" ht="15.95" customHeight="1" x14ac:dyDescent="0.25">
      <c r="A22" s="20" t="s">
        <v>30</v>
      </c>
      <c r="B22" s="8" t="s">
        <v>34</v>
      </c>
      <c r="C22" s="9">
        <v>24489</v>
      </c>
      <c r="D22" s="12">
        <v>21.33</v>
      </c>
      <c r="E22" s="12">
        <v>21.33</v>
      </c>
      <c r="F22" s="12">
        <v>14.52</v>
      </c>
      <c r="G22" s="12">
        <v>14.52</v>
      </c>
      <c r="H22" s="10">
        <v>2.77</v>
      </c>
      <c r="I22" s="13">
        <v>2469.1460000000002</v>
      </c>
      <c r="J22" s="13">
        <f t="shared" si="3"/>
        <v>2469.1460000000002</v>
      </c>
      <c r="K22" s="13">
        <f t="shared" si="3"/>
        <v>1680.825125175809</v>
      </c>
      <c r="L22" s="49">
        <f t="shared" si="3"/>
        <v>1680.825125175809</v>
      </c>
      <c r="M22" s="10">
        <v>2.77</v>
      </c>
      <c r="N22" s="50">
        <v>1286698</v>
      </c>
      <c r="O22" s="50">
        <v>467308</v>
      </c>
      <c r="P22" s="48">
        <f t="shared" si="1"/>
        <v>819390</v>
      </c>
    </row>
    <row r="23" spans="1:16" ht="15.95" customHeight="1" x14ac:dyDescent="0.25">
      <c r="A23" s="15" t="s">
        <v>933</v>
      </c>
      <c r="B23" s="8" t="s">
        <v>36</v>
      </c>
      <c r="C23" s="9">
        <v>24573</v>
      </c>
      <c r="D23" s="12">
        <v>22.01</v>
      </c>
      <c r="E23" s="12">
        <f>24.81-2.8</f>
        <v>22.009999999999998</v>
      </c>
      <c r="F23" s="12">
        <f>24.81-2.8</f>
        <v>22.009999999999998</v>
      </c>
      <c r="G23" s="12">
        <v>22.01</v>
      </c>
      <c r="H23" s="10">
        <v>18.36</v>
      </c>
      <c r="I23" s="13">
        <v>2554.68732</v>
      </c>
      <c r="J23" s="13">
        <f t="shared" si="3"/>
        <v>2554.6873199999995</v>
      </c>
      <c r="K23" s="13">
        <f t="shared" si="3"/>
        <v>2554.6873199999995</v>
      </c>
      <c r="L23" s="49">
        <f>K23*G23/F23+124.357+115.373</f>
        <v>2794.41732</v>
      </c>
      <c r="M23" s="10">
        <v>7.93</v>
      </c>
      <c r="N23" s="50">
        <v>1937230</v>
      </c>
      <c r="O23" s="50">
        <v>1225091</v>
      </c>
      <c r="P23" s="48">
        <f t="shared" si="1"/>
        <v>712139</v>
      </c>
    </row>
    <row r="24" spans="1:16" ht="15.95" customHeight="1" x14ac:dyDescent="0.25">
      <c r="A24" s="15" t="s">
        <v>31</v>
      </c>
      <c r="B24" s="8" t="s">
        <v>38</v>
      </c>
      <c r="C24" s="9">
        <v>24574</v>
      </c>
      <c r="D24" s="12">
        <v>21.7</v>
      </c>
      <c r="E24" s="12">
        <v>21.7</v>
      </c>
      <c r="F24" s="12">
        <v>20.21</v>
      </c>
      <c r="G24" s="12">
        <v>20.21</v>
      </c>
      <c r="H24" s="10">
        <v>2.5499999999999998</v>
      </c>
      <c r="I24" s="13">
        <v>5514.3639999999996</v>
      </c>
      <c r="J24" s="13">
        <f t="shared" si="3"/>
        <v>5514.3639999999996</v>
      </c>
      <c r="K24" s="13">
        <f t="shared" si="3"/>
        <v>5135.7279465437787</v>
      </c>
      <c r="L24" s="49">
        <f>K24*G24/F24</f>
        <v>5135.7279465437787</v>
      </c>
      <c r="M24" s="10">
        <v>1.29</v>
      </c>
      <c r="N24" s="50">
        <v>734931</v>
      </c>
      <c r="O24" s="50">
        <v>546726</v>
      </c>
      <c r="P24" s="48">
        <f t="shared" si="1"/>
        <v>188205</v>
      </c>
    </row>
    <row r="25" spans="1:16" ht="15.95" customHeight="1" x14ac:dyDescent="0.25">
      <c r="A25" s="20" t="s">
        <v>33</v>
      </c>
      <c r="B25" s="8" t="s">
        <v>40</v>
      </c>
      <c r="C25" s="9">
        <v>24582</v>
      </c>
      <c r="D25" s="12">
        <v>1.83</v>
      </c>
      <c r="E25" s="12">
        <v>1.83</v>
      </c>
      <c r="F25" s="12">
        <v>1.83</v>
      </c>
      <c r="G25" s="12">
        <v>1.83</v>
      </c>
      <c r="H25" s="10">
        <v>1.83</v>
      </c>
      <c r="I25" s="13">
        <v>446</v>
      </c>
      <c r="J25" s="13">
        <f t="shared" si="3"/>
        <v>446</v>
      </c>
      <c r="K25" s="13">
        <f t="shared" si="3"/>
        <v>446</v>
      </c>
      <c r="L25" s="49">
        <f>K25*G25/F25</f>
        <v>446</v>
      </c>
      <c r="M25" s="10">
        <v>1.83</v>
      </c>
      <c r="N25" s="50">
        <v>464098</v>
      </c>
      <c r="O25" s="50">
        <v>312102</v>
      </c>
      <c r="P25" s="48">
        <f t="shared" si="1"/>
        <v>151996</v>
      </c>
    </row>
    <row r="26" spans="1:16" ht="15.95" customHeight="1" x14ac:dyDescent="0.25">
      <c r="A26" s="15" t="s">
        <v>35</v>
      </c>
      <c r="B26" s="8" t="s">
        <v>42</v>
      </c>
      <c r="C26" s="9">
        <v>24753</v>
      </c>
      <c r="D26" s="12">
        <v>25.86</v>
      </c>
      <c r="E26" s="12">
        <v>22.82</v>
      </c>
      <c r="F26" s="12">
        <v>22.82</v>
      </c>
      <c r="G26" s="12">
        <v>22.82</v>
      </c>
      <c r="H26" s="10">
        <v>9.1999999999999993</v>
      </c>
      <c r="I26" s="13">
        <v>3194.2060000000001</v>
      </c>
      <c r="J26" s="13">
        <f t="shared" si="3"/>
        <v>2818.7076921887087</v>
      </c>
      <c r="K26" s="13">
        <f t="shared" si="3"/>
        <v>2818.7076921887087</v>
      </c>
      <c r="L26" s="49">
        <f>K26*G26/F26+71.947</f>
        <v>2890.6546921887089</v>
      </c>
      <c r="M26" s="10">
        <v>9.1999999999999993</v>
      </c>
      <c r="N26" s="50">
        <v>1524989</v>
      </c>
      <c r="O26" s="50">
        <v>1488899</v>
      </c>
      <c r="P26" s="48">
        <f t="shared" si="1"/>
        <v>36090</v>
      </c>
    </row>
    <row r="27" spans="1:16" ht="15.95" customHeight="1" x14ac:dyDescent="0.25">
      <c r="A27" s="15" t="s">
        <v>37</v>
      </c>
      <c r="B27" s="8" t="s">
        <v>44</v>
      </c>
      <c r="C27" s="9" t="s">
        <v>45</v>
      </c>
      <c r="D27" s="52">
        <v>88.92</v>
      </c>
      <c r="E27" s="12">
        <v>84.91</v>
      </c>
      <c r="F27" s="12">
        <v>81.56</v>
      </c>
      <c r="G27" s="12">
        <v>81.56</v>
      </c>
      <c r="H27" s="10">
        <v>56.99</v>
      </c>
      <c r="I27" s="13">
        <v>15715.416999999999</v>
      </c>
      <c r="J27" s="13">
        <f t="shared" si="3"/>
        <v>15006.703300382365</v>
      </c>
      <c r="K27" s="13">
        <f t="shared" si="3"/>
        <v>14414.635745838956</v>
      </c>
      <c r="L27" s="49">
        <f>K27*G27/F27</f>
        <v>14414.635745838956</v>
      </c>
      <c r="M27" s="10">
        <v>56.99</v>
      </c>
      <c r="N27" s="50">
        <v>43457803</v>
      </c>
      <c r="O27" s="50">
        <v>16865979</v>
      </c>
      <c r="P27" s="48">
        <f t="shared" si="1"/>
        <v>26591824</v>
      </c>
    </row>
    <row r="28" spans="1:16" ht="15.95" customHeight="1" x14ac:dyDescent="0.25">
      <c r="A28" s="20" t="s">
        <v>39</v>
      </c>
      <c r="B28" s="8" t="s">
        <v>47</v>
      </c>
      <c r="C28" s="9">
        <v>24626</v>
      </c>
      <c r="D28" s="12">
        <v>40.049999999999997</v>
      </c>
      <c r="E28" s="12">
        <v>40.049999999999997</v>
      </c>
      <c r="F28" s="12">
        <v>40.049999999999997</v>
      </c>
      <c r="G28" s="12">
        <v>40.049999999999997</v>
      </c>
      <c r="H28" s="10">
        <v>27.91</v>
      </c>
      <c r="I28" s="13">
        <v>18683.276979999999</v>
      </c>
      <c r="J28" s="13">
        <f t="shared" si="3"/>
        <v>18683.276979999999</v>
      </c>
      <c r="K28" s="13">
        <f t="shared" si="3"/>
        <v>18683.276979999999</v>
      </c>
      <c r="L28" s="49">
        <f>K28*G28/F28</f>
        <v>18683.276979999999</v>
      </c>
      <c r="M28" s="10">
        <v>27.91</v>
      </c>
      <c r="N28" s="50">
        <v>16353265</v>
      </c>
      <c r="O28" s="50">
        <v>10396016</v>
      </c>
      <c r="P28" s="48">
        <f t="shared" si="1"/>
        <v>5957249</v>
      </c>
    </row>
    <row r="29" spans="1:16" ht="15.95" customHeight="1" x14ac:dyDescent="0.25">
      <c r="A29" s="15" t="s">
        <v>41</v>
      </c>
      <c r="B29" s="8" t="s">
        <v>49</v>
      </c>
      <c r="C29" s="9">
        <v>24627</v>
      </c>
      <c r="D29" s="12">
        <v>56.03</v>
      </c>
      <c r="E29" s="12">
        <f>59.75-3.72</f>
        <v>56.03</v>
      </c>
      <c r="F29" s="12">
        <f>59.75-3.72</f>
        <v>56.03</v>
      </c>
      <c r="G29" s="12">
        <f>59.75-3.72</f>
        <v>56.03</v>
      </c>
      <c r="H29" s="10">
        <v>59.75</v>
      </c>
      <c r="I29" s="13">
        <v>8580</v>
      </c>
      <c r="J29" s="13">
        <f t="shared" si="3"/>
        <v>8580</v>
      </c>
      <c r="K29" s="13">
        <f t="shared" si="3"/>
        <v>8580</v>
      </c>
      <c r="L29" s="49">
        <f>K29*G29/F29</f>
        <v>8580</v>
      </c>
      <c r="M29" s="10">
        <v>59.75</v>
      </c>
      <c r="N29" s="50">
        <v>114090212</v>
      </c>
      <c r="O29" s="50">
        <v>32197811</v>
      </c>
      <c r="P29" s="48">
        <f t="shared" si="1"/>
        <v>81892401</v>
      </c>
    </row>
    <row r="30" spans="1:16" ht="15.95" customHeight="1" x14ac:dyDescent="0.25">
      <c r="A30" s="15" t="s">
        <v>43</v>
      </c>
      <c r="B30" s="8" t="s">
        <v>51</v>
      </c>
      <c r="C30" s="9">
        <v>24638</v>
      </c>
      <c r="D30" s="12">
        <v>28.84</v>
      </c>
      <c r="E30" s="12">
        <f>35.23-6.39</f>
        <v>28.839999999999996</v>
      </c>
      <c r="F30" s="12">
        <f>35.23-6.39</f>
        <v>28.839999999999996</v>
      </c>
      <c r="G30" s="12">
        <f>35.23-6.39</f>
        <v>28.839999999999996</v>
      </c>
      <c r="H30" s="10">
        <v>29.93</v>
      </c>
      <c r="I30" s="13">
        <v>5186.3798100000004</v>
      </c>
      <c r="J30" s="13">
        <f t="shared" si="3"/>
        <v>5186.3798099999995</v>
      </c>
      <c r="K30" s="13">
        <f t="shared" si="3"/>
        <v>5186.3798099999995</v>
      </c>
      <c r="L30" s="49">
        <f>K30*G30/F30</f>
        <v>5186.3798099999995</v>
      </c>
      <c r="M30" s="10">
        <v>29.93</v>
      </c>
      <c r="N30" s="50">
        <v>20071940</v>
      </c>
      <c r="O30" s="50">
        <v>6775126</v>
      </c>
      <c r="P30" s="48">
        <f t="shared" si="1"/>
        <v>13296814</v>
      </c>
    </row>
    <row r="31" spans="1:16" ht="15.95" customHeight="1" x14ac:dyDescent="0.25">
      <c r="A31" s="20" t="s">
        <v>46</v>
      </c>
      <c r="B31" s="8" t="s">
        <v>53</v>
      </c>
      <c r="C31" s="9">
        <v>24390</v>
      </c>
      <c r="D31" s="12">
        <v>21.42</v>
      </c>
      <c r="E31" s="12">
        <v>1</v>
      </c>
      <c r="F31" s="12">
        <v>1</v>
      </c>
      <c r="G31" s="12">
        <v>1</v>
      </c>
      <c r="H31" s="10">
        <v>2.08</v>
      </c>
      <c r="I31" s="13">
        <v>1897</v>
      </c>
      <c r="J31" s="13">
        <f t="shared" si="3"/>
        <v>88.562091503267965</v>
      </c>
      <c r="K31" s="13">
        <f t="shared" si="3"/>
        <v>88.562091503267965</v>
      </c>
      <c r="L31" s="49">
        <f>K31*G31/F31+5.166</f>
        <v>93.728091503267962</v>
      </c>
      <c r="M31" s="10">
        <v>2.08</v>
      </c>
      <c r="N31" s="50">
        <v>194998</v>
      </c>
      <c r="O31" s="50">
        <v>135807</v>
      </c>
      <c r="P31" s="48">
        <f t="shared" si="1"/>
        <v>59191</v>
      </c>
    </row>
    <row r="32" spans="1:16" ht="15.95" customHeight="1" x14ac:dyDescent="0.25">
      <c r="A32" s="15" t="s">
        <v>48</v>
      </c>
      <c r="B32" s="8" t="s">
        <v>55</v>
      </c>
      <c r="C32" s="9">
        <v>24387</v>
      </c>
      <c r="D32" s="12">
        <v>35.58</v>
      </c>
      <c r="E32" s="12">
        <v>35.58</v>
      </c>
      <c r="F32" s="12">
        <v>34.53</v>
      </c>
      <c r="G32" s="12">
        <v>33.409999999999997</v>
      </c>
      <c r="H32" s="10">
        <v>15.18</v>
      </c>
      <c r="I32" s="13">
        <v>7734.7460000000001</v>
      </c>
      <c r="J32" s="13">
        <f t="shared" si="3"/>
        <v>7734.7460000000001</v>
      </c>
      <c r="K32" s="13">
        <f t="shared" si="3"/>
        <v>7506.486210792581</v>
      </c>
      <c r="L32" s="49">
        <f>K32*G32/F32</f>
        <v>7263.0091023046652</v>
      </c>
      <c r="M32" s="10">
        <v>15.18</v>
      </c>
      <c r="N32" s="50">
        <v>3942988.0706319702</v>
      </c>
      <c r="O32" s="50">
        <v>2982583</v>
      </c>
      <c r="P32" s="48">
        <f t="shared" si="1"/>
        <v>960405.07063197019</v>
      </c>
    </row>
    <row r="33" spans="1:16" ht="15.95" customHeight="1" x14ac:dyDescent="0.25">
      <c r="A33" s="15" t="s">
        <v>50</v>
      </c>
      <c r="B33" s="8" t="s">
        <v>57</v>
      </c>
      <c r="C33" s="9">
        <v>24384</v>
      </c>
      <c r="D33" s="12">
        <v>18.579999999999998</v>
      </c>
      <c r="E33" s="12">
        <v>11.95</v>
      </c>
      <c r="F33" s="12">
        <v>11.95</v>
      </c>
      <c r="G33" s="12">
        <v>11.95</v>
      </c>
      <c r="H33" s="10">
        <v>11.37</v>
      </c>
      <c r="I33" s="13">
        <v>1678</v>
      </c>
      <c r="J33" s="13">
        <f t="shared" si="3"/>
        <v>1079.2303552206674</v>
      </c>
      <c r="K33" s="13">
        <f t="shared" si="3"/>
        <v>1079.2303552206674</v>
      </c>
      <c r="L33" s="49">
        <f>K33*G33/F33</f>
        <v>1079.2303552206674</v>
      </c>
      <c r="M33" s="10">
        <v>11.37</v>
      </c>
      <c r="N33" s="50">
        <v>1479260</v>
      </c>
      <c r="O33" s="50">
        <v>1101328</v>
      </c>
      <c r="P33" s="48">
        <f t="shared" si="1"/>
        <v>377932</v>
      </c>
    </row>
    <row r="34" spans="1:16" ht="15.95" customHeight="1" x14ac:dyDescent="0.25">
      <c r="A34" s="20" t="s">
        <v>52</v>
      </c>
      <c r="B34" s="8" t="s">
        <v>60</v>
      </c>
      <c r="C34" s="9">
        <v>24731</v>
      </c>
      <c r="D34" s="12">
        <v>36.79</v>
      </c>
      <c r="E34" s="12">
        <v>35.01</v>
      </c>
      <c r="F34" s="12">
        <v>35.01</v>
      </c>
      <c r="G34" s="12">
        <v>35.01</v>
      </c>
      <c r="H34" s="10">
        <v>4.6399999999999997</v>
      </c>
      <c r="I34" s="13">
        <v>7867.5280000000002</v>
      </c>
      <c r="J34" s="13">
        <f t="shared" ref="J34:K37" si="4">I34*E34/D34</f>
        <v>7486.8756531666213</v>
      </c>
      <c r="K34" s="13">
        <f t="shared" si="4"/>
        <v>7486.8756531666213</v>
      </c>
      <c r="L34" s="49">
        <f>K34*G34/F34+238.068+301.086</f>
        <v>8026.0296531666218</v>
      </c>
      <c r="M34" s="10">
        <v>4.6399999999999997</v>
      </c>
      <c r="N34" s="50">
        <v>1403239</v>
      </c>
      <c r="O34" s="50">
        <v>943440</v>
      </c>
      <c r="P34" s="48">
        <f t="shared" si="1"/>
        <v>459799</v>
      </c>
    </row>
    <row r="35" spans="1:16" ht="15.95" customHeight="1" x14ac:dyDescent="0.25">
      <c r="A35" s="15" t="s">
        <v>54</v>
      </c>
      <c r="B35" s="8" t="s">
        <v>62</v>
      </c>
      <c r="C35" s="9">
        <v>24735</v>
      </c>
      <c r="D35" s="12">
        <v>38.97</v>
      </c>
      <c r="E35" s="12">
        <v>38.97</v>
      </c>
      <c r="F35" s="12">
        <v>38.97</v>
      </c>
      <c r="G35" s="12">
        <v>38.97</v>
      </c>
      <c r="H35" s="10">
        <v>1.47</v>
      </c>
      <c r="I35" s="13">
        <v>5384</v>
      </c>
      <c r="J35" s="13">
        <f t="shared" si="4"/>
        <v>5384</v>
      </c>
      <c r="K35" s="13">
        <f t="shared" si="4"/>
        <v>5384</v>
      </c>
      <c r="L35" s="49">
        <f>K35*G35/F35+366.318+196.409</f>
        <v>5946.7269999999999</v>
      </c>
      <c r="M35" s="10">
        <v>1.47</v>
      </c>
      <c r="N35" s="50">
        <v>312826</v>
      </c>
      <c r="O35" s="50">
        <v>267321</v>
      </c>
      <c r="P35" s="48">
        <f t="shared" si="1"/>
        <v>45505</v>
      </c>
    </row>
    <row r="36" spans="1:16" ht="15.95" customHeight="1" x14ac:dyDescent="0.25">
      <c r="A36" s="15" t="s">
        <v>56</v>
      </c>
      <c r="B36" s="8" t="s">
        <v>64</v>
      </c>
      <c r="C36" s="9">
        <v>24736</v>
      </c>
      <c r="D36" s="12">
        <v>29.2</v>
      </c>
      <c r="E36" s="12">
        <v>27.51</v>
      </c>
      <c r="F36" s="12">
        <v>27.51</v>
      </c>
      <c r="G36" s="12">
        <v>27.51</v>
      </c>
      <c r="H36" s="10">
        <v>5.32</v>
      </c>
      <c r="I36" s="13">
        <v>6637.7718800000002</v>
      </c>
      <c r="J36" s="13">
        <f t="shared" si="4"/>
        <v>6253.5994663972606</v>
      </c>
      <c r="K36" s="13">
        <f t="shared" si="4"/>
        <v>6253.5994663972606</v>
      </c>
      <c r="L36" s="49">
        <f>K36*G36/F36+209.072</f>
        <v>6462.6714663972607</v>
      </c>
      <c r="M36" s="10">
        <v>5.32</v>
      </c>
      <c r="N36" s="50">
        <v>28742234</v>
      </c>
      <c r="O36" s="50">
        <v>7115598</v>
      </c>
      <c r="P36" s="48">
        <f t="shared" si="1"/>
        <v>21626636</v>
      </c>
    </row>
    <row r="37" spans="1:16" ht="15.95" customHeight="1" x14ac:dyDescent="0.25">
      <c r="A37" s="20" t="s">
        <v>58</v>
      </c>
      <c r="B37" s="8" t="s">
        <v>66</v>
      </c>
      <c r="C37" s="9">
        <v>24730</v>
      </c>
      <c r="D37" s="12">
        <v>28.74</v>
      </c>
      <c r="E37" s="12">
        <v>28</v>
      </c>
      <c r="F37" s="12">
        <v>26.34</v>
      </c>
      <c r="G37" s="12">
        <v>26.34</v>
      </c>
      <c r="H37" s="10">
        <v>14.34</v>
      </c>
      <c r="I37" s="13">
        <v>9113</v>
      </c>
      <c r="J37" s="13">
        <f t="shared" si="4"/>
        <v>8878.357689631177</v>
      </c>
      <c r="K37" s="13">
        <f t="shared" si="4"/>
        <v>8351.9979123173289</v>
      </c>
      <c r="L37" s="49">
        <f>K37*G37/F37</f>
        <v>8351.9979123173289</v>
      </c>
      <c r="M37" s="10">
        <v>14.34</v>
      </c>
      <c r="N37" s="50">
        <v>7517551</v>
      </c>
      <c r="O37" s="50">
        <v>5402367</v>
      </c>
      <c r="P37" s="48">
        <f t="shared" si="1"/>
        <v>2115184</v>
      </c>
    </row>
    <row r="38" spans="1:16" ht="15.95" customHeight="1" x14ac:dyDescent="0.25">
      <c r="A38" s="15" t="s">
        <v>59</v>
      </c>
      <c r="B38" s="8" t="s">
        <v>67</v>
      </c>
      <c r="C38" s="9" t="s">
        <v>68</v>
      </c>
      <c r="D38" s="12">
        <v>100</v>
      </c>
      <c r="E38" s="12">
        <v>100</v>
      </c>
      <c r="F38" s="12">
        <v>64.19</v>
      </c>
      <c r="G38" s="12">
        <v>60.89</v>
      </c>
      <c r="H38" s="10">
        <v>22.97</v>
      </c>
      <c r="I38" s="13">
        <v>51946.898999999998</v>
      </c>
      <c r="J38" s="13">
        <v>51946.898999999998</v>
      </c>
      <c r="K38" s="13">
        <f>J38*F38/E38</f>
        <v>33344.714468099999</v>
      </c>
      <c r="L38" s="49">
        <f>K38*G38/F38</f>
        <v>31630.466801099999</v>
      </c>
      <c r="M38" s="10">
        <v>22.97</v>
      </c>
      <c r="N38" s="50">
        <v>18124963</v>
      </c>
      <c r="O38" s="50">
        <v>16053417</v>
      </c>
      <c r="P38" s="48">
        <f t="shared" si="1"/>
        <v>2071546</v>
      </c>
    </row>
    <row r="39" spans="1:16" ht="15.95" customHeight="1" x14ac:dyDescent="0.25">
      <c r="A39" s="15" t="s">
        <v>61</v>
      </c>
      <c r="B39" s="8" t="s">
        <v>70</v>
      </c>
      <c r="C39" s="9">
        <v>24634</v>
      </c>
      <c r="D39" s="53">
        <f>31.46-12.19</f>
        <v>19.270000000000003</v>
      </c>
      <c r="E39" s="53">
        <f>31.46-12.19</f>
        <v>19.270000000000003</v>
      </c>
      <c r="F39" s="53">
        <v>4.1100000000000003</v>
      </c>
      <c r="G39" s="53">
        <f>16.3-12.19</f>
        <v>4.1100000000000012</v>
      </c>
      <c r="H39" s="54">
        <v>14.72</v>
      </c>
      <c r="I39" s="13">
        <v>8272</v>
      </c>
      <c r="J39" s="13">
        <f t="shared" ref="J39:J47" si="5">I39*E39/D39</f>
        <v>8272</v>
      </c>
      <c r="K39" s="13">
        <f>J39*F39/E39+11.731</f>
        <v>1776.0236829268292</v>
      </c>
      <c r="L39" s="49">
        <f>K39*G39/F39</f>
        <v>1776.0236829268297</v>
      </c>
      <c r="M39" s="54">
        <v>14.72</v>
      </c>
      <c r="N39" s="50">
        <v>2918964</v>
      </c>
      <c r="O39" s="50">
        <v>1677630</v>
      </c>
      <c r="P39" s="48">
        <f t="shared" si="1"/>
        <v>1241334</v>
      </c>
    </row>
    <row r="40" spans="1:16" ht="15.95" customHeight="1" x14ac:dyDescent="0.25">
      <c r="A40" s="20" t="s">
        <v>63</v>
      </c>
      <c r="B40" s="8" t="s">
        <v>72</v>
      </c>
      <c r="C40" s="9">
        <v>24635</v>
      </c>
      <c r="D40" s="12">
        <v>31.99</v>
      </c>
      <c r="E40" s="12">
        <v>30.28</v>
      </c>
      <c r="F40" s="12">
        <v>30.28</v>
      </c>
      <c r="G40" s="12">
        <v>30.28</v>
      </c>
      <c r="H40" s="10">
        <v>17.09</v>
      </c>
      <c r="I40" s="13">
        <v>5435.2392</v>
      </c>
      <c r="J40" s="13">
        <f t="shared" si="5"/>
        <v>5144.702812628947</v>
      </c>
      <c r="K40" s="13">
        <f t="shared" ref="K40:K45" si="6">J40*F40/E40</f>
        <v>5144.702812628947</v>
      </c>
      <c r="L40" s="49">
        <f>K40*G40/F40</f>
        <v>5144.702812628947</v>
      </c>
      <c r="M40" s="10">
        <v>17.09</v>
      </c>
      <c r="N40" s="50">
        <v>8506758</v>
      </c>
      <c r="O40" s="50">
        <v>2536461</v>
      </c>
      <c r="P40" s="48">
        <f t="shared" si="1"/>
        <v>5970297</v>
      </c>
    </row>
    <row r="41" spans="1:16" ht="15.95" customHeight="1" x14ac:dyDescent="0.25">
      <c r="A41" s="15" t="s">
        <v>65</v>
      </c>
      <c r="B41" s="8" t="s">
        <v>74</v>
      </c>
      <c r="C41" s="9">
        <v>24636</v>
      </c>
      <c r="D41" s="12">
        <v>52.69</v>
      </c>
      <c r="E41" s="12">
        <v>50.93</v>
      </c>
      <c r="F41" s="12">
        <v>50.93</v>
      </c>
      <c r="G41" s="12">
        <v>50.93</v>
      </c>
      <c r="H41" s="10">
        <v>46.67</v>
      </c>
      <c r="I41" s="13">
        <v>19217</v>
      </c>
      <c r="J41" s="13">
        <f t="shared" si="5"/>
        <v>18575.096033402922</v>
      </c>
      <c r="K41" s="13">
        <f t="shared" si="6"/>
        <v>18575.096033402922</v>
      </c>
      <c r="L41" s="49">
        <f>K41*G41/F41+136.615</f>
        <v>18711.711033402924</v>
      </c>
      <c r="M41" s="10">
        <v>46.67</v>
      </c>
      <c r="N41" s="50">
        <v>20298029</v>
      </c>
      <c r="O41" s="50">
        <v>19766299</v>
      </c>
      <c r="P41" s="48">
        <f t="shared" si="1"/>
        <v>531730</v>
      </c>
    </row>
    <row r="42" spans="1:16" ht="15.95" customHeight="1" x14ac:dyDescent="0.25">
      <c r="A42" s="15" t="s">
        <v>69</v>
      </c>
      <c r="B42" s="8" t="s">
        <v>76</v>
      </c>
      <c r="C42" s="9">
        <v>24639</v>
      </c>
      <c r="D42" s="12">
        <v>62.33</v>
      </c>
      <c r="E42" s="12">
        <v>61.35</v>
      </c>
      <c r="F42" s="12">
        <v>61.35</v>
      </c>
      <c r="G42" s="12">
        <v>61.35</v>
      </c>
      <c r="H42" s="10">
        <v>3.22</v>
      </c>
      <c r="I42" s="13">
        <v>9918.3060000000005</v>
      </c>
      <c r="J42" s="13">
        <f t="shared" si="5"/>
        <v>9762.3627964062252</v>
      </c>
      <c r="K42" s="13">
        <f t="shared" si="6"/>
        <v>9762.3627964062252</v>
      </c>
      <c r="L42" s="49">
        <f>K42*G42/F42</f>
        <v>9762.3627964062252</v>
      </c>
      <c r="M42" s="10">
        <v>3.22</v>
      </c>
      <c r="N42" s="50">
        <v>986919</v>
      </c>
      <c r="O42" s="50">
        <v>791582</v>
      </c>
      <c r="P42" s="48">
        <f t="shared" si="1"/>
        <v>195337</v>
      </c>
    </row>
    <row r="43" spans="1:16" ht="15.95" customHeight="1" x14ac:dyDescent="0.25">
      <c r="A43" s="20" t="s">
        <v>71</v>
      </c>
      <c r="B43" s="8" t="s">
        <v>78</v>
      </c>
      <c r="C43" s="9">
        <v>24793</v>
      </c>
      <c r="D43" s="12">
        <v>52.1</v>
      </c>
      <c r="E43" s="12">
        <v>51.4</v>
      </c>
      <c r="F43" s="12">
        <f>52.1-0.7</f>
        <v>51.4</v>
      </c>
      <c r="G43" s="12">
        <f>52.1-0.7</f>
        <v>51.4</v>
      </c>
      <c r="H43" s="10">
        <v>45.06</v>
      </c>
      <c r="I43" s="13">
        <v>14346.758750000001</v>
      </c>
      <c r="J43" s="13">
        <f t="shared" si="5"/>
        <v>14153.999995201535</v>
      </c>
      <c r="K43" s="13">
        <f t="shared" si="6"/>
        <v>14153.999995201535</v>
      </c>
      <c r="L43" s="49">
        <f>K43*G43/F43</f>
        <v>14153.999995201535</v>
      </c>
      <c r="M43" s="10">
        <v>45.06</v>
      </c>
      <c r="N43" s="50">
        <v>209862166</v>
      </c>
      <c r="O43" s="50">
        <v>21828488</v>
      </c>
      <c r="P43" s="48">
        <f t="shared" si="1"/>
        <v>188033678</v>
      </c>
    </row>
    <row r="44" spans="1:16" ht="15.95" customHeight="1" x14ac:dyDescent="0.25">
      <c r="A44" s="15" t="s">
        <v>73</v>
      </c>
      <c r="B44" s="8" t="s">
        <v>81</v>
      </c>
      <c r="C44" s="9" t="s">
        <v>82</v>
      </c>
      <c r="D44" s="12">
        <v>11.38</v>
      </c>
      <c r="E44" s="12">
        <v>11.38</v>
      </c>
      <c r="F44" s="12">
        <v>8.49</v>
      </c>
      <c r="G44" s="12">
        <v>8.49</v>
      </c>
      <c r="H44" s="10">
        <v>4.4000000000000004</v>
      </c>
      <c r="I44" s="13">
        <v>962.74900000000002</v>
      </c>
      <c r="J44" s="13">
        <f t="shared" si="5"/>
        <v>962.74900000000002</v>
      </c>
      <c r="K44" s="13">
        <f t="shared" si="6"/>
        <v>718.25474604569422</v>
      </c>
      <c r="L44" s="49">
        <f>K44*G44/F44</f>
        <v>718.25474604569422</v>
      </c>
      <c r="M44" s="10">
        <v>2.2999999999999998</v>
      </c>
      <c r="N44" s="50">
        <v>320236</v>
      </c>
      <c r="O44" s="50">
        <v>232693</v>
      </c>
      <c r="P44" s="48">
        <f t="shared" si="1"/>
        <v>87543</v>
      </c>
    </row>
    <row r="45" spans="1:16" ht="15.95" customHeight="1" x14ac:dyDescent="0.25">
      <c r="A45" s="15" t="s">
        <v>75</v>
      </c>
      <c r="B45" s="8" t="s">
        <v>85</v>
      </c>
      <c r="C45" s="9">
        <v>24831</v>
      </c>
      <c r="D45" s="12">
        <v>31.7</v>
      </c>
      <c r="E45" s="12">
        <v>27.67</v>
      </c>
      <c r="F45" s="12">
        <v>27.67</v>
      </c>
      <c r="G45" s="12">
        <v>27.67</v>
      </c>
      <c r="H45" s="10">
        <v>30.44</v>
      </c>
      <c r="I45" s="13">
        <v>4985</v>
      </c>
      <c r="J45" s="13">
        <f t="shared" si="5"/>
        <v>4351.2602523659307</v>
      </c>
      <c r="K45" s="13">
        <f t="shared" si="6"/>
        <v>4351.2602523659307</v>
      </c>
      <c r="L45" s="49">
        <f>K45*G45/F45</f>
        <v>4351.2602523659307</v>
      </c>
      <c r="M45" s="10">
        <v>30.44</v>
      </c>
      <c r="N45" s="50">
        <v>19881922</v>
      </c>
      <c r="O45" s="50">
        <v>7231288</v>
      </c>
      <c r="P45" s="48">
        <f t="shared" si="1"/>
        <v>12650634</v>
      </c>
    </row>
    <row r="46" spans="1:16" ht="15.95" customHeight="1" x14ac:dyDescent="0.25">
      <c r="A46" s="20" t="s">
        <v>77</v>
      </c>
      <c r="B46" s="8" t="s">
        <v>87</v>
      </c>
      <c r="C46" s="9">
        <v>24830</v>
      </c>
      <c r="D46" s="12">
        <v>34.69</v>
      </c>
      <c r="E46" s="12">
        <v>26.32</v>
      </c>
      <c r="F46" s="12">
        <v>20.77</v>
      </c>
      <c r="G46" s="12">
        <v>20.77</v>
      </c>
      <c r="H46" s="10">
        <v>14.13</v>
      </c>
      <c r="I46" s="13">
        <v>4135</v>
      </c>
      <c r="J46" s="13">
        <f t="shared" si="5"/>
        <v>3137.3075814355725</v>
      </c>
      <c r="K46" s="13">
        <f>J46*F46/E46+14.506+15.601</f>
        <v>2505.8622608820988</v>
      </c>
      <c r="L46" s="49">
        <f>K46*G46/F46+192.578+16.632+12.204</f>
        <v>2727.276260882099</v>
      </c>
      <c r="M46" s="10">
        <v>14.13</v>
      </c>
      <c r="N46" s="50">
        <v>2325483</v>
      </c>
      <c r="O46" s="50">
        <v>2297663</v>
      </c>
      <c r="P46" s="48">
        <f t="shared" si="1"/>
        <v>27820</v>
      </c>
    </row>
    <row r="47" spans="1:16" ht="15.95" customHeight="1" x14ac:dyDescent="0.25">
      <c r="A47" s="15" t="s">
        <v>79</v>
      </c>
      <c r="B47" s="8" t="s">
        <v>88</v>
      </c>
      <c r="C47" s="9">
        <v>24829</v>
      </c>
      <c r="D47" s="12">
        <v>54.8</v>
      </c>
      <c r="E47" s="12">
        <v>54</v>
      </c>
      <c r="F47" s="12">
        <v>46.6</v>
      </c>
      <c r="G47" s="12">
        <v>46.6</v>
      </c>
      <c r="H47" s="10">
        <v>38.200000000000003</v>
      </c>
      <c r="I47" s="13">
        <v>5825.2889999999998</v>
      </c>
      <c r="J47" s="13">
        <f t="shared" si="5"/>
        <v>5740.2482846715329</v>
      </c>
      <c r="K47" s="13">
        <f>J47*F47/E47</f>
        <v>4953.6216678832125</v>
      </c>
      <c r="L47" s="49">
        <f>K47*G47/F47</f>
        <v>4953.6216678832125</v>
      </c>
      <c r="M47" s="10">
        <v>38.200000000000003</v>
      </c>
      <c r="N47" s="50">
        <v>7420759</v>
      </c>
      <c r="O47" s="50">
        <v>5536878</v>
      </c>
      <c r="P47" s="48">
        <f t="shared" si="1"/>
        <v>1883881</v>
      </c>
    </row>
    <row r="48" spans="1:16" ht="15.95" customHeight="1" x14ac:dyDescent="0.25">
      <c r="A48" s="15" t="s">
        <v>80</v>
      </c>
      <c r="B48" s="8" t="s">
        <v>91</v>
      </c>
      <c r="C48" s="9">
        <v>24828</v>
      </c>
      <c r="D48" s="12">
        <v>44.6</v>
      </c>
      <c r="E48" s="12">
        <f>44.6-2.3</f>
        <v>42.300000000000004</v>
      </c>
      <c r="F48" s="12">
        <v>41.29</v>
      </c>
      <c r="G48" s="12">
        <v>41.29</v>
      </c>
      <c r="H48" s="10">
        <v>20.93</v>
      </c>
      <c r="I48" s="13">
        <v>6588.9209799999999</v>
      </c>
      <c r="J48" s="13">
        <f>I48*E48/D48-0.00001</f>
        <v>6249.1335652017951</v>
      </c>
      <c r="K48" s="13">
        <f>J48*F48/E48</f>
        <v>6099.9225746378752</v>
      </c>
      <c r="L48" s="49">
        <f>K48*G48/F48+98.915+151.808</f>
        <v>6350.6455746378751</v>
      </c>
      <c r="M48" s="10">
        <v>20.93</v>
      </c>
      <c r="N48" s="50">
        <v>5172997</v>
      </c>
      <c r="O48" s="50">
        <v>4207233</v>
      </c>
      <c r="P48" s="48">
        <f t="shared" si="1"/>
        <v>965764</v>
      </c>
    </row>
    <row r="49" spans="1:16" ht="15.95" customHeight="1" x14ac:dyDescent="0.25">
      <c r="A49" s="20" t="s">
        <v>83</v>
      </c>
      <c r="B49" s="8" t="s">
        <v>94</v>
      </c>
      <c r="C49" s="9">
        <v>24838</v>
      </c>
      <c r="D49" s="12">
        <v>44.39</v>
      </c>
      <c r="E49" s="12">
        <v>39.869999999999997</v>
      </c>
      <c r="F49" s="12">
        <v>38.090000000000003</v>
      </c>
      <c r="G49" s="12">
        <v>38.090000000000003</v>
      </c>
      <c r="H49" s="10">
        <v>15.6</v>
      </c>
      <c r="I49" s="13">
        <v>5699.5590000000002</v>
      </c>
      <c r="J49" s="13">
        <f t="shared" ref="J49:L56" si="7">I49*E49/D49</f>
        <v>5119.2029134940303</v>
      </c>
      <c r="K49" s="13">
        <f>J49*F49/E49</f>
        <v>4890.6556050912377</v>
      </c>
      <c r="L49" s="49">
        <f>K49*G49/F49</f>
        <v>4890.6556050912377</v>
      </c>
      <c r="M49" s="10">
        <v>15.6</v>
      </c>
      <c r="N49" s="50">
        <v>6752707</v>
      </c>
      <c r="O49" s="50">
        <v>2994705</v>
      </c>
      <c r="P49" s="48">
        <f t="shared" si="1"/>
        <v>3758002</v>
      </c>
    </row>
    <row r="50" spans="1:16" ht="15.95" customHeight="1" x14ac:dyDescent="0.25">
      <c r="A50" s="15" t="s">
        <v>84</v>
      </c>
      <c r="B50" s="8" t="s">
        <v>1059</v>
      </c>
      <c r="C50" s="9">
        <v>24845</v>
      </c>
      <c r="D50" s="12">
        <v>21.36</v>
      </c>
      <c r="E50" s="12">
        <v>18.510000000000002</v>
      </c>
      <c r="F50" s="12">
        <v>13.74</v>
      </c>
      <c r="G50" s="12">
        <v>13.74</v>
      </c>
      <c r="H50" s="14">
        <v>13.19</v>
      </c>
      <c r="I50" s="13">
        <v>10795.90698</v>
      </c>
      <c r="J50" s="13">
        <f>I50*E50/D50</f>
        <v>9355.4418632865181</v>
      </c>
      <c r="K50" s="13" t="e">
        <f>[2]TÁRSASHÁZAK!J55*[2]TÁRSASHÁZAK!F55/[2]TÁRSASHÁZAK!E55</f>
        <v>#REF!</v>
      </c>
      <c r="L50" s="49" t="e">
        <f>K50*G50/F50+32.73</f>
        <v>#REF!</v>
      </c>
      <c r="M50" s="14">
        <v>13.19</v>
      </c>
      <c r="N50" s="50">
        <v>7849412</v>
      </c>
      <c r="O50" s="50">
        <v>7849412</v>
      </c>
      <c r="P50" s="48">
        <f t="shared" si="1"/>
        <v>0</v>
      </c>
    </row>
    <row r="51" spans="1:16" ht="15.95" customHeight="1" x14ac:dyDescent="0.25">
      <c r="A51" s="15" t="s">
        <v>86</v>
      </c>
      <c r="B51" s="8" t="s">
        <v>97</v>
      </c>
      <c r="C51" s="9">
        <v>24948</v>
      </c>
      <c r="D51" s="12">
        <v>52.72</v>
      </c>
      <c r="E51" s="12">
        <v>52.72</v>
      </c>
      <c r="F51" s="12">
        <v>51.59</v>
      </c>
      <c r="G51" s="12">
        <v>51.59</v>
      </c>
      <c r="H51" s="10">
        <v>45.35</v>
      </c>
      <c r="I51" s="13">
        <v>8016.7449999999999</v>
      </c>
      <c r="J51" s="13">
        <f t="shared" si="7"/>
        <v>8016.7449999999999</v>
      </c>
      <c r="K51" s="13">
        <f>J51*F51/E51</f>
        <v>7844.9141606600915</v>
      </c>
      <c r="L51" s="49">
        <f>K51*G51/F51</f>
        <v>7844.9141606600915</v>
      </c>
      <c r="M51" s="10">
        <v>45.35</v>
      </c>
      <c r="N51" s="50">
        <v>152809119</v>
      </c>
      <c r="O51" s="50">
        <v>40771648</v>
      </c>
      <c r="P51" s="48">
        <f t="shared" si="1"/>
        <v>112037471</v>
      </c>
    </row>
    <row r="52" spans="1:16" ht="15.95" customHeight="1" x14ac:dyDescent="0.25">
      <c r="A52" s="20" t="s">
        <v>1043</v>
      </c>
      <c r="B52" s="8" t="s">
        <v>99</v>
      </c>
      <c r="C52" s="9">
        <v>24949</v>
      </c>
      <c r="D52" s="12">
        <v>32.21</v>
      </c>
      <c r="E52" s="12">
        <v>32.21</v>
      </c>
      <c r="F52" s="12">
        <v>32.21</v>
      </c>
      <c r="G52" s="12">
        <v>26.61</v>
      </c>
      <c r="H52" s="10">
        <v>22.8</v>
      </c>
      <c r="I52" s="13">
        <v>6061.97</v>
      </c>
      <c r="J52" s="13">
        <f t="shared" si="7"/>
        <v>6061.97</v>
      </c>
      <c r="K52" s="13">
        <f>J52*F52/E52+90.188</f>
        <v>6152.1580000000004</v>
      </c>
      <c r="L52" s="49">
        <f>K52*G52/F52+63.605</f>
        <v>5146.1546547656008</v>
      </c>
      <c r="M52" s="10">
        <v>22.8</v>
      </c>
      <c r="N52" s="50">
        <v>6682611</v>
      </c>
      <c r="O52" s="50">
        <v>5884979</v>
      </c>
      <c r="P52" s="48">
        <f t="shared" si="1"/>
        <v>797632</v>
      </c>
    </row>
    <row r="53" spans="1:16" ht="15.95" customHeight="1" x14ac:dyDescent="0.25">
      <c r="A53" s="15" t="s">
        <v>89</v>
      </c>
      <c r="B53" s="8" t="s">
        <v>101</v>
      </c>
      <c r="C53" s="9">
        <v>24980</v>
      </c>
      <c r="D53" s="12">
        <v>22.14</v>
      </c>
      <c r="E53" s="12">
        <v>22.14</v>
      </c>
      <c r="F53" s="12">
        <v>20.89</v>
      </c>
      <c r="G53" s="12">
        <v>20.89</v>
      </c>
      <c r="H53" s="10">
        <v>18.45</v>
      </c>
      <c r="I53" s="13">
        <v>6423.9326899999996</v>
      </c>
      <c r="J53" s="13">
        <f t="shared" si="7"/>
        <v>6423.9326899999996</v>
      </c>
      <c r="K53" s="13">
        <f t="shared" si="7"/>
        <v>6061.2445299954834</v>
      </c>
      <c r="L53" s="49">
        <f t="shared" si="7"/>
        <v>6061.2445299954834</v>
      </c>
      <c r="M53" s="10">
        <v>18.45</v>
      </c>
      <c r="N53" s="50">
        <v>8122723</v>
      </c>
      <c r="O53" s="50">
        <v>6492115</v>
      </c>
      <c r="P53" s="48">
        <f t="shared" si="1"/>
        <v>1630608</v>
      </c>
    </row>
    <row r="54" spans="1:16" ht="15.95" customHeight="1" x14ac:dyDescent="0.25">
      <c r="A54" s="15" t="s">
        <v>90</v>
      </c>
      <c r="B54" s="8" t="s">
        <v>104</v>
      </c>
      <c r="C54" s="9">
        <v>24916</v>
      </c>
      <c r="D54" s="12">
        <v>18.78</v>
      </c>
      <c r="E54" s="12">
        <v>18.78</v>
      </c>
      <c r="F54" s="12">
        <v>18.78</v>
      </c>
      <c r="G54" s="12">
        <v>18.78</v>
      </c>
      <c r="H54" s="10">
        <v>3.69</v>
      </c>
      <c r="I54" s="13">
        <v>3858</v>
      </c>
      <c r="J54" s="13">
        <f t="shared" si="7"/>
        <v>3858</v>
      </c>
      <c r="K54" s="13">
        <f t="shared" si="7"/>
        <v>3858</v>
      </c>
      <c r="L54" s="49">
        <f t="shared" si="7"/>
        <v>3858</v>
      </c>
      <c r="M54" s="10">
        <v>3.69</v>
      </c>
      <c r="N54" s="50">
        <v>3906936</v>
      </c>
      <c r="O54" s="50">
        <v>2030777</v>
      </c>
      <c r="P54" s="48">
        <f t="shared" si="1"/>
        <v>1876159</v>
      </c>
    </row>
    <row r="55" spans="1:16" ht="15.95" customHeight="1" x14ac:dyDescent="0.25">
      <c r="A55" s="20" t="s">
        <v>92</v>
      </c>
      <c r="B55" s="8" t="s">
        <v>106</v>
      </c>
      <c r="C55" s="9">
        <v>24958</v>
      </c>
      <c r="D55" s="12">
        <v>11.78</v>
      </c>
      <c r="E55" s="12">
        <v>11.78</v>
      </c>
      <c r="F55" s="12">
        <v>8.6300000000000008</v>
      </c>
      <c r="G55" s="12">
        <v>8.6300000000000008</v>
      </c>
      <c r="H55" s="10">
        <v>7.82</v>
      </c>
      <c r="I55" s="13">
        <v>3805</v>
      </c>
      <c r="J55" s="13">
        <f t="shared" si="7"/>
        <v>3804.9999999999995</v>
      </c>
      <c r="K55" s="13">
        <f t="shared" si="7"/>
        <v>2787.5339558573855</v>
      </c>
      <c r="L55" s="49">
        <f t="shared" si="7"/>
        <v>2787.5339558573855</v>
      </c>
      <c r="M55" s="10">
        <v>7.82</v>
      </c>
      <c r="N55" s="50">
        <v>6762349</v>
      </c>
      <c r="O55" s="50">
        <v>2910232</v>
      </c>
      <c r="P55" s="48">
        <f t="shared" si="1"/>
        <v>3852117</v>
      </c>
    </row>
    <row r="56" spans="1:16" ht="15.95" customHeight="1" x14ac:dyDescent="0.25">
      <c r="A56" s="15" t="s">
        <v>93</v>
      </c>
      <c r="B56" s="8" t="s">
        <v>961</v>
      </c>
      <c r="C56" s="9">
        <v>24992</v>
      </c>
      <c r="D56" s="12">
        <v>35.06</v>
      </c>
      <c r="E56" s="12">
        <v>34.25</v>
      </c>
      <c r="F56" s="12">
        <v>33.96</v>
      </c>
      <c r="G56" s="12">
        <v>33.96</v>
      </c>
      <c r="H56" s="10">
        <v>14.45</v>
      </c>
      <c r="I56" s="13">
        <v>8984.3049499999997</v>
      </c>
      <c r="J56" s="13">
        <f>I56*E56/D56+0.00001</f>
        <v>8776.7383025698782</v>
      </c>
      <c r="K56" s="13">
        <f t="shared" si="7"/>
        <v>8702.4243140225699</v>
      </c>
      <c r="L56" s="49">
        <f t="shared" si="7"/>
        <v>8702.4243140225699</v>
      </c>
      <c r="M56" s="10">
        <v>14.45</v>
      </c>
      <c r="N56" s="50">
        <v>29097683.51449275</v>
      </c>
      <c r="O56" s="50">
        <v>8639970</v>
      </c>
      <c r="P56" s="48">
        <f t="shared" si="1"/>
        <v>20457713.51449275</v>
      </c>
    </row>
    <row r="57" spans="1:16" ht="15.95" customHeight="1" x14ac:dyDescent="0.25">
      <c r="A57" s="15" t="s">
        <v>95</v>
      </c>
      <c r="B57" s="8" t="s">
        <v>1028</v>
      </c>
      <c r="C57" s="9" t="s">
        <v>1029</v>
      </c>
      <c r="D57" s="12"/>
      <c r="E57" s="12"/>
      <c r="F57" s="12"/>
      <c r="G57" s="12"/>
      <c r="H57" s="10">
        <v>1.49</v>
      </c>
      <c r="I57" s="13"/>
      <c r="J57" s="13"/>
      <c r="K57" s="13"/>
      <c r="L57" s="49"/>
      <c r="M57" s="10">
        <v>1.49</v>
      </c>
      <c r="N57" s="50">
        <v>327358</v>
      </c>
      <c r="O57" s="50">
        <v>266437</v>
      </c>
      <c r="P57" s="48">
        <f t="shared" si="1"/>
        <v>60921</v>
      </c>
    </row>
    <row r="58" spans="1:16" ht="15.95" customHeight="1" x14ac:dyDescent="0.25">
      <c r="A58" s="20" t="s">
        <v>96</v>
      </c>
      <c r="B58" s="8" t="s">
        <v>112</v>
      </c>
      <c r="C58" s="9">
        <v>25024</v>
      </c>
      <c r="D58" s="12">
        <v>13.66</v>
      </c>
      <c r="E58" s="12">
        <v>8.5399999999999991</v>
      </c>
      <c r="F58" s="12">
        <v>8.5399999999999991</v>
      </c>
      <c r="G58" s="12">
        <v>8.5399999999999991</v>
      </c>
      <c r="H58" s="10">
        <v>9.67</v>
      </c>
      <c r="I58" s="13">
        <v>3081.4739300000001</v>
      </c>
      <c r="J58" s="13">
        <f t="shared" ref="J58:L59" si="8">I58*E58/D58</f>
        <v>1926.4851656076132</v>
      </c>
      <c r="K58" s="13">
        <f t="shared" si="8"/>
        <v>1926.485165607613</v>
      </c>
      <c r="L58" s="49">
        <f t="shared" si="8"/>
        <v>1926.485165607613</v>
      </c>
      <c r="M58" s="10">
        <v>9.67</v>
      </c>
      <c r="N58" s="50">
        <v>76819507</v>
      </c>
      <c r="O58" s="50">
        <v>8780299</v>
      </c>
      <c r="P58" s="48">
        <f t="shared" si="1"/>
        <v>68039208</v>
      </c>
    </row>
    <row r="59" spans="1:16" ht="15.95" customHeight="1" x14ac:dyDescent="0.25">
      <c r="A59" s="15" t="s">
        <v>98</v>
      </c>
      <c r="B59" s="8" t="s">
        <v>114</v>
      </c>
      <c r="C59" s="9" t="s">
        <v>115</v>
      </c>
      <c r="D59" s="12">
        <v>16.05</v>
      </c>
      <c r="E59" s="12">
        <v>16.05</v>
      </c>
      <c r="F59" s="12">
        <v>16.05</v>
      </c>
      <c r="G59" s="12">
        <v>16.05</v>
      </c>
      <c r="H59" s="10">
        <v>16.05</v>
      </c>
      <c r="I59" s="13">
        <v>1479</v>
      </c>
      <c r="J59" s="13">
        <f t="shared" si="8"/>
        <v>1479</v>
      </c>
      <c r="K59" s="13">
        <f t="shared" si="8"/>
        <v>1479</v>
      </c>
      <c r="L59" s="49">
        <f t="shared" si="8"/>
        <v>1479</v>
      </c>
      <c r="M59" s="10">
        <v>16.05</v>
      </c>
      <c r="N59" s="50">
        <v>1691098</v>
      </c>
      <c r="O59" s="50">
        <v>1463639</v>
      </c>
      <c r="P59" s="48">
        <f t="shared" si="1"/>
        <v>227459</v>
      </c>
    </row>
    <row r="60" spans="1:16" ht="15.95" customHeight="1" x14ac:dyDescent="0.25">
      <c r="A60" s="15" t="s">
        <v>100</v>
      </c>
      <c r="B60" s="8" t="s">
        <v>981</v>
      </c>
      <c r="C60" s="9" t="s">
        <v>982</v>
      </c>
      <c r="D60" s="12"/>
      <c r="E60" s="12"/>
      <c r="F60" s="12"/>
      <c r="G60" s="12"/>
      <c r="H60" s="10">
        <v>17.39</v>
      </c>
      <c r="I60" s="13"/>
      <c r="J60" s="13"/>
      <c r="K60" s="13"/>
      <c r="L60" s="49"/>
      <c r="M60" s="10">
        <v>17.39</v>
      </c>
      <c r="N60" s="50">
        <v>94926476.473155841</v>
      </c>
      <c r="O60" s="50">
        <v>20728342</v>
      </c>
      <c r="P60" s="48">
        <f t="shared" si="1"/>
        <v>74198134.473155841</v>
      </c>
    </row>
    <row r="61" spans="1:16" ht="15.95" customHeight="1" x14ac:dyDescent="0.25">
      <c r="A61" s="20" t="s">
        <v>102</v>
      </c>
      <c r="B61" s="8" t="s">
        <v>1060</v>
      </c>
      <c r="C61" s="9">
        <v>24791</v>
      </c>
      <c r="D61" s="12">
        <v>41.75</v>
      </c>
      <c r="E61" s="12">
        <v>40.61</v>
      </c>
      <c r="F61" s="12">
        <v>30</v>
      </c>
      <c r="G61" s="12">
        <v>30</v>
      </c>
      <c r="H61" s="10">
        <v>3.68</v>
      </c>
      <c r="I61" s="13">
        <v>5250.0452299999997</v>
      </c>
      <c r="J61" s="13">
        <f>I122*E122/D122</f>
        <v>4519</v>
      </c>
      <c r="K61" s="13">
        <f>J61*F61/E61+152.288</f>
        <v>3490.6283102684069</v>
      </c>
      <c r="L61" s="49">
        <f>K61*G61/F61</f>
        <v>3490.6283102684069</v>
      </c>
      <c r="M61" s="10">
        <v>3.68</v>
      </c>
      <c r="N61" s="50">
        <v>649058</v>
      </c>
      <c r="O61" s="50">
        <v>538426</v>
      </c>
      <c r="P61" s="48">
        <f t="shared" si="1"/>
        <v>110632</v>
      </c>
    </row>
    <row r="62" spans="1:16" ht="15.95" customHeight="1" x14ac:dyDescent="0.25">
      <c r="A62" s="15" t="s">
        <v>103</v>
      </c>
      <c r="B62" s="8" t="s">
        <v>118</v>
      </c>
      <c r="C62" s="9">
        <v>24771</v>
      </c>
      <c r="D62" s="12">
        <v>1.63</v>
      </c>
      <c r="E62" s="12">
        <v>1.63</v>
      </c>
      <c r="F62" s="12">
        <v>1.63</v>
      </c>
      <c r="G62" s="12">
        <v>1.63</v>
      </c>
      <c r="H62" s="10">
        <v>17.309999999999999</v>
      </c>
      <c r="I62" s="13">
        <v>139</v>
      </c>
      <c r="J62" s="13">
        <f t="shared" ref="J62:L68" si="9">I62*E62/D62</f>
        <v>139</v>
      </c>
      <c r="K62" s="13">
        <f t="shared" si="9"/>
        <v>139</v>
      </c>
      <c r="L62" s="49">
        <f t="shared" si="9"/>
        <v>139</v>
      </c>
      <c r="M62" s="10">
        <v>17.309999999999999</v>
      </c>
      <c r="N62" s="50">
        <v>4148598</v>
      </c>
      <c r="O62" s="50">
        <v>631519</v>
      </c>
      <c r="P62" s="48">
        <f t="shared" si="1"/>
        <v>3517079</v>
      </c>
    </row>
    <row r="63" spans="1:16" ht="15.95" customHeight="1" x14ac:dyDescent="0.25">
      <c r="A63" s="15" t="s">
        <v>105</v>
      </c>
      <c r="B63" s="8" t="s">
        <v>120</v>
      </c>
      <c r="C63" s="9" t="s">
        <v>121</v>
      </c>
      <c r="D63" s="12">
        <v>2.5499999999999998</v>
      </c>
      <c r="E63" s="12">
        <v>0.52</v>
      </c>
      <c r="F63" s="12">
        <v>0.52</v>
      </c>
      <c r="G63" s="12">
        <v>0.52</v>
      </c>
      <c r="H63" s="10">
        <v>0.52</v>
      </c>
      <c r="I63" s="13">
        <v>214.267</v>
      </c>
      <c r="J63" s="13">
        <f t="shared" si="9"/>
        <v>43.693662745098045</v>
      </c>
      <c r="K63" s="13">
        <f t="shared" si="9"/>
        <v>43.693662745098045</v>
      </c>
      <c r="L63" s="49">
        <f t="shared" si="9"/>
        <v>43.693662745098045</v>
      </c>
      <c r="M63" s="10">
        <v>0.52</v>
      </c>
      <c r="N63" s="50">
        <v>66198</v>
      </c>
      <c r="O63" s="50">
        <v>61152</v>
      </c>
      <c r="P63" s="48">
        <f t="shared" si="1"/>
        <v>5046</v>
      </c>
    </row>
    <row r="64" spans="1:16" ht="15.95" customHeight="1" x14ac:dyDescent="0.25">
      <c r="A64" s="20" t="s">
        <v>107</v>
      </c>
      <c r="B64" s="8" t="s">
        <v>123</v>
      </c>
      <c r="C64" s="9">
        <v>24056</v>
      </c>
      <c r="D64" s="12">
        <v>68.62</v>
      </c>
      <c r="E64" s="12">
        <v>65.61</v>
      </c>
      <c r="F64" s="12">
        <v>65.61</v>
      </c>
      <c r="G64" s="12">
        <v>65.61</v>
      </c>
      <c r="H64" s="10">
        <v>50.05</v>
      </c>
      <c r="I64" s="13">
        <v>20112.72121</v>
      </c>
      <c r="J64" s="13">
        <f t="shared" si="9"/>
        <v>19230.48147170067</v>
      </c>
      <c r="K64" s="13">
        <f t="shared" si="9"/>
        <v>19230.48147170067</v>
      </c>
      <c r="L64" s="49">
        <f>K64*G64/F64+707.734</f>
        <v>19938.215471700671</v>
      </c>
      <c r="M64" s="10">
        <v>50.05</v>
      </c>
      <c r="N64" s="50">
        <v>20864546</v>
      </c>
      <c r="O64" s="50">
        <v>11833593</v>
      </c>
      <c r="P64" s="48">
        <f t="shared" si="1"/>
        <v>9030953</v>
      </c>
    </row>
    <row r="65" spans="1:16" ht="15.95" customHeight="1" x14ac:dyDescent="0.25">
      <c r="A65" s="15" t="s">
        <v>108</v>
      </c>
      <c r="B65" s="8" t="s">
        <v>125</v>
      </c>
      <c r="C65" s="9">
        <v>24065</v>
      </c>
      <c r="D65" s="12">
        <v>16.27</v>
      </c>
      <c r="E65" s="12">
        <v>16.27</v>
      </c>
      <c r="F65" s="12">
        <v>16.27</v>
      </c>
      <c r="G65" s="12">
        <v>16.27</v>
      </c>
      <c r="H65" s="10">
        <v>8.4600000000000009</v>
      </c>
      <c r="I65" s="13">
        <v>1279.4670000000001</v>
      </c>
      <c r="J65" s="13">
        <f t="shared" si="9"/>
        <v>1279.4670000000001</v>
      </c>
      <c r="K65" s="13">
        <f t="shared" si="9"/>
        <v>1279.4670000000001</v>
      </c>
      <c r="L65" s="49">
        <f>K65*G65/F65</f>
        <v>1279.4670000000001</v>
      </c>
      <c r="M65" s="10">
        <v>8.4600000000000009</v>
      </c>
      <c r="N65" s="50">
        <v>665307.50338045496</v>
      </c>
      <c r="O65" s="50">
        <v>306381</v>
      </c>
      <c r="P65" s="48">
        <f t="shared" si="1"/>
        <v>358926.50338045496</v>
      </c>
    </row>
    <row r="66" spans="1:16" ht="15.95" customHeight="1" x14ac:dyDescent="0.25">
      <c r="A66" s="15" t="s">
        <v>109</v>
      </c>
      <c r="B66" s="8" t="s">
        <v>127</v>
      </c>
      <c r="C66" s="9">
        <v>24063</v>
      </c>
      <c r="D66" s="12">
        <v>6.05</v>
      </c>
      <c r="E66" s="12">
        <v>6.05</v>
      </c>
      <c r="F66" s="12">
        <v>6.05</v>
      </c>
      <c r="G66" s="12">
        <v>6.05</v>
      </c>
      <c r="H66" s="10">
        <v>5.79</v>
      </c>
      <c r="I66" s="13">
        <v>4012</v>
      </c>
      <c r="J66" s="13">
        <f t="shared" si="9"/>
        <v>4012</v>
      </c>
      <c r="K66" s="13">
        <f t="shared" si="9"/>
        <v>4012</v>
      </c>
      <c r="L66" s="49">
        <f>K66*G66/F66</f>
        <v>4012</v>
      </c>
      <c r="M66" s="10">
        <v>5.79</v>
      </c>
      <c r="N66" s="50">
        <v>15236098</v>
      </c>
      <c r="O66" s="50">
        <v>6277543</v>
      </c>
      <c r="P66" s="48">
        <f t="shared" si="1"/>
        <v>8958555</v>
      </c>
    </row>
    <row r="67" spans="1:16" ht="15.95" customHeight="1" x14ac:dyDescent="0.25">
      <c r="A67" s="20" t="s">
        <v>110</v>
      </c>
      <c r="B67" s="8" t="s">
        <v>129</v>
      </c>
      <c r="C67" s="9">
        <v>24096</v>
      </c>
      <c r="D67" s="12">
        <v>88.2</v>
      </c>
      <c r="E67" s="12">
        <v>88.2</v>
      </c>
      <c r="F67" s="12">
        <v>88.2</v>
      </c>
      <c r="G67" s="12">
        <v>88.2</v>
      </c>
      <c r="H67" s="10">
        <v>89.1</v>
      </c>
      <c r="I67" s="11">
        <v>1408</v>
      </c>
      <c r="J67" s="13">
        <f t="shared" si="9"/>
        <v>1408</v>
      </c>
      <c r="K67" s="13">
        <f t="shared" si="9"/>
        <v>1408</v>
      </c>
      <c r="L67" s="49">
        <f>K67*G67/F67</f>
        <v>1408</v>
      </c>
      <c r="M67" s="10">
        <v>89.1</v>
      </c>
      <c r="N67" s="50">
        <v>8572398</v>
      </c>
      <c r="O67" s="50">
        <v>2707095</v>
      </c>
      <c r="P67" s="48">
        <f t="shared" si="1"/>
        <v>5865303</v>
      </c>
    </row>
    <row r="68" spans="1:16" ht="15.95" customHeight="1" x14ac:dyDescent="0.25">
      <c r="A68" s="15" t="s">
        <v>111</v>
      </c>
      <c r="B68" s="8" t="s">
        <v>133</v>
      </c>
      <c r="C68" s="9" t="s">
        <v>134</v>
      </c>
      <c r="D68" s="12">
        <v>37.47</v>
      </c>
      <c r="E68" s="12">
        <v>37.22</v>
      </c>
      <c r="F68" s="12">
        <f>46.84-9.62</f>
        <v>37.220000000000006</v>
      </c>
      <c r="G68" s="12">
        <f>41.14-9.62</f>
        <v>31.520000000000003</v>
      </c>
      <c r="H68" s="10">
        <v>12.98</v>
      </c>
      <c r="I68" s="13">
        <v>1806.153</v>
      </c>
      <c r="J68" s="13">
        <f t="shared" si="9"/>
        <v>1794.1023394715774</v>
      </c>
      <c r="K68" s="13">
        <f t="shared" si="9"/>
        <v>1794.1023394715778</v>
      </c>
      <c r="L68" s="49">
        <f>K68*G68/F68</f>
        <v>1519.3472794235392</v>
      </c>
      <c r="M68" s="10">
        <v>12.98</v>
      </c>
      <c r="N68" s="50">
        <v>2407898</v>
      </c>
      <c r="O68" s="50">
        <v>830621</v>
      </c>
      <c r="P68" s="48">
        <f t="shared" ref="P68:P129" si="10">N68-O68</f>
        <v>1577277</v>
      </c>
    </row>
    <row r="69" spans="1:16" ht="15.95" customHeight="1" x14ac:dyDescent="0.25">
      <c r="A69" s="15" t="s">
        <v>934</v>
      </c>
      <c r="B69" s="8" t="s">
        <v>983</v>
      </c>
      <c r="C69" s="9" t="s">
        <v>984</v>
      </c>
      <c r="D69" s="12"/>
      <c r="E69" s="12"/>
      <c r="F69" s="12"/>
      <c r="G69" s="12"/>
      <c r="H69" s="10">
        <v>15.16</v>
      </c>
      <c r="I69" s="13"/>
      <c r="J69" s="13"/>
      <c r="K69" s="13"/>
      <c r="L69" s="49"/>
      <c r="M69" s="10">
        <v>15.16</v>
      </c>
      <c r="N69" s="50">
        <v>33777332</v>
      </c>
      <c r="O69" s="50">
        <v>6757943</v>
      </c>
      <c r="P69" s="48">
        <f t="shared" si="10"/>
        <v>27019389</v>
      </c>
    </row>
    <row r="70" spans="1:16" ht="15.95" customHeight="1" x14ac:dyDescent="0.25">
      <c r="A70" s="20" t="s">
        <v>113</v>
      </c>
      <c r="B70" s="8" t="s">
        <v>136</v>
      </c>
      <c r="C70" s="9">
        <v>24087</v>
      </c>
      <c r="D70" s="12">
        <v>64.400000000000006</v>
      </c>
      <c r="E70" s="12">
        <v>64.400000000000006</v>
      </c>
      <c r="F70" s="12">
        <v>57.5</v>
      </c>
      <c r="G70" s="12">
        <v>57.5</v>
      </c>
      <c r="H70" s="10">
        <v>29.7</v>
      </c>
      <c r="I70" s="13">
        <v>2018.4581499999999</v>
      </c>
      <c r="J70" s="13">
        <f t="shared" ref="J70:L73" si="11">I70*E70/D70</f>
        <v>2018.4581499999999</v>
      </c>
      <c r="K70" s="13">
        <f t="shared" si="11"/>
        <v>1802.1947767857141</v>
      </c>
      <c r="L70" s="49">
        <f t="shared" si="11"/>
        <v>1802.1947767857141</v>
      </c>
      <c r="M70" s="10">
        <v>29.7</v>
      </c>
      <c r="N70" s="50">
        <v>51198</v>
      </c>
      <c r="O70" s="50">
        <v>6320</v>
      </c>
      <c r="P70" s="48">
        <f t="shared" si="10"/>
        <v>44878</v>
      </c>
    </row>
    <row r="71" spans="1:16" ht="15.95" customHeight="1" x14ac:dyDescent="0.25">
      <c r="A71" s="15" t="s">
        <v>116</v>
      </c>
      <c r="B71" s="8" t="s">
        <v>138</v>
      </c>
      <c r="C71" s="9">
        <v>24723</v>
      </c>
      <c r="D71" s="12">
        <v>59.32</v>
      </c>
      <c r="E71" s="12">
        <v>52.52</v>
      </c>
      <c r="F71" s="12">
        <v>52.52</v>
      </c>
      <c r="G71" s="12">
        <v>39.67</v>
      </c>
      <c r="H71" s="10">
        <v>30.54</v>
      </c>
      <c r="I71" s="13">
        <v>9584</v>
      </c>
      <c r="J71" s="13">
        <f t="shared" si="11"/>
        <v>8485.3621038435613</v>
      </c>
      <c r="K71" s="13">
        <f t="shared" si="11"/>
        <v>8485.3621038435613</v>
      </c>
      <c r="L71" s="49">
        <f t="shared" si="11"/>
        <v>6409.2596089008766</v>
      </c>
      <c r="M71" s="10">
        <v>30.54</v>
      </c>
      <c r="N71" s="50">
        <v>14479278</v>
      </c>
      <c r="O71" s="50">
        <v>8091307</v>
      </c>
      <c r="P71" s="48">
        <f t="shared" si="10"/>
        <v>6387971</v>
      </c>
    </row>
    <row r="72" spans="1:16" ht="15.95" customHeight="1" x14ac:dyDescent="0.25">
      <c r="A72" s="15" t="s">
        <v>935</v>
      </c>
      <c r="B72" s="8" t="s">
        <v>141</v>
      </c>
      <c r="C72" s="9">
        <v>24724</v>
      </c>
      <c r="D72" s="12">
        <v>73.73</v>
      </c>
      <c r="E72" s="12">
        <v>73.73</v>
      </c>
      <c r="F72" s="12">
        <v>50.74</v>
      </c>
      <c r="G72" s="12">
        <v>50.74</v>
      </c>
      <c r="H72" s="10">
        <v>50.74</v>
      </c>
      <c r="I72" s="13">
        <v>43378.314169999998</v>
      </c>
      <c r="J72" s="13">
        <f t="shared" si="11"/>
        <v>43378.314169999998</v>
      </c>
      <c r="K72" s="13">
        <f t="shared" si="11"/>
        <v>29852.375708474159</v>
      </c>
      <c r="L72" s="49">
        <f t="shared" si="11"/>
        <v>29852.375708474156</v>
      </c>
      <c r="M72" s="10">
        <v>50.74</v>
      </c>
      <c r="N72" s="50">
        <v>383388449</v>
      </c>
      <c r="O72" s="50">
        <f>88160289-56325638</f>
        <v>31834651</v>
      </c>
      <c r="P72" s="48">
        <f t="shared" si="10"/>
        <v>351553798</v>
      </c>
    </row>
    <row r="73" spans="1:16" ht="15.95" customHeight="1" x14ac:dyDescent="0.25">
      <c r="A73" s="20" t="s">
        <v>1061</v>
      </c>
      <c r="B73" s="8" t="s">
        <v>143</v>
      </c>
      <c r="C73" s="9">
        <v>24883</v>
      </c>
      <c r="D73" s="12">
        <v>43.57</v>
      </c>
      <c r="E73" s="12">
        <f>46.29-2.72</f>
        <v>43.57</v>
      </c>
      <c r="F73" s="12">
        <v>43.57</v>
      </c>
      <c r="G73" s="12">
        <v>43.57</v>
      </c>
      <c r="H73" s="10">
        <v>1.45</v>
      </c>
      <c r="I73" s="13">
        <v>6679</v>
      </c>
      <c r="J73" s="13">
        <f t="shared" si="11"/>
        <v>6679.0000000000009</v>
      </c>
      <c r="K73" s="13">
        <f t="shared" si="11"/>
        <v>6679.0000000000009</v>
      </c>
      <c r="L73" s="49">
        <f t="shared" si="11"/>
        <v>6679.0000000000009</v>
      </c>
      <c r="M73" s="10">
        <v>1.45</v>
      </c>
      <c r="N73" s="50">
        <v>386008.01775147923</v>
      </c>
      <c r="O73" s="50">
        <v>190944</v>
      </c>
      <c r="P73" s="48">
        <f t="shared" si="10"/>
        <v>195064.01775147923</v>
      </c>
    </row>
    <row r="74" spans="1:16" ht="15.95" customHeight="1" x14ac:dyDescent="0.25">
      <c r="A74" s="15" t="s">
        <v>117</v>
      </c>
      <c r="B74" s="8" t="s">
        <v>146</v>
      </c>
      <c r="C74" s="9">
        <v>24879</v>
      </c>
      <c r="D74" s="12">
        <v>42.94</v>
      </c>
      <c r="E74" s="12">
        <v>41.94</v>
      </c>
      <c r="F74" s="12">
        <v>41.94</v>
      </c>
      <c r="G74" s="12">
        <v>41.94</v>
      </c>
      <c r="H74" s="10">
        <v>3.89</v>
      </c>
      <c r="I74" s="13">
        <v>16402.155709999999</v>
      </c>
      <c r="J74" s="13">
        <f>I74*E74/D74</f>
        <v>16020.177235151374</v>
      </c>
      <c r="K74" s="13">
        <f>J74*F74/E74</f>
        <v>16020.177235151372</v>
      </c>
      <c r="L74" s="49">
        <f>K74*G74/F74+660.978+505.138</f>
        <v>17186.29323515137</v>
      </c>
      <c r="M74" s="10">
        <v>3.89</v>
      </c>
      <c r="N74" s="50">
        <v>3565930</v>
      </c>
      <c r="O74" s="50">
        <v>2275008</v>
      </c>
      <c r="P74" s="48">
        <f t="shared" si="10"/>
        <v>1290922</v>
      </c>
    </row>
    <row r="75" spans="1:16" ht="15.95" customHeight="1" x14ac:dyDescent="0.25">
      <c r="A75" s="15" t="s">
        <v>119</v>
      </c>
      <c r="B75" s="8" t="s">
        <v>149</v>
      </c>
      <c r="C75" s="9">
        <v>24812</v>
      </c>
      <c r="D75" s="12">
        <v>25.11</v>
      </c>
      <c r="E75" s="12">
        <v>25.11</v>
      </c>
      <c r="F75" s="12">
        <v>25.11</v>
      </c>
      <c r="G75" s="12">
        <v>25.11</v>
      </c>
      <c r="H75" s="10">
        <v>11.64</v>
      </c>
      <c r="I75" s="13">
        <v>2837</v>
      </c>
      <c r="J75" s="13">
        <f>I75*E75/D75</f>
        <v>2836.9999999999995</v>
      </c>
      <c r="K75" s="13">
        <f>J75*F75/E75+14.748</f>
        <v>2851.7479999999996</v>
      </c>
      <c r="L75" s="49">
        <f>K75*G75/F75</f>
        <v>2851.7479999999996</v>
      </c>
      <c r="M75" s="10">
        <v>11.64</v>
      </c>
      <c r="N75" s="50">
        <v>5109998</v>
      </c>
      <c r="O75" s="50">
        <v>1678391</v>
      </c>
      <c r="P75" s="48">
        <f t="shared" si="10"/>
        <v>3431607</v>
      </c>
    </row>
    <row r="76" spans="1:16" ht="15.95" customHeight="1" x14ac:dyDescent="0.25">
      <c r="A76" s="20" t="s">
        <v>122</v>
      </c>
      <c r="B76" s="8" t="s">
        <v>151</v>
      </c>
      <c r="C76" s="9">
        <v>24853</v>
      </c>
      <c r="D76" s="12">
        <v>41.73</v>
      </c>
      <c r="E76" s="12">
        <v>41.73</v>
      </c>
      <c r="F76" s="12">
        <v>41.73</v>
      </c>
      <c r="G76" s="12">
        <v>41.73</v>
      </c>
      <c r="H76" s="10">
        <v>47.79</v>
      </c>
      <c r="I76" s="13">
        <v>4533</v>
      </c>
      <c r="J76" s="13">
        <f>I76*E76/D76</f>
        <v>4533</v>
      </c>
      <c r="K76" s="13">
        <f>J76*F76/E76</f>
        <v>4533</v>
      </c>
      <c r="L76" s="49">
        <f>K76*G76/F76</f>
        <v>4533</v>
      </c>
      <c r="M76" s="10">
        <v>47.79</v>
      </c>
      <c r="N76" s="50">
        <v>7445590</v>
      </c>
      <c r="O76" s="50">
        <v>3861337</v>
      </c>
      <c r="P76" s="48">
        <f t="shared" si="10"/>
        <v>3584253</v>
      </c>
    </row>
    <row r="77" spans="1:16" ht="15.95" customHeight="1" x14ac:dyDescent="0.25">
      <c r="A77" s="15" t="s">
        <v>124</v>
      </c>
      <c r="B77" s="8" t="s">
        <v>153</v>
      </c>
      <c r="C77" s="9">
        <v>24813</v>
      </c>
      <c r="D77" s="12">
        <v>37.1</v>
      </c>
      <c r="E77" s="12">
        <v>36.25</v>
      </c>
      <c r="F77" s="12">
        <v>36.25</v>
      </c>
      <c r="G77" s="12">
        <v>33.520000000000003</v>
      </c>
      <c r="H77" s="10">
        <v>20.76</v>
      </c>
      <c r="I77" s="13">
        <v>6772</v>
      </c>
      <c r="J77" s="13">
        <f>I77*E77/D77</f>
        <v>6616.8463611859834</v>
      </c>
      <c r="K77" s="13">
        <f>J77*F77/E77</f>
        <v>6616.8463611859834</v>
      </c>
      <c r="L77" s="49">
        <f>K77*G77/F77</f>
        <v>6118.5293800539084</v>
      </c>
      <c r="M77" s="10">
        <v>20.76</v>
      </c>
      <c r="N77" s="50">
        <v>11427560</v>
      </c>
      <c r="O77" s="50">
        <v>6329872</v>
      </c>
      <c r="P77" s="48">
        <f t="shared" si="10"/>
        <v>5097688</v>
      </c>
    </row>
    <row r="78" spans="1:16" ht="15.95" customHeight="1" x14ac:dyDescent="0.25">
      <c r="A78" s="15" t="s">
        <v>126</v>
      </c>
      <c r="B78" s="8" t="s">
        <v>985</v>
      </c>
      <c r="C78" s="9" t="s">
        <v>986</v>
      </c>
      <c r="D78" s="12"/>
      <c r="E78" s="12"/>
      <c r="F78" s="12"/>
      <c r="G78" s="12"/>
      <c r="H78" s="10">
        <v>30.25</v>
      </c>
      <c r="I78" s="13"/>
      <c r="J78" s="13"/>
      <c r="K78" s="13"/>
      <c r="L78" s="49"/>
      <c r="M78" s="10">
        <v>30.25</v>
      </c>
      <c r="N78" s="50">
        <v>225792688</v>
      </c>
      <c r="O78" s="50">
        <v>49176627</v>
      </c>
      <c r="P78" s="48">
        <f t="shared" si="10"/>
        <v>176616061</v>
      </c>
    </row>
    <row r="79" spans="1:16" ht="15.95" customHeight="1" x14ac:dyDescent="0.25">
      <c r="A79" s="20" t="s">
        <v>1044</v>
      </c>
      <c r="B79" s="8" t="s">
        <v>155</v>
      </c>
      <c r="C79" s="9">
        <v>24835</v>
      </c>
      <c r="D79" s="12">
        <v>48.66</v>
      </c>
      <c r="E79" s="12">
        <v>46.17</v>
      </c>
      <c r="F79" s="12">
        <v>45.51</v>
      </c>
      <c r="G79" s="12">
        <v>45.51</v>
      </c>
      <c r="H79" s="10">
        <v>6.33</v>
      </c>
      <c r="I79" s="13">
        <v>7881</v>
      </c>
      <c r="J79" s="13">
        <f>I79*E79/D79</f>
        <v>7477.7182490752166</v>
      </c>
      <c r="K79" s="13">
        <f>J79*F79/E79</f>
        <v>7370.8242909987675</v>
      </c>
      <c r="L79" s="49">
        <f>K79*G79/F79</f>
        <v>7370.8242909987675</v>
      </c>
      <c r="M79" s="10">
        <v>6.33</v>
      </c>
      <c r="N79" s="50">
        <v>1393547.3122119815</v>
      </c>
      <c r="O79" s="50">
        <v>1306216</v>
      </c>
      <c r="P79" s="48">
        <f t="shared" si="10"/>
        <v>87331.312211981509</v>
      </c>
    </row>
    <row r="80" spans="1:16" ht="15.95" customHeight="1" x14ac:dyDescent="0.25">
      <c r="A80" s="15" t="s">
        <v>128</v>
      </c>
      <c r="B80" s="8" t="s">
        <v>157</v>
      </c>
      <c r="C80" s="9">
        <v>24827</v>
      </c>
      <c r="D80" s="12">
        <v>23.89</v>
      </c>
      <c r="E80" s="12">
        <v>19.89</v>
      </c>
      <c r="F80" s="12">
        <v>16.739999999999998</v>
      </c>
      <c r="G80" s="12">
        <v>16.739999999999998</v>
      </c>
      <c r="H80" s="10">
        <v>16.739999999999998</v>
      </c>
      <c r="I80" s="13">
        <v>2235.79</v>
      </c>
      <c r="J80" s="13">
        <f t="shared" ref="J80:L95" si="12">I80*E80/D80</f>
        <v>1861.4425742988699</v>
      </c>
      <c r="K80" s="13">
        <f>J80*F80/E80+7.53</f>
        <v>1574.1739765592295</v>
      </c>
      <c r="L80" s="49">
        <f>K80*G80/F80+29.412</f>
        <v>1603.5859765592295</v>
      </c>
      <c r="M80" s="10">
        <v>16.739999999999998</v>
      </c>
      <c r="N80" s="50">
        <v>5779561</v>
      </c>
      <c r="O80" s="50">
        <v>3002836</v>
      </c>
      <c r="P80" s="48">
        <f t="shared" si="10"/>
        <v>2776725</v>
      </c>
    </row>
    <row r="81" spans="1:16" ht="15.95" customHeight="1" x14ac:dyDescent="0.25">
      <c r="A81" s="15" t="s">
        <v>130</v>
      </c>
      <c r="B81" s="8" t="s">
        <v>159</v>
      </c>
      <c r="C81" s="9">
        <v>24836</v>
      </c>
      <c r="D81" s="12">
        <v>34.89</v>
      </c>
      <c r="E81" s="12">
        <v>34.89</v>
      </c>
      <c r="F81" s="12">
        <v>14.57</v>
      </c>
      <c r="G81" s="12">
        <v>14.57</v>
      </c>
      <c r="H81" s="10">
        <v>14.57</v>
      </c>
      <c r="I81" s="13">
        <v>4326</v>
      </c>
      <c r="J81" s="13">
        <f t="shared" si="12"/>
        <v>4326</v>
      </c>
      <c r="K81" s="13">
        <f>J81*F81/E81</f>
        <v>1806.529664660361</v>
      </c>
      <c r="L81" s="49">
        <f>K81*G81/F81</f>
        <v>1806.529664660361</v>
      </c>
      <c r="M81" s="10">
        <v>16.399999999999999</v>
      </c>
      <c r="N81" s="50">
        <v>3038866</v>
      </c>
      <c r="O81" s="50">
        <v>2690602</v>
      </c>
      <c r="P81" s="48">
        <f t="shared" si="10"/>
        <v>348264</v>
      </c>
    </row>
    <row r="82" spans="1:16" ht="15.95" customHeight="1" x14ac:dyDescent="0.25">
      <c r="A82" s="20" t="s">
        <v>131</v>
      </c>
      <c r="B82" s="8" t="s">
        <v>161</v>
      </c>
      <c r="C82" s="9">
        <v>23819</v>
      </c>
      <c r="D82" s="12">
        <v>10.98</v>
      </c>
      <c r="E82" s="12">
        <v>10.98</v>
      </c>
      <c r="F82" s="12">
        <v>10.98</v>
      </c>
      <c r="G82" s="12">
        <v>10.98</v>
      </c>
      <c r="H82" s="10">
        <v>6.71</v>
      </c>
      <c r="I82" s="13">
        <v>6826</v>
      </c>
      <c r="J82" s="13">
        <f t="shared" si="12"/>
        <v>6825.9999999999991</v>
      </c>
      <c r="K82" s="13">
        <f t="shared" si="12"/>
        <v>6825.9999999999991</v>
      </c>
      <c r="L82" s="49">
        <f>K82*G82/F82+16.47+41.03</f>
        <v>6883.4999999999991</v>
      </c>
      <c r="M82" s="10">
        <v>6.71</v>
      </c>
      <c r="N82" s="50">
        <v>6841497</v>
      </c>
      <c r="O82" s="50">
        <v>6444739</v>
      </c>
      <c r="P82" s="48">
        <f t="shared" si="10"/>
        <v>396758</v>
      </c>
    </row>
    <row r="83" spans="1:16" ht="15.95" customHeight="1" x14ac:dyDescent="0.25">
      <c r="A83" s="15" t="s">
        <v>132</v>
      </c>
      <c r="B83" s="8" t="s">
        <v>163</v>
      </c>
      <c r="C83" s="9">
        <v>23820</v>
      </c>
      <c r="D83" s="12">
        <v>27.6</v>
      </c>
      <c r="E83" s="12">
        <v>27.6</v>
      </c>
      <c r="F83" s="12">
        <v>27.6</v>
      </c>
      <c r="G83" s="12">
        <v>25.87</v>
      </c>
      <c r="H83" s="10">
        <v>9.09</v>
      </c>
      <c r="I83" s="13">
        <v>4820.1279999999997</v>
      </c>
      <c r="J83" s="13">
        <f t="shared" si="12"/>
        <v>4820.1279999999997</v>
      </c>
      <c r="K83" s="13">
        <f t="shared" si="12"/>
        <v>4820.1279999999997</v>
      </c>
      <c r="L83" s="49">
        <f>K83*G83/F83+397.421</f>
        <v>4915.4177884057972</v>
      </c>
      <c r="M83" s="10">
        <v>9.09</v>
      </c>
      <c r="N83" s="50">
        <v>14337406</v>
      </c>
      <c r="O83" s="50">
        <v>3911878</v>
      </c>
      <c r="P83" s="48">
        <f t="shared" si="10"/>
        <v>10425528</v>
      </c>
    </row>
    <row r="84" spans="1:16" ht="15.95" customHeight="1" x14ac:dyDescent="0.25">
      <c r="A84" s="15" t="s">
        <v>135</v>
      </c>
      <c r="B84" s="8" t="s">
        <v>165</v>
      </c>
      <c r="C84" s="9">
        <v>23827</v>
      </c>
      <c r="D84" s="12">
        <v>21.82</v>
      </c>
      <c r="E84" s="12">
        <f>26.87-5.05</f>
        <v>21.82</v>
      </c>
      <c r="F84" s="12">
        <f>26.87-5.05</f>
        <v>21.82</v>
      </c>
      <c r="G84" s="12">
        <f>26.87-5.05</f>
        <v>21.82</v>
      </c>
      <c r="H84" s="10">
        <v>3.5</v>
      </c>
      <c r="I84" s="13">
        <v>1669</v>
      </c>
      <c r="J84" s="13">
        <f t="shared" si="12"/>
        <v>1669</v>
      </c>
      <c r="K84" s="13">
        <f t="shared" si="12"/>
        <v>1669</v>
      </c>
      <c r="L84" s="49">
        <f>K84*G84/F84</f>
        <v>1669</v>
      </c>
      <c r="M84" s="10">
        <v>3.5</v>
      </c>
      <c r="N84" s="50">
        <v>1019670.4585987262</v>
      </c>
      <c r="O84" s="50">
        <v>740328</v>
      </c>
      <c r="P84" s="48">
        <f t="shared" si="10"/>
        <v>279342.4585987262</v>
      </c>
    </row>
    <row r="85" spans="1:16" ht="15.95" customHeight="1" x14ac:dyDescent="0.25">
      <c r="A85" s="20" t="s">
        <v>137</v>
      </c>
      <c r="B85" s="8" t="s">
        <v>169</v>
      </c>
      <c r="C85" s="9">
        <v>23830</v>
      </c>
      <c r="D85" s="12">
        <v>17.39</v>
      </c>
      <c r="E85" s="12">
        <v>17.39</v>
      </c>
      <c r="F85" s="12">
        <v>17.39</v>
      </c>
      <c r="G85" s="12">
        <v>17.39</v>
      </c>
      <c r="H85" s="10">
        <v>3.66</v>
      </c>
      <c r="I85" s="13">
        <v>4627</v>
      </c>
      <c r="J85" s="13">
        <f t="shared" si="12"/>
        <v>4627</v>
      </c>
      <c r="K85" s="13">
        <f t="shared" si="12"/>
        <v>4627</v>
      </c>
      <c r="L85" s="49">
        <f>K85*G85/F85+19.471</f>
        <v>4646.4709999999995</v>
      </c>
      <c r="M85" s="10">
        <v>3.66</v>
      </c>
      <c r="N85" s="50">
        <v>5740329</v>
      </c>
      <c r="O85" s="50">
        <v>1956891</v>
      </c>
      <c r="P85" s="48">
        <f t="shared" si="10"/>
        <v>3783438</v>
      </c>
    </row>
    <row r="86" spans="1:16" ht="15.95" customHeight="1" x14ac:dyDescent="0.25">
      <c r="A86" s="15" t="s">
        <v>139</v>
      </c>
      <c r="B86" s="8" t="s">
        <v>172</v>
      </c>
      <c r="C86" s="9">
        <v>23839</v>
      </c>
      <c r="D86" s="12">
        <v>24.41</v>
      </c>
      <c r="E86" s="12">
        <v>24.41</v>
      </c>
      <c r="F86" s="12">
        <v>24.41</v>
      </c>
      <c r="G86" s="12">
        <v>24.41</v>
      </c>
      <c r="H86" s="10">
        <v>15.04</v>
      </c>
      <c r="I86" s="13">
        <v>3556</v>
      </c>
      <c r="J86" s="13">
        <f t="shared" si="12"/>
        <v>3556.0000000000005</v>
      </c>
      <c r="K86" s="13">
        <f t="shared" si="12"/>
        <v>3556.0000000000005</v>
      </c>
      <c r="L86" s="49">
        <f>K86*G86/F86</f>
        <v>3556.0000000000005</v>
      </c>
      <c r="M86" s="10">
        <v>15.04</v>
      </c>
      <c r="N86" s="50">
        <v>25601659</v>
      </c>
      <c r="O86" s="50">
        <v>7464623</v>
      </c>
      <c r="P86" s="48">
        <f t="shared" si="10"/>
        <v>18137036</v>
      </c>
    </row>
    <row r="87" spans="1:16" ht="15.95" customHeight="1" x14ac:dyDescent="0.25">
      <c r="A87" s="15" t="s">
        <v>140</v>
      </c>
      <c r="B87" s="8" t="s">
        <v>174</v>
      </c>
      <c r="C87" s="9">
        <v>23840</v>
      </c>
      <c r="D87" s="12">
        <v>17.04</v>
      </c>
      <c r="E87" s="12">
        <v>15.11</v>
      </c>
      <c r="F87" s="12">
        <v>15.11</v>
      </c>
      <c r="G87" s="12">
        <v>15.11</v>
      </c>
      <c r="H87" s="10">
        <v>5.85</v>
      </c>
      <c r="I87" s="13">
        <v>4157.97588</v>
      </c>
      <c r="J87" s="13">
        <f t="shared" si="12"/>
        <v>3687.0314288028167</v>
      </c>
      <c r="K87" s="13">
        <f t="shared" si="12"/>
        <v>3687.0314288028167</v>
      </c>
      <c r="L87" s="49">
        <f>K87*G87/F87</f>
        <v>3687.0314288028167</v>
      </c>
      <c r="M87" s="10">
        <v>5.85</v>
      </c>
      <c r="N87" s="50">
        <v>1604742</v>
      </c>
      <c r="O87" s="50">
        <v>1586274</v>
      </c>
      <c r="P87" s="48">
        <f t="shared" si="10"/>
        <v>18468</v>
      </c>
    </row>
    <row r="88" spans="1:16" ht="15.95" customHeight="1" x14ac:dyDescent="0.25">
      <c r="A88" s="20" t="s">
        <v>142</v>
      </c>
      <c r="B88" s="8" t="s">
        <v>176</v>
      </c>
      <c r="C88" s="9">
        <v>23841</v>
      </c>
      <c r="D88" s="12">
        <v>13.27</v>
      </c>
      <c r="E88" s="12">
        <v>13.27</v>
      </c>
      <c r="F88" s="12">
        <v>13.27</v>
      </c>
      <c r="G88" s="12">
        <v>12.66</v>
      </c>
      <c r="H88" s="10">
        <v>3.52</v>
      </c>
      <c r="I88" s="13">
        <v>4081.9477299999999</v>
      </c>
      <c r="J88" s="13">
        <f t="shared" si="12"/>
        <v>4081.9477299999999</v>
      </c>
      <c r="K88" s="13">
        <f t="shared" si="12"/>
        <v>4081.9477299999999</v>
      </c>
      <c r="L88" s="49">
        <f>K88*G88/F88</f>
        <v>3894.3073294498868</v>
      </c>
      <c r="M88" s="10">
        <v>3.52</v>
      </c>
      <c r="N88" s="50">
        <v>1487380</v>
      </c>
      <c r="O88" s="50">
        <v>1377500</v>
      </c>
      <c r="P88" s="48">
        <f t="shared" si="10"/>
        <v>109880</v>
      </c>
    </row>
    <row r="89" spans="1:16" ht="15.95" customHeight="1" x14ac:dyDescent="0.25">
      <c r="A89" s="15" t="s">
        <v>144</v>
      </c>
      <c r="B89" s="8" t="s">
        <v>178</v>
      </c>
      <c r="C89" s="9">
        <v>23842</v>
      </c>
      <c r="D89" s="12">
        <v>43.26</v>
      </c>
      <c r="E89" s="12">
        <v>43.26</v>
      </c>
      <c r="F89" s="12">
        <v>43.26</v>
      </c>
      <c r="G89" s="12">
        <v>43.26</v>
      </c>
      <c r="H89" s="10">
        <v>36.92</v>
      </c>
      <c r="I89" s="13">
        <v>3580.4180000000001</v>
      </c>
      <c r="J89" s="13">
        <f t="shared" si="12"/>
        <v>3580.4180000000006</v>
      </c>
      <c r="K89" s="13">
        <f t="shared" si="12"/>
        <v>3580.4180000000006</v>
      </c>
      <c r="L89" s="49">
        <f>K89*G89/F89</f>
        <v>3580.4180000000006</v>
      </c>
      <c r="M89" s="10">
        <v>36.92</v>
      </c>
      <c r="N89" s="50">
        <v>8066598</v>
      </c>
      <c r="O89" s="50">
        <v>3751891</v>
      </c>
      <c r="P89" s="48">
        <f t="shared" si="10"/>
        <v>4314707</v>
      </c>
    </row>
    <row r="90" spans="1:16" ht="15.95" customHeight="1" x14ac:dyDescent="0.25">
      <c r="A90" s="15" t="s">
        <v>145</v>
      </c>
      <c r="B90" s="8" t="s">
        <v>180</v>
      </c>
      <c r="C90" s="9">
        <v>23843</v>
      </c>
      <c r="D90" s="12">
        <v>36.08</v>
      </c>
      <c r="E90" s="12">
        <v>36.08</v>
      </c>
      <c r="F90" s="12">
        <v>36.08</v>
      </c>
      <c r="G90" s="12">
        <v>36.08</v>
      </c>
      <c r="H90" s="10">
        <v>31.22</v>
      </c>
      <c r="I90" s="13">
        <v>5237.6869999999999</v>
      </c>
      <c r="J90" s="13">
        <f t="shared" si="12"/>
        <v>5237.6869999999999</v>
      </c>
      <c r="K90" s="13">
        <f t="shared" si="12"/>
        <v>5237.6869999999999</v>
      </c>
      <c r="L90" s="49">
        <f>K90*G90/F90+892.098+70.356</f>
        <v>6200.1409999999996</v>
      </c>
      <c r="M90" s="10">
        <v>31.22</v>
      </c>
      <c r="N90" s="50">
        <v>44263345</v>
      </c>
      <c r="O90" s="50">
        <v>8885581</v>
      </c>
      <c r="P90" s="48">
        <f t="shared" si="10"/>
        <v>35377764</v>
      </c>
    </row>
    <row r="91" spans="1:16" ht="15.95" customHeight="1" x14ac:dyDescent="0.25">
      <c r="A91" s="20" t="s">
        <v>147</v>
      </c>
      <c r="B91" s="8" t="s">
        <v>182</v>
      </c>
      <c r="C91" s="9">
        <v>23844</v>
      </c>
      <c r="D91" s="12">
        <v>25.53</v>
      </c>
      <c r="E91" s="12">
        <f>28.19-2.66</f>
        <v>25.53</v>
      </c>
      <c r="F91" s="12">
        <f>28.19-2.66</f>
        <v>25.53</v>
      </c>
      <c r="G91" s="12">
        <f>28.19-2.66</f>
        <v>25.53</v>
      </c>
      <c r="H91" s="10">
        <v>25.53</v>
      </c>
      <c r="I91" s="13">
        <v>3435.7539700000002</v>
      </c>
      <c r="J91" s="13">
        <f t="shared" si="12"/>
        <v>3435.7539700000002</v>
      </c>
      <c r="K91" s="13">
        <f>J91*F91/E91+661.689</f>
        <v>4097.4429700000001</v>
      </c>
      <c r="L91" s="49">
        <f>K91*G91/F91+41.795+114.027</f>
        <v>4253.2649700000002</v>
      </c>
      <c r="M91" s="10">
        <v>25.53</v>
      </c>
      <c r="N91" s="50">
        <v>13774576</v>
      </c>
      <c r="O91" s="50">
        <v>4961363</v>
      </c>
      <c r="P91" s="48">
        <f t="shared" si="10"/>
        <v>8813213</v>
      </c>
    </row>
    <row r="92" spans="1:16" ht="15.95" customHeight="1" x14ac:dyDescent="0.25">
      <c r="A92" s="15" t="s">
        <v>148</v>
      </c>
      <c r="B92" s="8" t="s">
        <v>185</v>
      </c>
      <c r="C92" s="9">
        <v>23854</v>
      </c>
      <c r="D92" s="12">
        <v>31.48</v>
      </c>
      <c r="E92" s="12">
        <f>29.85</f>
        <v>29.85</v>
      </c>
      <c r="F92" s="12">
        <f>29.85</f>
        <v>29.85</v>
      </c>
      <c r="G92" s="12">
        <f>33.47-3.62</f>
        <v>29.849999999999998</v>
      </c>
      <c r="H92" s="10">
        <v>14.98</v>
      </c>
      <c r="I92" s="13">
        <v>7712</v>
      </c>
      <c r="J92" s="13">
        <f t="shared" si="12"/>
        <v>7312.681067344346</v>
      </c>
      <c r="K92" s="13">
        <f t="shared" si="12"/>
        <v>7312.681067344346</v>
      </c>
      <c r="L92" s="49">
        <f>K92*G92/F92+986.06</f>
        <v>8298.7410673443446</v>
      </c>
      <c r="M92" s="10">
        <v>14.98</v>
      </c>
      <c r="N92" s="50">
        <v>11244937</v>
      </c>
      <c r="O92" s="50">
        <v>4828944</v>
      </c>
      <c r="P92" s="48">
        <f t="shared" si="10"/>
        <v>6415993</v>
      </c>
    </row>
    <row r="93" spans="1:16" ht="15.95" customHeight="1" x14ac:dyDescent="0.25">
      <c r="A93" s="15" t="s">
        <v>150</v>
      </c>
      <c r="B93" s="8" t="s">
        <v>187</v>
      </c>
      <c r="C93" s="9">
        <v>23855</v>
      </c>
      <c r="D93" s="12">
        <v>11.98</v>
      </c>
      <c r="E93" s="12">
        <v>7.43</v>
      </c>
      <c r="F93" s="12">
        <v>6.3</v>
      </c>
      <c r="G93" s="12">
        <v>6.3</v>
      </c>
      <c r="H93" s="10">
        <v>0.49</v>
      </c>
      <c r="I93" s="13">
        <v>5653.3719000000001</v>
      </c>
      <c r="J93" s="13">
        <f t="shared" si="12"/>
        <v>3506.2231399833054</v>
      </c>
      <c r="K93" s="13">
        <f t="shared" si="12"/>
        <v>2972.9752061769614</v>
      </c>
      <c r="L93" s="49">
        <f>K93*G93/F93</f>
        <v>2972.9752061769614</v>
      </c>
      <c r="M93" s="10">
        <v>0.49</v>
      </c>
      <c r="N93" s="50">
        <v>1331619</v>
      </c>
      <c r="O93" s="50">
        <v>353586</v>
      </c>
      <c r="P93" s="48">
        <f t="shared" si="10"/>
        <v>978033</v>
      </c>
    </row>
    <row r="94" spans="1:16" ht="15.95" customHeight="1" x14ac:dyDescent="0.25">
      <c r="A94" s="20" t="s">
        <v>152</v>
      </c>
      <c r="B94" s="8" t="s">
        <v>189</v>
      </c>
      <c r="C94" s="9">
        <v>23857</v>
      </c>
      <c r="D94" s="12">
        <v>30.93</v>
      </c>
      <c r="E94" s="12">
        <v>30.93</v>
      </c>
      <c r="F94" s="12">
        <v>30.93</v>
      </c>
      <c r="G94" s="12">
        <v>30.93</v>
      </c>
      <c r="H94" s="10">
        <v>30.93</v>
      </c>
      <c r="I94" s="13">
        <v>16747.992979999999</v>
      </c>
      <c r="J94" s="13">
        <f t="shared" si="12"/>
        <v>16747.992979999999</v>
      </c>
      <c r="K94" s="13">
        <f t="shared" si="12"/>
        <v>16747.992979999999</v>
      </c>
      <c r="L94" s="49">
        <f>K94*G94/F94+3757.291</f>
        <v>20505.28398</v>
      </c>
      <c r="M94" s="10">
        <v>30.93</v>
      </c>
      <c r="N94" s="50">
        <v>27380366</v>
      </c>
      <c r="O94" s="50">
        <v>23885406</v>
      </c>
      <c r="P94" s="48">
        <f t="shared" si="10"/>
        <v>3494960</v>
      </c>
    </row>
    <row r="95" spans="1:16" ht="15.95" customHeight="1" x14ac:dyDescent="0.25">
      <c r="A95" s="15" t="s">
        <v>154</v>
      </c>
      <c r="B95" s="8" t="s">
        <v>191</v>
      </c>
      <c r="C95" s="9">
        <v>24417</v>
      </c>
      <c r="D95" s="12">
        <v>48.79</v>
      </c>
      <c r="E95" s="12">
        <v>35.79</v>
      </c>
      <c r="F95" s="12">
        <v>35.81</v>
      </c>
      <c r="G95" s="12">
        <v>33.229999999999997</v>
      </c>
      <c r="H95" s="10">
        <v>16.84</v>
      </c>
      <c r="I95" s="13">
        <v>26410.258999999998</v>
      </c>
      <c r="J95" s="13">
        <f t="shared" si="12"/>
        <v>19373.297184054107</v>
      </c>
      <c r="K95" s="13">
        <f t="shared" si="12"/>
        <v>19384.123279155563</v>
      </c>
      <c r="L95" s="49">
        <f t="shared" si="12"/>
        <v>17987.557011067838</v>
      </c>
      <c r="M95" s="10">
        <v>16.84</v>
      </c>
      <c r="N95" s="50">
        <v>25974928</v>
      </c>
      <c r="O95" s="50">
        <v>14225455</v>
      </c>
      <c r="P95" s="48">
        <f t="shared" si="10"/>
        <v>11749473</v>
      </c>
    </row>
    <row r="96" spans="1:16" ht="15.95" customHeight="1" x14ac:dyDescent="0.25">
      <c r="A96" s="15" t="s">
        <v>156</v>
      </c>
      <c r="B96" s="8" t="s">
        <v>193</v>
      </c>
      <c r="C96" s="9">
        <v>24426</v>
      </c>
      <c r="D96" s="12">
        <v>45.58</v>
      </c>
      <c r="E96" s="12">
        <v>45.58</v>
      </c>
      <c r="F96" s="12">
        <v>45.58</v>
      </c>
      <c r="G96" s="12">
        <v>45.58</v>
      </c>
      <c r="H96" s="10">
        <v>5.87</v>
      </c>
      <c r="I96" s="13">
        <v>17067.583460000002</v>
      </c>
      <c r="J96" s="13">
        <f t="shared" ref="J96:L100" si="13">I96*E96/D96</f>
        <v>17067.583460000002</v>
      </c>
      <c r="K96" s="13">
        <f t="shared" si="13"/>
        <v>17067.583460000002</v>
      </c>
      <c r="L96" s="49">
        <f t="shared" si="13"/>
        <v>17067.583460000002</v>
      </c>
      <c r="M96" s="10">
        <v>5.87</v>
      </c>
      <c r="N96" s="50">
        <v>4499034</v>
      </c>
      <c r="O96" s="50">
        <v>783272</v>
      </c>
      <c r="P96" s="48">
        <f t="shared" si="10"/>
        <v>3715762</v>
      </c>
    </row>
    <row r="97" spans="1:16" ht="15.95" customHeight="1" x14ac:dyDescent="0.25">
      <c r="A97" s="20" t="s">
        <v>158</v>
      </c>
      <c r="B97" s="8" t="s">
        <v>196</v>
      </c>
      <c r="C97" s="9" t="s">
        <v>197</v>
      </c>
      <c r="D97" s="12">
        <v>51.92</v>
      </c>
      <c r="E97" s="12">
        <v>48.08</v>
      </c>
      <c r="F97" s="12">
        <v>48.08</v>
      </c>
      <c r="G97" s="12">
        <v>43.42</v>
      </c>
      <c r="H97" s="10">
        <v>26.57</v>
      </c>
      <c r="I97" s="13">
        <v>45030.253380000002</v>
      </c>
      <c r="J97" s="13">
        <f t="shared" si="13"/>
        <v>41699.818615377502</v>
      </c>
      <c r="K97" s="13">
        <f t="shared" si="13"/>
        <v>41699.818615377502</v>
      </c>
      <c r="L97" s="49">
        <f t="shared" si="13"/>
        <v>37658.19726039291</v>
      </c>
      <c r="M97" s="10">
        <v>26.57</v>
      </c>
      <c r="N97" s="50">
        <v>23759121</v>
      </c>
      <c r="O97" s="50">
        <v>11422916</v>
      </c>
      <c r="P97" s="48">
        <f t="shared" si="10"/>
        <v>12336205</v>
      </c>
    </row>
    <row r="98" spans="1:16" ht="15.95" customHeight="1" x14ac:dyDescent="0.25">
      <c r="A98" s="15" t="s">
        <v>160</v>
      </c>
      <c r="B98" s="8" t="s">
        <v>199</v>
      </c>
      <c r="C98" s="9">
        <v>25040</v>
      </c>
      <c r="D98" s="12">
        <v>33.729999999999997</v>
      </c>
      <c r="E98" s="12">
        <v>28.64</v>
      </c>
      <c r="F98" s="12">
        <v>28.64</v>
      </c>
      <c r="G98" s="12">
        <v>28.64</v>
      </c>
      <c r="H98" s="10">
        <v>21.05</v>
      </c>
      <c r="I98" s="13">
        <v>5025</v>
      </c>
      <c r="J98" s="13">
        <f t="shared" si="13"/>
        <v>4266.706196264453</v>
      </c>
      <c r="K98" s="13">
        <f t="shared" si="13"/>
        <v>4266.706196264453</v>
      </c>
      <c r="L98" s="49">
        <f t="shared" si="13"/>
        <v>4266.706196264453</v>
      </c>
      <c r="M98" s="10">
        <v>21.05</v>
      </c>
      <c r="N98" s="50">
        <v>8417577</v>
      </c>
      <c r="O98" s="50">
        <v>4505023</v>
      </c>
      <c r="P98" s="48">
        <f t="shared" si="10"/>
        <v>3912554</v>
      </c>
    </row>
    <row r="99" spans="1:16" ht="15.95" customHeight="1" x14ac:dyDescent="0.25">
      <c r="A99" s="15" t="s">
        <v>162</v>
      </c>
      <c r="B99" s="8" t="s">
        <v>202</v>
      </c>
      <c r="C99" s="9">
        <v>25042</v>
      </c>
      <c r="D99" s="12">
        <v>31.23</v>
      </c>
      <c r="E99" s="12">
        <v>29.02</v>
      </c>
      <c r="F99" s="12">
        <v>29.02</v>
      </c>
      <c r="G99" s="12">
        <v>29.02</v>
      </c>
      <c r="H99" s="10">
        <v>20.329999999999998</v>
      </c>
      <c r="I99" s="13">
        <v>3187.71081</v>
      </c>
      <c r="J99" s="13">
        <f t="shared" si="13"/>
        <v>2962.1315307780983</v>
      </c>
      <c r="K99" s="13">
        <f t="shared" si="13"/>
        <v>2962.1315307780983</v>
      </c>
      <c r="L99" s="49">
        <f t="shared" si="13"/>
        <v>2962.1315307780983</v>
      </c>
      <c r="M99" s="10">
        <v>20.329999999999998</v>
      </c>
      <c r="N99" s="50">
        <v>4044728</v>
      </c>
      <c r="O99" s="50">
        <v>2521765</v>
      </c>
      <c r="P99" s="48">
        <f t="shared" si="10"/>
        <v>1522963</v>
      </c>
    </row>
    <row r="100" spans="1:16" ht="15.95" customHeight="1" x14ac:dyDescent="0.25">
      <c r="A100" s="20" t="s">
        <v>936</v>
      </c>
      <c r="B100" s="8" t="s">
        <v>205</v>
      </c>
      <c r="C100" s="9">
        <v>24018</v>
      </c>
      <c r="D100" s="12">
        <v>14.17</v>
      </c>
      <c r="E100" s="12">
        <v>14.17</v>
      </c>
      <c r="F100" s="12">
        <v>14.17</v>
      </c>
      <c r="G100" s="12">
        <v>14.17</v>
      </c>
      <c r="H100" s="10">
        <v>11.46</v>
      </c>
      <c r="I100" s="13">
        <v>890.66268000000002</v>
      </c>
      <c r="J100" s="13">
        <f t="shared" si="13"/>
        <v>890.66268000000002</v>
      </c>
      <c r="K100" s="13">
        <f t="shared" si="13"/>
        <v>890.66268000000002</v>
      </c>
      <c r="L100" s="49">
        <f t="shared" si="13"/>
        <v>890.66268000000002</v>
      </c>
      <c r="M100" s="10">
        <v>11.46</v>
      </c>
      <c r="N100" s="50">
        <v>1033072</v>
      </c>
      <c r="O100" s="50">
        <v>696082</v>
      </c>
      <c r="P100" s="48">
        <f t="shared" si="10"/>
        <v>336990</v>
      </c>
    </row>
    <row r="101" spans="1:16" ht="15.95" customHeight="1" x14ac:dyDescent="0.25">
      <c r="A101" s="15" t="s">
        <v>164</v>
      </c>
      <c r="B101" s="16" t="s">
        <v>987</v>
      </c>
      <c r="C101" s="17" t="s">
        <v>988</v>
      </c>
      <c r="D101" s="55"/>
      <c r="E101" s="55"/>
      <c r="F101" s="55"/>
      <c r="G101" s="55"/>
      <c r="H101" s="18">
        <v>4.41</v>
      </c>
      <c r="I101" s="56"/>
      <c r="J101" s="13"/>
      <c r="K101" s="13"/>
      <c r="L101" s="49"/>
      <c r="M101" s="18">
        <v>4.41</v>
      </c>
      <c r="N101" s="50">
        <v>542570822.47033906</v>
      </c>
      <c r="O101" s="50">
        <f>103945591-100000000</f>
        <v>3945591</v>
      </c>
      <c r="P101" s="48">
        <f t="shared" si="10"/>
        <v>538625231.47033906</v>
      </c>
    </row>
    <row r="102" spans="1:16" ht="15.95" customHeight="1" x14ac:dyDescent="0.25">
      <c r="A102" s="15" t="s">
        <v>166</v>
      </c>
      <c r="B102" s="16" t="s">
        <v>208</v>
      </c>
      <c r="C102" s="17">
        <v>24424</v>
      </c>
      <c r="D102" s="55">
        <v>43.47</v>
      </c>
      <c r="E102" s="55">
        <v>42.36</v>
      </c>
      <c r="F102" s="55">
        <v>55.86</v>
      </c>
      <c r="G102" s="55">
        <v>40.35</v>
      </c>
      <c r="H102" s="18">
        <v>1.94</v>
      </c>
      <c r="I102" s="56">
        <v>36430.643450000003</v>
      </c>
      <c r="J102" s="13">
        <f>I102*E102/D102-0.00001</f>
        <v>35500.392365017251</v>
      </c>
      <c r="K102" s="13">
        <f t="shared" ref="K102:K107" si="14">J102*F102/E102</f>
        <v>46814.256787296123</v>
      </c>
      <c r="L102" s="49">
        <f>K102*G102/F102+51.814+91.874</f>
        <v>33959.571662144626</v>
      </c>
      <c r="M102" s="18">
        <v>1.94</v>
      </c>
      <c r="N102" s="50">
        <v>2210247</v>
      </c>
      <c r="O102" s="50">
        <v>991662</v>
      </c>
      <c r="P102" s="48">
        <f t="shared" si="10"/>
        <v>1218585</v>
      </c>
    </row>
    <row r="103" spans="1:16" ht="15.95" customHeight="1" x14ac:dyDescent="0.25">
      <c r="A103" s="20" t="s">
        <v>167</v>
      </c>
      <c r="B103" s="8" t="s">
        <v>210</v>
      </c>
      <c r="C103" s="9">
        <v>24423</v>
      </c>
      <c r="D103" s="12">
        <v>31.34</v>
      </c>
      <c r="E103" s="12">
        <v>31.34</v>
      </c>
      <c r="F103" s="12">
        <v>31.34</v>
      </c>
      <c r="G103" s="12">
        <v>31.34</v>
      </c>
      <c r="H103" s="10">
        <v>3.93</v>
      </c>
      <c r="I103" s="13">
        <v>3597.7310000000002</v>
      </c>
      <c r="J103" s="13">
        <f>I103*E103/D103</f>
        <v>3597.7310000000002</v>
      </c>
      <c r="K103" s="13">
        <f t="shared" si="14"/>
        <v>3597.7310000000002</v>
      </c>
      <c r="L103" s="49">
        <f>K103*G103/F103</f>
        <v>3597.7310000000002</v>
      </c>
      <c r="M103" s="10">
        <v>3.93</v>
      </c>
      <c r="N103" s="50">
        <v>780939</v>
      </c>
      <c r="O103" s="50">
        <v>530780</v>
      </c>
      <c r="P103" s="48">
        <f t="shared" si="10"/>
        <v>250159</v>
      </c>
    </row>
    <row r="104" spans="1:16" ht="15.95" customHeight="1" x14ac:dyDescent="0.25">
      <c r="A104" s="15" t="s">
        <v>168</v>
      </c>
      <c r="B104" s="8" t="s">
        <v>212</v>
      </c>
      <c r="C104" s="9">
        <v>24422</v>
      </c>
      <c r="D104" s="12">
        <v>33.97</v>
      </c>
      <c r="E104" s="12">
        <v>31.93</v>
      </c>
      <c r="F104" s="12">
        <v>30.46</v>
      </c>
      <c r="G104" s="12">
        <v>24.61</v>
      </c>
      <c r="H104" s="10">
        <v>21.38</v>
      </c>
      <c r="I104" s="13">
        <v>4607.0110000000004</v>
      </c>
      <c r="J104" s="13">
        <f>I104*E104/D104</f>
        <v>4330.3462240211957</v>
      </c>
      <c r="K104" s="13">
        <f t="shared" si="14"/>
        <v>4130.9848413305872</v>
      </c>
      <c r="L104" s="49">
        <f>K104*G104/F104</f>
        <v>3337.6079102148965</v>
      </c>
      <c r="M104" s="10">
        <v>21.38</v>
      </c>
      <c r="N104" s="50">
        <v>20065656</v>
      </c>
      <c r="O104" s="50">
        <v>6155511</v>
      </c>
      <c r="P104" s="48">
        <f t="shared" si="10"/>
        <v>13910145</v>
      </c>
    </row>
    <row r="105" spans="1:16" ht="15.95" customHeight="1" x14ac:dyDescent="0.25">
      <c r="A105" s="15" t="s">
        <v>170</v>
      </c>
      <c r="B105" s="8" t="s">
        <v>214</v>
      </c>
      <c r="C105" s="9">
        <v>24421</v>
      </c>
      <c r="D105" s="12">
        <v>83.13</v>
      </c>
      <c r="E105" s="12">
        <v>83.13</v>
      </c>
      <c r="F105" s="12">
        <v>50.72</v>
      </c>
      <c r="G105" s="12">
        <v>50.72</v>
      </c>
      <c r="H105" s="10">
        <v>35.36</v>
      </c>
      <c r="I105" s="13">
        <v>45032.529000000002</v>
      </c>
      <c r="J105" s="13">
        <f>I105*E105/D105</f>
        <v>45032.529000000002</v>
      </c>
      <c r="K105" s="13">
        <f t="shared" si="14"/>
        <v>27475.63900974378</v>
      </c>
      <c r="L105" s="49">
        <f>K105*G105/F105+264.502</f>
        <v>27740.14100974378</v>
      </c>
      <c r="M105" s="10">
        <v>35.36</v>
      </c>
      <c r="N105" s="50">
        <v>36601619</v>
      </c>
      <c r="O105" s="50">
        <v>24064533</v>
      </c>
      <c r="P105" s="48">
        <f t="shared" si="10"/>
        <v>12537086</v>
      </c>
    </row>
    <row r="106" spans="1:16" ht="15.95" customHeight="1" x14ac:dyDescent="0.25">
      <c r="A106" s="20" t="s">
        <v>171</v>
      </c>
      <c r="B106" s="8" t="s">
        <v>216</v>
      </c>
      <c r="C106" s="9">
        <v>24471</v>
      </c>
      <c r="D106" s="12">
        <v>46.6</v>
      </c>
      <c r="E106" s="12">
        <v>41.8</v>
      </c>
      <c r="F106" s="12">
        <v>41.8</v>
      </c>
      <c r="G106" s="12">
        <v>41.8</v>
      </c>
      <c r="H106" s="10">
        <v>5.6</v>
      </c>
      <c r="I106" s="13">
        <v>9543.9</v>
      </c>
      <c r="J106" s="13">
        <f>I106*E106/D106</f>
        <v>8560.8373390557936</v>
      </c>
      <c r="K106" s="13">
        <f t="shared" si="14"/>
        <v>8560.8373390557936</v>
      </c>
      <c r="L106" s="49">
        <f>K106*G106/F106</f>
        <v>8560.8373390557936</v>
      </c>
      <c r="M106" s="10">
        <v>1.5</v>
      </c>
      <c r="N106" s="50">
        <v>795047</v>
      </c>
      <c r="O106" s="50">
        <v>556775</v>
      </c>
      <c r="P106" s="48">
        <f t="shared" si="10"/>
        <v>238272</v>
      </c>
    </row>
    <row r="107" spans="1:16" ht="15.95" customHeight="1" x14ac:dyDescent="0.25">
      <c r="A107" s="15" t="s">
        <v>173</v>
      </c>
      <c r="B107" s="8" t="s">
        <v>218</v>
      </c>
      <c r="C107" s="9">
        <v>24482</v>
      </c>
      <c r="D107" s="12">
        <v>26.3</v>
      </c>
      <c r="E107" s="12">
        <v>25.74</v>
      </c>
      <c r="F107" s="12">
        <v>25.74</v>
      </c>
      <c r="G107" s="12">
        <v>25.74</v>
      </c>
      <c r="H107" s="10">
        <v>25.74</v>
      </c>
      <c r="I107" s="13">
        <v>6005</v>
      </c>
      <c r="J107" s="13">
        <f>I107*E107/D107</f>
        <v>5877.1368821292772</v>
      </c>
      <c r="K107" s="13">
        <f t="shared" si="14"/>
        <v>5877.1368821292772</v>
      </c>
      <c r="L107" s="49">
        <f>K107*G107/F107</f>
        <v>5877.1368821292772</v>
      </c>
      <c r="M107" s="10">
        <v>25.74</v>
      </c>
      <c r="N107" s="50">
        <v>114117408</v>
      </c>
      <c r="O107" s="50">
        <v>20675879</v>
      </c>
      <c r="P107" s="48">
        <f t="shared" si="10"/>
        <v>93441529</v>
      </c>
    </row>
    <row r="108" spans="1:16" ht="15.95" customHeight="1" x14ac:dyDescent="0.25">
      <c r="A108" s="15" t="s">
        <v>175</v>
      </c>
      <c r="B108" s="8" t="s">
        <v>989</v>
      </c>
      <c r="C108" s="9" t="s">
        <v>990</v>
      </c>
      <c r="D108" s="12"/>
      <c r="E108" s="12"/>
      <c r="F108" s="12"/>
      <c r="G108" s="12"/>
      <c r="H108" s="10">
        <v>16.93</v>
      </c>
      <c r="I108" s="13"/>
      <c r="J108" s="13"/>
      <c r="K108" s="13"/>
      <c r="L108" s="49"/>
      <c r="M108" s="10">
        <v>16.93</v>
      </c>
      <c r="N108" s="50">
        <v>120570855</v>
      </c>
      <c r="O108" s="50">
        <v>22997813</v>
      </c>
      <c r="P108" s="48">
        <f t="shared" si="10"/>
        <v>97573042</v>
      </c>
    </row>
    <row r="109" spans="1:16" ht="15.95" customHeight="1" x14ac:dyDescent="0.25">
      <c r="A109" s="20" t="s">
        <v>177</v>
      </c>
      <c r="B109" s="8" t="s">
        <v>220</v>
      </c>
      <c r="C109" s="9">
        <v>23865</v>
      </c>
      <c r="D109" s="12">
        <v>30.15</v>
      </c>
      <c r="E109" s="12">
        <f>45.15-15</f>
        <v>30.15</v>
      </c>
      <c r="F109" s="12">
        <f>45.15-15</f>
        <v>30.15</v>
      </c>
      <c r="G109" s="12">
        <f>45.15-15</f>
        <v>30.15</v>
      </c>
      <c r="H109" s="10">
        <v>18.239999999999998</v>
      </c>
      <c r="I109" s="13">
        <v>7151.0190000000002</v>
      </c>
      <c r="J109" s="13">
        <f t="shared" ref="J109:L123" si="15">I109*E109/D109</f>
        <v>7151.0190000000002</v>
      </c>
      <c r="K109" s="13">
        <f t="shared" si="15"/>
        <v>7151.0190000000002</v>
      </c>
      <c r="L109" s="49">
        <f t="shared" si="15"/>
        <v>7151.0190000000002</v>
      </c>
      <c r="M109" s="10">
        <v>18.239999999999998</v>
      </c>
      <c r="N109" s="50">
        <v>8006252</v>
      </c>
      <c r="O109" s="50">
        <v>4979079</v>
      </c>
      <c r="P109" s="48">
        <f t="shared" si="10"/>
        <v>3027173</v>
      </c>
    </row>
    <row r="110" spans="1:16" ht="15.95" customHeight="1" x14ac:dyDescent="0.25">
      <c r="A110" s="15" t="s">
        <v>179</v>
      </c>
      <c r="B110" s="8" t="s">
        <v>222</v>
      </c>
      <c r="C110" s="9">
        <v>23864</v>
      </c>
      <c r="D110" s="12">
        <v>13.97</v>
      </c>
      <c r="E110" s="12">
        <f>21.59-9.82</f>
        <v>11.77</v>
      </c>
      <c r="F110" s="12">
        <f>21.59-9.82</f>
        <v>11.77</v>
      </c>
      <c r="G110" s="12">
        <f>21.59-9.82</f>
        <v>11.77</v>
      </c>
      <c r="H110" s="10">
        <v>3.78</v>
      </c>
      <c r="I110" s="13">
        <v>1960.97731</v>
      </c>
      <c r="J110" s="13">
        <f t="shared" si="15"/>
        <v>1652.161985590551</v>
      </c>
      <c r="K110" s="13">
        <f t="shared" si="15"/>
        <v>1652.161985590551</v>
      </c>
      <c r="L110" s="49">
        <f t="shared" si="15"/>
        <v>1652.161985590551</v>
      </c>
      <c r="M110" s="10">
        <v>3.78</v>
      </c>
      <c r="N110" s="50">
        <v>4387994</v>
      </c>
      <c r="O110" s="50">
        <v>1356501</v>
      </c>
      <c r="P110" s="48">
        <f t="shared" si="10"/>
        <v>3031493</v>
      </c>
    </row>
    <row r="111" spans="1:16" ht="15.95" customHeight="1" x14ac:dyDescent="0.25">
      <c r="A111" s="15" t="s">
        <v>181</v>
      </c>
      <c r="B111" s="16" t="s">
        <v>224</v>
      </c>
      <c r="C111" s="17">
        <v>24159</v>
      </c>
      <c r="D111" s="55">
        <v>29.82</v>
      </c>
      <c r="E111" s="55">
        <v>29.82</v>
      </c>
      <c r="F111" s="55">
        <v>29.41</v>
      </c>
      <c r="G111" s="55">
        <v>29.41</v>
      </c>
      <c r="H111" s="18">
        <v>16.82</v>
      </c>
      <c r="I111" s="56">
        <v>8837.0455299999994</v>
      </c>
      <c r="J111" s="13">
        <f t="shared" si="15"/>
        <v>8837.0455299999994</v>
      </c>
      <c r="K111" s="13">
        <f t="shared" si="15"/>
        <v>8715.5435626190465</v>
      </c>
      <c r="L111" s="49">
        <f t="shared" si="15"/>
        <v>8715.5435626190465</v>
      </c>
      <c r="M111" s="18">
        <v>16.11</v>
      </c>
      <c r="N111" s="50">
        <v>11318106</v>
      </c>
      <c r="O111" s="50">
        <v>7105243</v>
      </c>
      <c r="P111" s="48">
        <f t="shared" si="10"/>
        <v>4212863</v>
      </c>
    </row>
    <row r="112" spans="1:16" ht="15.95" customHeight="1" x14ac:dyDescent="0.25">
      <c r="A112" s="20" t="s">
        <v>183</v>
      </c>
      <c r="B112" s="8" t="s">
        <v>226</v>
      </c>
      <c r="C112" s="9" t="s">
        <v>227</v>
      </c>
      <c r="D112" s="12">
        <v>100</v>
      </c>
      <c r="E112" s="12">
        <v>96.59</v>
      </c>
      <c r="F112" s="12">
        <v>30.05</v>
      </c>
      <c r="G112" s="12">
        <v>30.05</v>
      </c>
      <c r="H112" s="10">
        <v>5.71</v>
      </c>
      <c r="I112" s="13">
        <v>16387.055</v>
      </c>
      <c r="J112" s="13">
        <f t="shared" si="15"/>
        <v>15828.256424500001</v>
      </c>
      <c r="K112" s="13">
        <f t="shared" si="15"/>
        <v>4924.3100275000006</v>
      </c>
      <c r="L112" s="49">
        <f t="shared" si="15"/>
        <v>4924.3100275000006</v>
      </c>
      <c r="M112" s="10">
        <v>5.71</v>
      </c>
      <c r="N112" s="50">
        <v>2442141</v>
      </c>
      <c r="O112" s="50">
        <v>1616042</v>
      </c>
      <c r="P112" s="48">
        <f t="shared" si="10"/>
        <v>826099</v>
      </c>
    </row>
    <row r="113" spans="1:16" ht="15.95" customHeight="1" x14ac:dyDescent="0.25">
      <c r="A113" s="15" t="s">
        <v>184</v>
      </c>
      <c r="B113" s="8" t="s">
        <v>229</v>
      </c>
      <c r="C113" s="9">
        <v>24462</v>
      </c>
      <c r="D113" s="12">
        <v>32.89</v>
      </c>
      <c r="E113" s="12">
        <v>26.34</v>
      </c>
      <c r="F113" s="12">
        <v>26.34</v>
      </c>
      <c r="G113" s="12">
        <v>26.34</v>
      </c>
      <c r="H113" s="10">
        <v>17.170000000000002</v>
      </c>
      <c r="I113" s="13">
        <v>4481.2014099999997</v>
      </c>
      <c r="J113" s="13">
        <f t="shared" si="15"/>
        <v>3588.7760759927023</v>
      </c>
      <c r="K113" s="13">
        <f t="shared" si="15"/>
        <v>3588.7760759927023</v>
      </c>
      <c r="L113" s="49">
        <f>K113*G113/F113+62.004</f>
        <v>3650.7800759927022</v>
      </c>
      <c r="M113" s="10">
        <v>17.170000000000002</v>
      </c>
      <c r="N113" s="50">
        <v>15916963</v>
      </c>
      <c r="O113" s="50">
        <v>5945526</v>
      </c>
      <c r="P113" s="48">
        <f t="shared" si="10"/>
        <v>9971437</v>
      </c>
    </row>
    <row r="114" spans="1:16" ht="15.95" customHeight="1" x14ac:dyDescent="0.25">
      <c r="A114" s="15" t="s">
        <v>186</v>
      </c>
      <c r="B114" s="8" t="s">
        <v>231</v>
      </c>
      <c r="C114" s="9">
        <v>24459</v>
      </c>
      <c r="D114" s="12">
        <v>2.2400000000000002</v>
      </c>
      <c r="E114" s="12">
        <f>48.93-46.69</f>
        <v>2.240000000000002</v>
      </c>
      <c r="F114" s="12">
        <v>0.99</v>
      </c>
      <c r="G114" s="12">
        <f>47.68-46.69</f>
        <v>0.99000000000000199</v>
      </c>
      <c r="H114" s="10">
        <v>46.76</v>
      </c>
      <c r="I114" s="13">
        <v>9268.9179999999997</v>
      </c>
      <c r="J114" s="13">
        <f t="shared" si="15"/>
        <v>9268.9180000000069</v>
      </c>
      <c r="K114" s="13">
        <f t="shared" si="15"/>
        <v>4096.530723214285</v>
      </c>
      <c r="L114" s="49">
        <f>K114*G114/F114</f>
        <v>4096.5307232142932</v>
      </c>
      <c r="M114" s="10">
        <v>46.76</v>
      </c>
      <c r="N114" s="50">
        <v>7108223</v>
      </c>
      <c r="O114" s="50">
        <v>1369229</v>
      </c>
      <c r="P114" s="48">
        <f t="shared" si="10"/>
        <v>5738994</v>
      </c>
    </row>
    <row r="115" spans="1:16" ht="15.95" customHeight="1" x14ac:dyDescent="0.25">
      <c r="A115" s="20" t="s">
        <v>188</v>
      </c>
      <c r="B115" s="8" t="s">
        <v>233</v>
      </c>
      <c r="C115" s="9">
        <v>24926</v>
      </c>
      <c r="D115" s="12">
        <v>38.49</v>
      </c>
      <c r="E115" s="12">
        <v>38.49</v>
      </c>
      <c r="F115" s="12">
        <v>38.49</v>
      </c>
      <c r="G115" s="12">
        <v>38.49</v>
      </c>
      <c r="H115" s="10">
        <v>31.84</v>
      </c>
      <c r="I115" s="13">
        <v>10817</v>
      </c>
      <c r="J115" s="13">
        <f t="shared" si="15"/>
        <v>10817</v>
      </c>
      <c r="K115" s="13">
        <f t="shared" si="15"/>
        <v>10817</v>
      </c>
      <c r="L115" s="49">
        <f>K115*G115/F115</f>
        <v>10817</v>
      </c>
      <c r="M115" s="10">
        <v>31.84</v>
      </c>
      <c r="N115" s="50">
        <v>12794759</v>
      </c>
      <c r="O115" s="50">
        <v>11237494</v>
      </c>
      <c r="P115" s="48">
        <f t="shared" si="10"/>
        <v>1557265</v>
      </c>
    </row>
    <row r="116" spans="1:16" ht="15.95" customHeight="1" x14ac:dyDescent="0.25">
      <c r="A116" s="15" t="s">
        <v>190</v>
      </c>
      <c r="B116" s="8" t="s">
        <v>235</v>
      </c>
      <c r="C116" s="9">
        <v>24920</v>
      </c>
      <c r="D116" s="12">
        <v>24.68</v>
      </c>
      <c r="E116" s="12">
        <v>24.68</v>
      </c>
      <c r="F116" s="12">
        <v>24.68</v>
      </c>
      <c r="G116" s="12">
        <v>24.68</v>
      </c>
      <c r="H116" s="10">
        <v>24.64</v>
      </c>
      <c r="I116" s="13">
        <v>3980</v>
      </c>
      <c r="J116" s="13">
        <f t="shared" si="15"/>
        <v>3980</v>
      </c>
      <c r="K116" s="13">
        <f>J116*F116/E116+561.776</f>
        <v>4541.7759999999998</v>
      </c>
      <c r="L116" s="49">
        <f>K116*G116/F116+3.492</f>
        <v>4545.268</v>
      </c>
      <c r="M116" s="10">
        <v>24.64</v>
      </c>
      <c r="N116" s="50">
        <v>5837988</v>
      </c>
      <c r="O116" s="50">
        <v>5191541</v>
      </c>
      <c r="P116" s="48">
        <f t="shared" si="10"/>
        <v>646447</v>
      </c>
    </row>
    <row r="117" spans="1:16" ht="15.95" customHeight="1" x14ac:dyDescent="0.25">
      <c r="A117" s="15" t="s">
        <v>192</v>
      </c>
      <c r="B117" s="8" t="s">
        <v>237</v>
      </c>
      <c r="C117" s="9">
        <v>24925</v>
      </c>
      <c r="D117" s="12">
        <v>17.66</v>
      </c>
      <c r="E117" s="12">
        <v>17.66</v>
      </c>
      <c r="F117" s="12">
        <v>17.66</v>
      </c>
      <c r="G117" s="12">
        <v>17.66</v>
      </c>
      <c r="H117" s="10">
        <v>3.17</v>
      </c>
      <c r="I117" s="13">
        <v>327.05466999999999</v>
      </c>
      <c r="J117" s="13">
        <f t="shared" si="15"/>
        <v>327.05466999999999</v>
      </c>
      <c r="K117" s="13">
        <f>J117*F117/E117</f>
        <v>327.05466999999999</v>
      </c>
      <c r="L117" s="49">
        <f>K117*G117/F117</f>
        <v>327.05466999999999</v>
      </c>
      <c r="M117" s="10">
        <v>3.17</v>
      </c>
      <c r="N117" s="50">
        <v>498391</v>
      </c>
      <c r="O117" s="50">
        <v>157132</v>
      </c>
      <c r="P117" s="48">
        <f t="shared" si="10"/>
        <v>341259</v>
      </c>
    </row>
    <row r="118" spans="1:16" ht="15.95" customHeight="1" x14ac:dyDescent="0.25">
      <c r="A118" s="20" t="s">
        <v>194</v>
      </c>
      <c r="B118" s="8" t="s">
        <v>239</v>
      </c>
      <c r="C118" s="9">
        <v>24921</v>
      </c>
      <c r="D118" s="12">
        <v>19.14</v>
      </c>
      <c r="E118" s="12">
        <v>14.83</v>
      </c>
      <c r="F118" s="12">
        <v>12.55</v>
      </c>
      <c r="G118" s="12">
        <v>12.55</v>
      </c>
      <c r="H118" s="10">
        <v>2</v>
      </c>
      <c r="I118" s="13">
        <v>2899</v>
      </c>
      <c r="J118" s="13">
        <f t="shared" si="15"/>
        <v>2246.1948798328108</v>
      </c>
      <c r="K118" s="13">
        <f>J118*F118/E118+99.516</f>
        <v>2000.3754566353189</v>
      </c>
      <c r="L118" s="49">
        <f>K118*G118/F118+178.21</f>
        <v>2178.5854566353187</v>
      </c>
      <c r="M118" s="10">
        <v>2</v>
      </c>
      <c r="N118" s="50">
        <v>211850.136239782</v>
      </c>
      <c r="O118" s="50">
        <v>182219</v>
      </c>
      <c r="P118" s="48">
        <f t="shared" si="10"/>
        <v>29631.136239782005</v>
      </c>
    </row>
    <row r="119" spans="1:16" ht="15.95" customHeight="1" x14ac:dyDescent="0.25">
      <c r="A119" s="15" t="s">
        <v>195</v>
      </c>
      <c r="B119" s="8" t="s">
        <v>1056</v>
      </c>
      <c r="C119" s="9">
        <v>24924</v>
      </c>
      <c r="D119" s="12">
        <v>17.79</v>
      </c>
      <c r="E119" s="12">
        <v>17.79</v>
      </c>
      <c r="F119" s="12">
        <v>17.79</v>
      </c>
      <c r="G119" s="12">
        <v>17.79</v>
      </c>
      <c r="H119" s="10">
        <v>16.22</v>
      </c>
      <c r="I119" s="13">
        <v>11664.288</v>
      </c>
      <c r="J119" s="13">
        <f t="shared" si="15"/>
        <v>11664.288</v>
      </c>
      <c r="K119" s="13">
        <f>J119*F119/E119+495.217+495.217</f>
        <v>12654.722000000002</v>
      </c>
      <c r="L119" s="49">
        <f>12654.722+745.87</f>
        <v>13400.592000000001</v>
      </c>
      <c r="M119" s="10">
        <v>16.22</v>
      </c>
      <c r="N119" s="50">
        <v>27722558</v>
      </c>
      <c r="O119" s="50">
        <v>9631784</v>
      </c>
      <c r="P119" s="48">
        <f t="shared" si="10"/>
        <v>18090774</v>
      </c>
    </row>
    <row r="120" spans="1:16" ht="15.95" customHeight="1" x14ac:dyDescent="0.25">
      <c r="A120" s="15" t="s">
        <v>198</v>
      </c>
      <c r="B120" s="8" t="s">
        <v>242</v>
      </c>
      <c r="C120" s="9">
        <v>24922</v>
      </c>
      <c r="D120" s="12">
        <v>11.05</v>
      </c>
      <c r="E120" s="12">
        <v>11.05</v>
      </c>
      <c r="F120" s="12">
        <v>11.05</v>
      </c>
      <c r="G120" s="12">
        <v>10.64</v>
      </c>
      <c r="H120" s="10">
        <v>4.51</v>
      </c>
      <c r="I120" s="13">
        <v>2291.5236599999998</v>
      </c>
      <c r="J120" s="13">
        <f t="shared" si="15"/>
        <v>2291.5236599999998</v>
      </c>
      <c r="K120" s="13">
        <f t="shared" si="15"/>
        <v>2291.5236599999998</v>
      </c>
      <c r="L120" s="49">
        <f t="shared" si="15"/>
        <v>2206.4988002171945</v>
      </c>
      <c r="M120" s="10">
        <v>4.51</v>
      </c>
      <c r="N120" s="50">
        <v>6664266</v>
      </c>
      <c r="O120" s="50">
        <v>1158196</v>
      </c>
      <c r="P120" s="48">
        <f t="shared" si="10"/>
        <v>5506070</v>
      </c>
    </row>
    <row r="121" spans="1:16" ht="15.95" customHeight="1" x14ac:dyDescent="0.25">
      <c r="A121" s="20" t="s">
        <v>200</v>
      </c>
      <c r="B121" s="8" t="s">
        <v>244</v>
      </c>
      <c r="C121" s="9">
        <v>24923</v>
      </c>
      <c r="D121" s="12">
        <v>28.9</v>
      </c>
      <c r="E121" s="12">
        <v>23.46</v>
      </c>
      <c r="F121" s="12">
        <v>23.46</v>
      </c>
      <c r="G121" s="12">
        <v>21.65</v>
      </c>
      <c r="H121" s="10">
        <v>10.130000000000001</v>
      </c>
      <c r="I121" s="13">
        <v>6287.7209999999995</v>
      </c>
      <c r="J121" s="13">
        <f t="shared" si="15"/>
        <v>5104.1499882352946</v>
      </c>
      <c r="K121" s="13">
        <f t="shared" si="15"/>
        <v>5104.1499882352946</v>
      </c>
      <c r="L121" s="49">
        <f t="shared" si="15"/>
        <v>4710.3515449826991</v>
      </c>
      <c r="M121" s="10">
        <v>10.130000000000001</v>
      </c>
      <c r="N121" s="50">
        <v>3721293</v>
      </c>
      <c r="O121" s="50">
        <v>2274126</v>
      </c>
      <c r="P121" s="48">
        <f t="shared" si="10"/>
        <v>1447167</v>
      </c>
    </row>
    <row r="122" spans="1:16" ht="15.95" customHeight="1" x14ac:dyDescent="0.25">
      <c r="A122" s="15" t="s">
        <v>201</v>
      </c>
      <c r="B122" s="8" t="s">
        <v>246</v>
      </c>
      <c r="C122" s="9">
        <v>24964</v>
      </c>
      <c r="D122" s="12">
        <v>17.52</v>
      </c>
      <c r="E122" s="12">
        <v>17.52</v>
      </c>
      <c r="F122" s="12">
        <v>8.82</v>
      </c>
      <c r="G122" s="12">
        <v>8.82</v>
      </c>
      <c r="H122" s="10">
        <v>5.72</v>
      </c>
      <c r="I122" s="13">
        <v>4519</v>
      </c>
      <c r="J122" s="13">
        <f t="shared" si="15"/>
        <v>4519</v>
      </c>
      <c r="K122" s="13">
        <f t="shared" si="15"/>
        <v>2274.9760273972606</v>
      </c>
      <c r="L122" s="49">
        <f t="shared" si="15"/>
        <v>2274.9760273972606</v>
      </c>
      <c r="M122" s="10">
        <v>4.79</v>
      </c>
      <c r="N122" s="50">
        <v>3816345</v>
      </c>
      <c r="O122" s="50">
        <v>1634199</v>
      </c>
      <c r="P122" s="48">
        <f t="shared" si="10"/>
        <v>2182146</v>
      </c>
    </row>
    <row r="123" spans="1:16" ht="15.95" customHeight="1" x14ac:dyDescent="0.25">
      <c r="A123" s="15" t="s">
        <v>203</v>
      </c>
      <c r="B123" s="8" t="s">
        <v>249</v>
      </c>
      <c r="C123" s="9">
        <v>24963</v>
      </c>
      <c r="D123" s="12">
        <v>4.53</v>
      </c>
      <c r="E123" s="12">
        <v>2.11</v>
      </c>
      <c r="F123" s="12">
        <v>1.33</v>
      </c>
      <c r="G123" s="12">
        <v>1.33</v>
      </c>
      <c r="H123" s="10">
        <v>1.33</v>
      </c>
      <c r="I123" s="13">
        <v>653</v>
      </c>
      <c r="J123" s="13">
        <f t="shared" si="15"/>
        <v>304.15673289183218</v>
      </c>
      <c r="K123" s="13">
        <f>J123*F123/E123+11.099</f>
        <v>202.81864679911698</v>
      </c>
      <c r="L123" s="49">
        <f>K123*G123/F123</f>
        <v>202.81864679911698</v>
      </c>
      <c r="M123" s="10">
        <v>1.33</v>
      </c>
      <c r="N123" s="50">
        <v>283282</v>
      </c>
      <c r="O123" s="50">
        <v>202673</v>
      </c>
      <c r="P123" s="48">
        <f t="shared" si="10"/>
        <v>80609</v>
      </c>
    </row>
    <row r="124" spans="1:16" ht="15.95" customHeight="1" x14ac:dyDescent="0.25">
      <c r="A124" s="20" t="s">
        <v>204</v>
      </c>
      <c r="B124" s="8" t="s">
        <v>1019</v>
      </c>
      <c r="C124" s="9" t="s">
        <v>1018</v>
      </c>
      <c r="D124" s="12"/>
      <c r="E124" s="12"/>
      <c r="F124" s="12"/>
      <c r="G124" s="12"/>
      <c r="H124" s="14">
        <v>10.52</v>
      </c>
      <c r="I124" s="13"/>
      <c r="J124" s="13"/>
      <c r="K124" s="13"/>
      <c r="L124" s="49"/>
      <c r="M124" s="14">
        <v>10.52</v>
      </c>
      <c r="N124" s="50">
        <v>238369</v>
      </c>
      <c r="O124" s="50">
        <v>30225</v>
      </c>
      <c r="P124" s="48">
        <f t="shared" si="10"/>
        <v>208144</v>
      </c>
    </row>
    <row r="125" spans="1:16" ht="15.95" customHeight="1" x14ac:dyDescent="0.25">
      <c r="A125" s="15" t="s">
        <v>206</v>
      </c>
      <c r="B125" s="8" t="s">
        <v>253</v>
      </c>
      <c r="C125" s="9">
        <v>24995</v>
      </c>
      <c r="D125" s="12">
        <v>10.4</v>
      </c>
      <c r="E125" s="12">
        <v>7.59</v>
      </c>
      <c r="F125" s="12">
        <v>7.59</v>
      </c>
      <c r="G125" s="12">
        <v>7.59</v>
      </c>
      <c r="H125" s="10">
        <v>4.6399999999999997</v>
      </c>
      <c r="I125" s="13">
        <v>9030.2438999999995</v>
      </c>
      <c r="J125" s="13">
        <f t="shared" ref="J125:L130" si="16">I125*E125/D125</f>
        <v>6590.3414616346145</v>
      </c>
      <c r="K125" s="13">
        <f>J125*F125/E125+18.216</f>
        <v>6608.5574616346148</v>
      </c>
      <c r="L125" s="49">
        <f>K125*G125/F125+21.252+60.587</f>
        <v>6690.3964616346157</v>
      </c>
      <c r="M125" s="10">
        <v>4.6399999999999997</v>
      </c>
      <c r="N125" s="50">
        <v>4579239</v>
      </c>
      <c r="O125" s="50">
        <v>2192252</v>
      </c>
      <c r="P125" s="48">
        <f t="shared" si="10"/>
        <v>2386987</v>
      </c>
    </row>
    <row r="126" spans="1:16" ht="15.95" customHeight="1" x14ac:dyDescent="0.25">
      <c r="A126" s="15" t="s">
        <v>207</v>
      </c>
      <c r="B126" s="8" t="s">
        <v>256</v>
      </c>
      <c r="C126" s="9">
        <v>24994</v>
      </c>
      <c r="D126" s="12">
        <v>7.4</v>
      </c>
      <c r="E126" s="12">
        <v>4.2</v>
      </c>
      <c r="F126" s="12">
        <v>4.2</v>
      </c>
      <c r="G126" s="12">
        <f>9.1-4.9</f>
        <v>4.1999999999999993</v>
      </c>
      <c r="H126" s="10">
        <v>1</v>
      </c>
      <c r="I126" s="13">
        <v>783.05499999999995</v>
      </c>
      <c r="J126" s="13">
        <f t="shared" si="16"/>
        <v>444.43662162162161</v>
      </c>
      <c r="K126" s="13">
        <f t="shared" si="16"/>
        <v>444.43662162162161</v>
      </c>
      <c r="L126" s="49">
        <f t="shared" si="16"/>
        <v>444.4366216216215</v>
      </c>
      <c r="M126" s="10">
        <v>1</v>
      </c>
      <c r="N126" s="50">
        <v>297574.25742574257</v>
      </c>
      <c r="O126" s="50">
        <v>161122</v>
      </c>
      <c r="P126" s="48">
        <f t="shared" si="10"/>
        <v>136452.25742574257</v>
      </c>
    </row>
    <row r="127" spans="1:16" ht="15.95" customHeight="1" x14ac:dyDescent="0.25">
      <c r="A127" s="20" t="s">
        <v>209</v>
      </c>
      <c r="B127" s="8" t="s">
        <v>258</v>
      </c>
      <c r="C127" s="9">
        <v>24993</v>
      </c>
      <c r="D127" s="12">
        <v>27.03</v>
      </c>
      <c r="E127" s="12">
        <v>20.32</v>
      </c>
      <c r="F127" s="12">
        <v>19.72</v>
      </c>
      <c r="G127" s="12">
        <v>19.72</v>
      </c>
      <c r="H127" s="10">
        <v>16.59</v>
      </c>
      <c r="I127" s="13">
        <v>13923</v>
      </c>
      <c r="J127" s="13">
        <f t="shared" si="16"/>
        <v>10466.716981132075</v>
      </c>
      <c r="K127" s="13">
        <f t="shared" si="16"/>
        <v>10157.660377358488</v>
      </c>
      <c r="L127" s="49">
        <f t="shared" si="16"/>
        <v>10157.660377358488</v>
      </c>
      <c r="M127" s="10">
        <v>16.59</v>
      </c>
      <c r="N127" s="50">
        <v>9095195</v>
      </c>
      <c r="O127" s="50">
        <v>4262073</v>
      </c>
      <c r="P127" s="48">
        <f t="shared" si="10"/>
        <v>4833122</v>
      </c>
    </row>
    <row r="128" spans="1:16" ht="15.95" customHeight="1" x14ac:dyDescent="0.25">
      <c r="A128" s="15" t="s">
        <v>211</v>
      </c>
      <c r="B128" s="8" t="s">
        <v>260</v>
      </c>
      <c r="C128" s="9">
        <v>25010</v>
      </c>
      <c r="D128" s="12">
        <v>17.47</v>
      </c>
      <c r="E128" s="12">
        <f>18.19-1.65</f>
        <v>16.540000000000003</v>
      </c>
      <c r="F128" s="12">
        <v>15.98</v>
      </c>
      <c r="G128" s="12">
        <f>17.63-1.65</f>
        <v>15.979999999999999</v>
      </c>
      <c r="H128" s="10">
        <v>7.1</v>
      </c>
      <c r="I128" s="13">
        <v>12848</v>
      </c>
      <c r="J128" s="13">
        <f t="shared" si="16"/>
        <v>12164.048082427022</v>
      </c>
      <c r="K128" s="13">
        <f t="shared" si="16"/>
        <v>11752.206067544364</v>
      </c>
      <c r="L128" s="49">
        <f t="shared" si="16"/>
        <v>11752.206067544364</v>
      </c>
      <c r="M128" s="10">
        <v>7.1</v>
      </c>
      <c r="N128" s="50">
        <v>6710982</v>
      </c>
      <c r="O128" s="50">
        <v>4886149</v>
      </c>
      <c r="P128" s="48">
        <f t="shared" si="10"/>
        <v>1824833</v>
      </c>
    </row>
    <row r="129" spans="1:16" ht="15.95" customHeight="1" x14ac:dyDescent="0.25">
      <c r="A129" s="15" t="s">
        <v>213</v>
      </c>
      <c r="B129" s="8" t="s">
        <v>262</v>
      </c>
      <c r="C129" s="9">
        <v>25011</v>
      </c>
      <c r="D129" s="12">
        <v>28.02</v>
      </c>
      <c r="E129" s="12">
        <v>28.02</v>
      </c>
      <c r="F129" s="12">
        <v>27.28</v>
      </c>
      <c r="G129" s="12">
        <v>27.28</v>
      </c>
      <c r="H129" s="10">
        <v>13.1</v>
      </c>
      <c r="I129" s="13">
        <v>6404.0668100000003</v>
      </c>
      <c r="J129" s="13">
        <f t="shared" si="16"/>
        <v>6404.0668100000003</v>
      </c>
      <c r="K129" s="13">
        <f t="shared" si="16"/>
        <v>6234.9372796859388</v>
      </c>
      <c r="L129" s="49">
        <f t="shared" si="16"/>
        <v>6234.9372796859388</v>
      </c>
      <c r="M129" s="10">
        <v>13.1</v>
      </c>
      <c r="N129" s="50">
        <v>4685534</v>
      </c>
      <c r="O129" s="50">
        <v>3801030</v>
      </c>
      <c r="P129" s="48">
        <f t="shared" si="10"/>
        <v>884504</v>
      </c>
    </row>
    <row r="130" spans="1:16" ht="15.95" customHeight="1" x14ac:dyDescent="0.25">
      <c r="A130" s="20" t="s">
        <v>215</v>
      </c>
      <c r="B130" s="8" t="s">
        <v>263</v>
      </c>
      <c r="C130" s="9">
        <v>24365</v>
      </c>
      <c r="D130" s="12">
        <v>15.5</v>
      </c>
      <c r="E130" s="12">
        <v>15.5</v>
      </c>
      <c r="F130" s="12">
        <v>15.5</v>
      </c>
      <c r="G130" s="12">
        <v>15.5</v>
      </c>
      <c r="H130" s="10">
        <v>0.94</v>
      </c>
      <c r="I130" s="13">
        <v>1535</v>
      </c>
      <c r="J130" s="13">
        <f t="shared" si="16"/>
        <v>1535</v>
      </c>
      <c r="K130" s="13">
        <f>J130*F130/E130</f>
        <v>1535</v>
      </c>
      <c r="L130" s="49">
        <f>K130*G130/F130+191.774</f>
        <v>1726.7739999999999</v>
      </c>
      <c r="M130" s="10">
        <v>0.94</v>
      </c>
      <c r="N130" s="50">
        <v>201898</v>
      </c>
      <c r="O130" s="50">
        <v>195345</v>
      </c>
      <c r="P130" s="48">
        <f t="shared" ref="P130:P186" si="17">N130-O130</f>
        <v>6553</v>
      </c>
    </row>
    <row r="131" spans="1:16" ht="15.95" customHeight="1" x14ac:dyDescent="0.25">
      <c r="A131" s="15" t="s">
        <v>217</v>
      </c>
      <c r="B131" s="8" t="s">
        <v>922</v>
      </c>
      <c r="C131" s="9" t="s">
        <v>923</v>
      </c>
      <c r="D131" s="12">
        <v>0</v>
      </c>
      <c r="E131" s="12">
        <v>97.98</v>
      </c>
      <c r="F131" s="12">
        <v>24.79</v>
      </c>
      <c r="G131" s="12">
        <v>18.25</v>
      </c>
      <c r="H131" s="10">
        <v>5.17</v>
      </c>
      <c r="I131" s="13">
        <v>0</v>
      </c>
      <c r="J131" s="13">
        <v>25345</v>
      </c>
      <c r="K131" s="13">
        <f>J131*F131/E131</f>
        <v>6412.5591957542347</v>
      </c>
      <c r="L131" s="49">
        <f>K131*G131/F131</f>
        <v>4720.8231271688092</v>
      </c>
      <c r="M131" s="10">
        <v>5.17</v>
      </c>
      <c r="N131" s="50">
        <v>3465557</v>
      </c>
      <c r="O131" s="50">
        <v>2158366</v>
      </c>
      <c r="P131" s="48">
        <f t="shared" si="17"/>
        <v>1307191</v>
      </c>
    </row>
    <row r="132" spans="1:16" ht="15.95" customHeight="1" x14ac:dyDescent="0.25">
      <c r="A132" s="15" t="s">
        <v>219</v>
      </c>
      <c r="B132" s="8" t="s">
        <v>266</v>
      </c>
      <c r="C132" s="9">
        <v>23998</v>
      </c>
      <c r="D132" s="12">
        <v>52.23</v>
      </c>
      <c r="E132" s="12">
        <v>42.12</v>
      </c>
      <c r="F132" s="12">
        <v>41.58</v>
      </c>
      <c r="G132" s="12">
        <v>40.68</v>
      </c>
      <c r="H132" s="10">
        <v>12.34</v>
      </c>
      <c r="I132" s="13">
        <v>42324.84431</v>
      </c>
      <c r="J132" s="13">
        <f>I132*E132/D132-0.00001</f>
        <v>34132.154735112003</v>
      </c>
      <c r="K132" s="13">
        <f>J132*F132/E132+3973.476+2089.395</f>
        <v>39757.434007738768</v>
      </c>
      <c r="L132" s="49">
        <f>K132*G132/F132+2306.563</f>
        <v>41203.446488090747</v>
      </c>
      <c r="M132" s="10">
        <v>12.34</v>
      </c>
      <c r="N132" s="50">
        <v>24000869</v>
      </c>
      <c r="O132" s="50">
        <v>23593260</v>
      </c>
      <c r="P132" s="48">
        <f t="shared" si="17"/>
        <v>407609</v>
      </c>
    </row>
    <row r="133" spans="1:16" ht="15.95" customHeight="1" x14ac:dyDescent="0.25">
      <c r="A133" s="20" t="s">
        <v>221</v>
      </c>
      <c r="B133" s="8" t="s">
        <v>269</v>
      </c>
      <c r="C133" s="9">
        <v>24005</v>
      </c>
      <c r="D133" s="12">
        <v>19.78</v>
      </c>
      <c r="E133" s="12">
        <v>19.78</v>
      </c>
      <c r="F133" s="12">
        <v>19.399999999999999</v>
      </c>
      <c r="G133" s="12">
        <v>19.399999999999999</v>
      </c>
      <c r="H133" s="10">
        <v>7.96</v>
      </c>
      <c r="I133" s="13">
        <v>2967.47298</v>
      </c>
      <c r="J133" s="13">
        <f t="shared" ref="J133:L133" si="18">I133*E133/D133</f>
        <v>2967.47298</v>
      </c>
      <c r="K133" s="13">
        <f t="shared" si="18"/>
        <v>2910.4638934277045</v>
      </c>
      <c r="L133" s="49">
        <f t="shared" si="18"/>
        <v>2910.4638934277045</v>
      </c>
      <c r="M133" s="10">
        <v>7.96</v>
      </c>
      <c r="N133" s="50">
        <v>2362568</v>
      </c>
      <c r="O133" s="50">
        <v>1602478</v>
      </c>
      <c r="P133" s="48">
        <f t="shared" si="17"/>
        <v>760090</v>
      </c>
    </row>
    <row r="134" spans="1:16" ht="15.95" customHeight="1" x14ac:dyDescent="0.25">
      <c r="A134" s="15" t="s">
        <v>223</v>
      </c>
      <c r="B134" s="8" t="s">
        <v>271</v>
      </c>
      <c r="C134" s="9">
        <v>24006</v>
      </c>
      <c r="D134" s="12">
        <v>26.4</v>
      </c>
      <c r="E134" s="12">
        <v>26.4</v>
      </c>
      <c r="F134" s="12">
        <v>22.42</v>
      </c>
      <c r="G134" s="12">
        <v>12.73</v>
      </c>
      <c r="H134" s="10">
        <v>3.98</v>
      </c>
      <c r="I134" s="13">
        <v>7003.6518800000003</v>
      </c>
      <c r="J134" s="13">
        <f>I134*E134/D134</f>
        <v>7003.6518800000003</v>
      </c>
      <c r="K134" s="13">
        <f>J134*F134/E134</f>
        <v>5947.7983011212136</v>
      </c>
      <c r="L134" s="49">
        <f>K134*G134/F134+66.032+70.397</f>
        <v>3513.5687133484853</v>
      </c>
      <c r="M134" s="10">
        <v>3.98</v>
      </c>
      <c r="N134" s="50">
        <v>1647165</v>
      </c>
      <c r="O134" s="50">
        <v>1304935</v>
      </c>
      <c r="P134" s="48">
        <f t="shared" si="17"/>
        <v>342230</v>
      </c>
    </row>
    <row r="135" spans="1:16" ht="15.95" customHeight="1" x14ac:dyDescent="0.25">
      <c r="A135" s="15" t="s">
        <v>225</v>
      </c>
      <c r="B135" s="8" t="s">
        <v>964</v>
      </c>
      <c r="C135" s="9" t="s">
        <v>965</v>
      </c>
      <c r="D135" s="12"/>
      <c r="E135" s="12"/>
      <c r="F135" s="12"/>
      <c r="G135" s="12"/>
      <c r="H135" s="10">
        <v>17.190000000000001</v>
      </c>
      <c r="I135" s="13"/>
      <c r="J135" s="13"/>
      <c r="K135" s="13"/>
      <c r="L135" s="49"/>
      <c r="M135" s="10">
        <v>17.190000000000001</v>
      </c>
      <c r="N135" s="50">
        <v>22388146</v>
      </c>
      <c r="O135" s="50">
        <v>16305458</v>
      </c>
      <c r="P135" s="48">
        <f t="shared" si="17"/>
        <v>6082688</v>
      </c>
    </row>
    <row r="136" spans="1:16" ht="15.95" customHeight="1" x14ac:dyDescent="0.25">
      <c r="A136" s="20" t="s">
        <v>228</v>
      </c>
      <c r="B136" s="8" t="s">
        <v>273</v>
      </c>
      <c r="C136" s="9">
        <v>24305</v>
      </c>
      <c r="D136" s="12">
        <v>34.57</v>
      </c>
      <c r="E136" s="12">
        <v>12.15</v>
      </c>
      <c r="F136" s="12">
        <v>12.15</v>
      </c>
      <c r="G136" s="12">
        <v>12.15</v>
      </c>
      <c r="H136" s="10">
        <v>2.42</v>
      </c>
      <c r="I136" s="13">
        <v>17875</v>
      </c>
      <c r="J136" s="13">
        <f t="shared" ref="J136:L137" si="19">I136*E136/D136</f>
        <v>6282.3618744576224</v>
      </c>
      <c r="K136" s="13">
        <f t="shared" si="19"/>
        <v>6282.3618744576224</v>
      </c>
      <c r="L136" s="49">
        <f t="shared" si="19"/>
        <v>6282.3618744576224</v>
      </c>
      <c r="M136" s="10">
        <v>2.42</v>
      </c>
      <c r="N136" s="50">
        <v>1422505</v>
      </c>
      <c r="O136" s="50">
        <v>1095807</v>
      </c>
      <c r="P136" s="48">
        <f t="shared" si="17"/>
        <v>326698</v>
      </c>
    </row>
    <row r="137" spans="1:16" ht="15.95" customHeight="1" x14ac:dyDescent="0.25">
      <c r="A137" s="15" t="s">
        <v>230</v>
      </c>
      <c r="B137" s="8" t="s">
        <v>275</v>
      </c>
      <c r="C137" s="9">
        <v>24174</v>
      </c>
      <c r="D137" s="12">
        <v>8.18</v>
      </c>
      <c r="E137" s="12">
        <v>8.18</v>
      </c>
      <c r="F137" s="12">
        <v>7.94</v>
      </c>
      <c r="G137" s="12">
        <v>7.94</v>
      </c>
      <c r="H137" s="10">
        <v>6.59</v>
      </c>
      <c r="I137" s="13">
        <v>769</v>
      </c>
      <c r="J137" s="13">
        <f t="shared" si="19"/>
        <v>769</v>
      </c>
      <c r="K137" s="13">
        <f t="shared" si="19"/>
        <v>746.43765281173603</v>
      </c>
      <c r="L137" s="49">
        <f t="shared" si="19"/>
        <v>746.43765281173603</v>
      </c>
      <c r="M137" s="10">
        <v>6.59</v>
      </c>
      <c r="N137" s="50">
        <v>791062.48110831226</v>
      </c>
      <c r="O137" s="50">
        <v>735502</v>
      </c>
      <c r="P137" s="48">
        <f t="shared" si="17"/>
        <v>55560.481108312262</v>
      </c>
    </row>
    <row r="138" spans="1:16" ht="15.95" customHeight="1" x14ac:dyDescent="0.25">
      <c r="A138" s="15" t="s">
        <v>232</v>
      </c>
      <c r="B138" s="8" t="s">
        <v>1023</v>
      </c>
      <c r="C138" s="9" t="s">
        <v>1051</v>
      </c>
      <c r="D138" s="12"/>
      <c r="E138" s="12"/>
      <c r="F138" s="12"/>
      <c r="G138" s="12"/>
      <c r="H138" s="10">
        <v>16.04</v>
      </c>
      <c r="I138" s="13"/>
      <c r="J138" s="13"/>
      <c r="K138" s="13"/>
      <c r="L138" s="49"/>
      <c r="M138" s="10">
        <v>16.04</v>
      </c>
      <c r="N138" s="50">
        <v>37598295.559265442</v>
      </c>
      <c r="O138" s="50">
        <v>6906947</v>
      </c>
      <c r="P138" s="48">
        <f t="shared" si="17"/>
        <v>30691348.559265442</v>
      </c>
    </row>
    <row r="139" spans="1:16" ht="15.95" customHeight="1" x14ac:dyDescent="0.25">
      <c r="A139" s="20" t="s">
        <v>234</v>
      </c>
      <c r="B139" s="8" t="s">
        <v>277</v>
      </c>
      <c r="C139" s="9">
        <v>24168</v>
      </c>
      <c r="D139" s="12">
        <v>18.88</v>
      </c>
      <c r="E139" s="12">
        <v>18.88</v>
      </c>
      <c r="F139" s="12">
        <v>5.62</v>
      </c>
      <c r="G139" s="12">
        <v>5.62</v>
      </c>
      <c r="H139" s="10">
        <v>5.62</v>
      </c>
      <c r="I139" s="13">
        <v>1576.4326000000001</v>
      </c>
      <c r="J139" s="13">
        <f t="shared" ref="J139:L140" si="20">I139*E139/D139</f>
        <v>1576.4326000000001</v>
      </c>
      <c r="K139" s="13">
        <f t="shared" si="20"/>
        <v>469.25589046610173</v>
      </c>
      <c r="L139" s="49">
        <f t="shared" si="20"/>
        <v>469.25589046610173</v>
      </c>
      <c r="M139" s="10">
        <v>5.62</v>
      </c>
      <c r="N139" s="50">
        <v>1182498</v>
      </c>
      <c r="O139" s="50">
        <v>448463</v>
      </c>
      <c r="P139" s="48">
        <f t="shared" si="17"/>
        <v>734035</v>
      </c>
    </row>
    <row r="140" spans="1:16" ht="15.95" customHeight="1" x14ac:dyDescent="0.25">
      <c r="A140" s="15" t="s">
        <v>236</v>
      </c>
      <c r="B140" s="8" t="s">
        <v>279</v>
      </c>
      <c r="C140" s="9">
        <v>24216</v>
      </c>
      <c r="D140" s="12">
        <v>19.46</v>
      </c>
      <c r="E140" s="12">
        <v>19.46</v>
      </c>
      <c r="F140" s="12">
        <v>16.18</v>
      </c>
      <c r="G140" s="12">
        <v>16.18</v>
      </c>
      <c r="H140" s="10">
        <v>1.03</v>
      </c>
      <c r="I140" s="13">
        <v>2391</v>
      </c>
      <c r="J140" s="13">
        <f t="shared" si="20"/>
        <v>2391</v>
      </c>
      <c r="K140" s="13">
        <f t="shared" si="20"/>
        <v>1987.9948612538537</v>
      </c>
      <c r="L140" s="49">
        <f t="shared" si="20"/>
        <v>1987.9948612538537</v>
      </c>
      <c r="M140" s="10">
        <v>1.03</v>
      </c>
      <c r="N140" s="50">
        <v>284167</v>
      </c>
      <c r="O140" s="50">
        <v>148495</v>
      </c>
      <c r="P140" s="48">
        <f t="shared" si="17"/>
        <v>135672</v>
      </c>
    </row>
    <row r="141" spans="1:16" ht="15.95" customHeight="1" x14ac:dyDescent="0.25">
      <c r="A141" s="15" t="s">
        <v>238</v>
      </c>
      <c r="B141" s="16" t="s">
        <v>281</v>
      </c>
      <c r="C141" s="17">
        <v>23919</v>
      </c>
      <c r="D141" s="55">
        <f>2.83+24.72</f>
        <v>27.549999999999997</v>
      </c>
      <c r="E141" s="55">
        <f>27.55</f>
        <v>27.55</v>
      </c>
      <c r="F141" s="55">
        <f>3.76</f>
        <v>3.76</v>
      </c>
      <c r="G141" s="55">
        <f>28.48-24.72</f>
        <v>3.7600000000000016</v>
      </c>
      <c r="H141" s="18">
        <v>15.98</v>
      </c>
      <c r="I141" s="56">
        <v>12831.062</v>
      </c>
      <c r="J141" s="13">
        <f>I141*E141/D141</f>
        <v>12831.062</v>
      </c>
      <c r="K141" s="13">
        <f>J141*F141/E141+64.077</f>
        <v>1815.2491640653354</v>
      </c>
      <c r="L141" s="49">
        <f>K141*G141/F141+106.803</f>
        <v>1922.0521640653365</v>
      </c>
      <c r="M141" s="18">
        <v>15.98</v>
      </c>
      <c r="N141" s="50">
        <v>4027053</v>
      </c>
      <c r="O141" s="50">
        <v>1815007</v>
      </c>
      <c r="P141" s="48">
        <f t="shared" si="17"/>
        <v>2212046</v>
      </c>
    </row>
    <row r="142" spans="1:16" ht="15.95" customHeight="1" x14ac:dyDescent="0.25">
      <c r="A142" s="20" t="s">
        <v>240</v>
      </c>
      <c r="B142" s="8" t="s">
        <v>283</v>
      </c>
      <c r="C142" s="9">
        <v>23925</v>
      </c>
      <c r="D142" s="12">
        <v>30.57</v>
      </c>
      <c r="E142" s="12">
        <v>27.96</v>
      </c>
      <c r="F142" s="12">
        <v>27.96</v>
      </c>
      <c r="G142" s="12">
        <v>27.96</v>
      </c>
      <c r="H142" s="10">
        <v>2.0699999999999998</v>
      </c>
      <c r="I142" s="13">
        <v>1840</v>
      </c>
      <c r="J142" s="13">
        <f>I142*E142/D142</f>
        <v>1682.9048086359176</v>
      </c>
      <c r="K142" s="13">
        <f t="shared" ref="K142:L155" si="21">J142*F142/E142</f>
        <v>1682.9048086359176</v>
      </c>
      <c r="L142" s="49">
        <f>K142*G142/F142+47.675</f>
        <v>1730.5798086359175</v>
      </c>
      <c r="M142" s="10">
        <v>2.0699999999999998</v>
      </c>
      <c r="N142" s="50">
        <v>345598</v>
      </c>
      <c r="O142" s="50">
        <v>196875</v>
      </c>
      <c r="P142" s="48">
        <f t="shared" si="17"/>
        <v>148723</v>
      </c>
    </row>
    <row r="143" spans="1:16" ht="15.95" customHeight="1" x14ac:dyDescent="0.25">
      <c r="A143" s="15" t="s">
        <v>241</v>
      </c>
      <c r="B143" s="8" t="s">
        <v>285</v>
      </c>
      <c r="C143" s="9" t="s">
        <v>286</v>
      </c>
      <c r="D143" s="12">
        <v>7.95</v>
      </c>
      <c r="E143" s="12">
        <v>5.86</v>
      </c>
      <c r="F143" s="12">
        <v>5.86</v>
      </c>
      <c r="G143" s="12">
        <v>4.97</v>
      </c>
      <c r="H143" s="10">
        <v>3.46</v>
      </c>
      <c r="I143" s="13">
        <v>1193.48963</v>
      </c>
      <c r="J143" s="13">
        <f>I143*E143/D143</f>
        <v>879.72946311949693</v>
      </c>
      <c r="K143" s="13">
        <f t="shared" si="21"/>
        <v>879.72946311949704</v>
      </c>
      <c r="L143" s="49">
        <f t="shared" si="21"/>
        <v>746.11867435220142</v>
      </c>
      <c r="M143" s="10">
        <v>3.46</v>
      </c>
      <c r="N143" s="50">
        <v>840920</v>
      </c>
      <c r="O143" s="50">
        <v>491450</v>
      </c>
      <c r="P143" s="48">
        <f t="shared" si="17"/>
        <v>349470</v>
      </c>
    </row>
    <row r="144" spans="1:16" ht="15.95" customHeight="1" x14ac:dyDescent="0.25">
      <c r="A144" s="15" t="s">
        <v>243</v>
      </c>
      <c r="B144" s="8" t="s">
        <v>289</v>
      </c>
      <c r="C144" s="9">
        <v>24707</v>
      </c>
      <c r="D144" s="12">
        <v>26.18</v>
      </c>
      <c r="E144" s="12">
        <v>26.18</v>
      </c>
      <c r="F144" s="12">
        <v>25.71</v>
      </c>
      <c r="G144" s="12">
        <v>25.71</v>
      </c>
      <c r="H144" s="10">
        <v>21.85</v>
      </c>
      <c r="I144" s="13">
        <v>8069.2669999999998</v>
      </c>
      <c r="J144" s="13">
        <f>I144*E144/D144+1907.55</f>
        <v>9976.8169999999991</v>
      </c>
      <c r="K144" s="13">
        <f t="shared" si="21"/>
        <v>9797.7068399541622</v>
      </c>
      <c r="L144" s="49">
        <f t="shared" si="21"/>
        <v>9797.7068399541622</v>
      </c>
      <c r="M144" s="10">
        <v>21.85</v>
      </c>
      <c r="N144" s="50">
        <v>31394454</v>
      </c>
      <c r="O144" s="50">
        <v>13919060</v>
      </c>
      <c r="P144" s="48">
        <f t="shared" si="17"/>
        <v>17475394</v>
      </c>
    </row>
    <row r="145" spans="1:16" ht="15.95" customHeight="1" x14ac:dyDescent="0.25">
      <c r="A145" s="20" t="s">
        <v>245</v>
      </c>
      <c r="B145" s="8" t="s">
        <v>291</v>
      </c>
      <c r="C145" s="9">
        <v>24706</v>
      </c>
      <c r="D145" s="12">
        <v>40.32</v>
      </c>
      <c r="E145" s="12">
        <v>40.32</v>
      </c>
      <c r="F145" s="12">
        <v>40.32</v>
      </c>
      <c r="G145" s="12">
        <v>40.32</v>
      </c>
      <c r="H145" s="10">
        <v>31.22</v>
      </c>
      <c r="I145" s="13">
        <v>23609.522000000001</v>
      </c>
      <c r="J145" s="13">
        <f t="shared" ref="J145:K156" si="22">I145*E145/D145</f>
        <v>23609.522000000001</v>
      </c>
      <c r="K145" s="13">
        <f t="shared" si="21"/>
        <v>23609.522000000001</v>
      </c>
      <c r="L145" s="49">
        <f t="shared" si="21"/>
        <v>23609.522000000001</v>
      </c>
      <c r="M145" s="10">
        <v>31.22</v>
      </c>
      <c r="N145" s="50">
        <v>81618893</v>
      </c>
      <c r="O145" s="50">
        <v>38526437</v>
      </c>
      <c r="P145" s="48">
        <f t="shared" si="17"/>
        <v>43092456</v>
      </c>
    </row>
    <row r="146" spans="1:16" ht="15.95" customHeight="1" x14ac:dyDescent="0.25">
      <c r="A146" s="15" t="s">
        <v>247</v>
      </c>
      <c r="B146" s="8" t="s">
        <v>293</v>
      </c>
      <c r="C146" s="9">
        <v>24705</v>
      </c>
      <c r="D146" s="12">
        <v>13.84</v>
      </c>
      <c r="E146" s="12">
        <v>13.84</v>
      </c>
      <c r="F146" s="12">
        <v>7.98</v>
      </c>
      <c r="G146" s="12">
        <v>7.98</v>
      </c>
      <c r="H146" s="10">
        <v>7.98</v>
      </c>
      <c r="I146" s="13">
        <v>2905</v>
      </c>
      <c r="J146" s="13">
        <f t="shared" si="22"/>
        <v>2905</v>
      </c>
      <c r="K146" s="13">
        <f t="shared" si="21"/>
        <v>1674.9927745664741</v>
      </c>
      <c r="L146" s="49">
        <f t="shared" si="21"/>
        <v>1674.9927745664741</v>
      </c>
      <c r="M146" s="10">
        <v>7.98</v>
      </c>
      <c r="N146" s="50">
        <v>1891260</v>
      </c>
      <c r="O146" s="50">
        <v>1802528</v>
      </c>
      <c r="P146" s="48">
        <f t="shared" si="17"/>
        <v>88732</v>
      </c>
    </row>
    <row r="147" spans="1:16" ht="15.95" customHeight="1" x14ac:dyDescent="0.25">
      <c r="A147" s="15" t="s">
        <v>248</v>
      </c>
      <c r="B147" s="8" t="s">
        <v>295</v>
      </c>
      <c r="C147" s="9">
        <v>24704</v>
      </c>
      <c r="D147" s="12">
        <v>7.97</v>
      </c>
      <c r="E147" s="12">
        <v>5.7</v>
      </c>
      <c r="F147" s="12">
        <v>5.7</v>
      </c>
      <c r="G147" s="12">
        <v>5.7</v>
      </c>
      <c r="H147" s="10">
        <v>3.85</v>
      </c>
      <c r="I147" s="13">
        <v>2111.2836499999999</v>
      </c>
      <c r="J147" s="13">
        <f t="shared" si="22"/>
        <v>1509.9519203262234</v>
      </c>
      <c r="K147" s="13">
        <f t="shared" si="21"/>
        <v>1509.9519203262234</v>
      </c>
      <c r="L147" s="49">
        <f t="shared" si="21"/>
        <v>1509.9519203262234</v>
      </c>
      <c r="M147" s="10">
        <v>3.85</v>
      </c>
      <c r="N147" s="50">
        <v>1305892</v>
      </c>
      <c r="O147" s="50">
        <v>1282780</v>
      </c>
      <c r="P147" s="48">
        <f t="shared" si="17"/>
        <v>23112</v>
      </c>
    </row>
    <row r="148" spans="1:16" ht="15.95" customHeight="1" x14ac:dyDescent="0.25">
      <c r="A148" s="20" t="s">
        <v>250</v>
      </c>
      <c r="B148" s="8" t="s">
        <v>297</v>
      </c>
      <c r="C148" s="9">
        <v>24279</v>
      </c>
      <c r="D148" s="12">
        <v>51.8</v>
      </c>
      <c r="E148" s="12">
        <v>51.8</v>
      </c>
      <c r="F148" s="12">
        <v>50.9</v>
      </c>
      <c r="G148" s="12">
        <v>50.9</v>
      </c>
      <c r="H148" s="10">
        <v>37.299999999999997</v>
      </c>
      <c r="I148" s="13">
        <v>4722.0020400000003</v>
      </c>
      <c r="J148" s="13">
        <f t="shared" si="22"/>
        <v>4722.0020400000003</v>
      </c>
      <c r="K148" s="13">
        <f t="shared" si="21"/>
        <v>4639.9595335135136</v>
      </c>
      <c r="L148" s="49">
        <f t="shared" si="21"/>
        <v>4639.9595335135136</v>
      </c>
      <c r="M148" s="10">
        <v>37.299999999999997</v>
      </c>
      <c r="N148" s="50">
        <v>5149620</v>
      </c>
      <c r="O148" s="50">
        <v>4486870</v>
      </c>
      <c r="P148" s="48">
        <f t="shared" si="17"/>
        <v>662750</v>
      </c>
    </row>
    <row r="149" spans="1:16" ht="15.95" customHeight="1" x14ac:dyDescent="0.25">
      <c r="A149" s="15" t="s">
        <v>251</v>
      </c>
      <c r="B149" s="8" t="s">
        <v>299</v>
      </c>
      <c r="C149" s="9">
        <v>24239</v>
      </c>
      <c r="D149" s="12">
        <v>45.7</v>
      </c>
      <c r="E149" s="12">
        <v>45.7</v>
      </c>
      <c r="F149" s="12">
        <v>45.7</v>
      </c>
      <c r="G149" s="12">
        <v>45.7</v>
      </c>
      <c r="H149" s="10">
        <v>47.93</v>
      </c>
      <c r="I149" s="13">
        <v>8691.9220000000005</v>
      </c>
      <c r="J149" s="13">
        <f t="shared" si="22"/>
        <v>8691.9220000000005</v>
      </c>
      <c r="K149" s="13">
        <f t="shared" si="21"/>
        <v>8691.9220000000005</v>
      </c>
      <c r="L149" s="49">
        <f t="shared" si="21"/>
        <v>8691.9220000000005</v>
      </c>
      <c r="M149" s="10">
        <v>42.02</v>
      </c>
      <c r="N149" s="50">
        <v>51826085</v>
      </c>
      <c r="O149" s="50">
        <v>11889318</v>
      </c>
      <c r="P149" s="48">
        <f t="shared" si="17"/>
        <v>39936767</v>
      </c>
    </row>
    <row r="150" spans="1:16" ht="15.95" customHeight="1" x14ac:dyDescent="0.25">
      <c r="A150" s="15" t="s">
        <v>252</v>
      </c>
      <c r="B150" s="8" t="s">
        <v>302</v>
      </c>
      <c r="C150" s="9" t="s">
        <v>303</v>
      </c>
      <c r="D150" s="12">
        <v>31.89</v>
      </c>
      <c r="E150" s="12">
        <v>25.77</v>
      </c>
      <c r="F150" s="12">
        <v>11.17</v>
      </c>
      <c r="G150" s="12">
        <v>11.17</v>
      </c>
      <c r="H150" s="10">
        <v>8.61</v>
      </c>
      <c r="I150" s="13">
        <v>4750.7520000000004</v>
      </c>
      <c r="J150" s="13">
        <f t="shared" si="22"/>
        <v>3839.0366585136412</v>
      </c>
      <c r="K150" s="13">
        <f t="shared" si="21"/>
        <v>1664.0294713076203</v>
      </c>
      <c r="L150" s="49">
        <f t="shared" si="21"/>
        <v>1664.0294713076203</v>
      </c>
      <c r="M150" s="10">
        <v>8.61</v>
      </c>
      <c r="N150" s="50">
        <v>1610898</v>
      </c>
      <c r="O150" s="50">
        <v>1490468</v>
      </c>
      <c r="P150" s="48">
        <f t="shared" si="17"/>
        <v>120430</v>
      </c>
    </row>
    <row r="151" spans="1:16" ht="15.95" customHeight="1" x14ac:dyDescent="0.25">
      <c r="A151" s="20" t="s">
        <v>254</v>
      </c>
      <c r="B151" s="8" t="s">
        <v>1053</v>
      </c>
      <c r="C151" s="9" t="s">
        <v>1052</v>
      </c>
      <c r="D151" s="12">
        <v>58.75</v>
      </c>
      <c r="E151" s="12">
        <v>58.59</v>
      </c>
      <c r="F151" s="12">
        <v>35.69</v>
      </c>
      <c r="G151" s="12">
        <v>27.47</v>
      </c>
      <c r="H151" s="14">
        <v>9.14</v>
      </c>
      <c r="I151" s="13">
        <v>5241.7665800000004</v>
      </c>
      <c r="J151" s="13">
        <f t="shared" si="22"/>
        <v>5227.4911305906389</v>
      </c>
      <c r="K151" s="13">
        <f t="shared" si="21"/>
        <v>3184.3174338757444</v>
      </c>
      <c r="L151" s="49">
        <f t="shared" si="21"/>
        <v>2450.9162204697868</v>
      </c>
      <c r="M151" s="14">
        <v>9.14</v>
      </c>
      <c r="N151" s="50">
        <v>1075467</v>
      </c>
      <c r="O151" s="50">
        <v>921908</v>
      </c>
      <c r="P151" s="48">
        <f t="shared" si="17"/>
        <v>153559</v>
      </c>
    </row>
    <row r="152" spans="1:16" ht="15.95" customHeight="1" x14ac:dyDescent="0.25">
      <c r="A152" s="15" t="s">
        <v>255</v>
      </c>
      <c r="B152" s="8" t="s">
        <v>307</v>
      </c>
      <c r="C152" s="9" t="s">
        <v>308</v>
      </c>
      <c r="D152" s="12">
        <v>19.63</v>
      </c>
      <c r="E152" s="12">
        <v>17.54</v>
      </c>
      <c r="F152" s="12">
        <v>13.18</v>
      </c>
      <c r="G152" s="12">
        <v>13.18</v>
      </c>
      <c r="H152" s="10">
        <v>5.35</v>
      </c>
      <c r="I152" s="13">
        <v>4995.0559999999996</v>
      </c>
      <c r="J152" s="13">
        <f t="shared" si="22"/>
        <v>4463.2339398879258</v>
      </c>
      <c r="K152" s="13">
        <f t="shared" si="21"/>
        <v>3353.786962812022</v>
      </c>
      <c r="L152" s="49">
        <f t="shared" si="21"/>
        <v>3353.786962812022</v>
      </c>
      <c r="M152" s="10">
        <v>5.35</v>
      </c>
      <c r="N152" s="50">
        <v>2268229</v>
      </c>
      <c r="O152" s="50">
        <v>1438346</v>
      </c>
      <c r="P152" s="48">
        <f t="shared" si="17"/>
        <v>829883</v>
      </c>
    </row>
    <row r="153" spans="1:16" ht="15.95" customHeight="1" x14ac:dyDescent="0.25">
      <c r="A153" s="15" t="s">
        <v>257</v>
      </c>
      <c r="B153" s="8" t="s">
        <v>313</v>
      </c>
      <c r="C153" s="9">
        <v>23825</v>
      </c>
      <c r="D153" s="12">
        <v>19.82</v>
      </c>
      <c r="E153" s="12">
        <v>13.4</v>
      </c>
      <c r="F153" s="12">
        <v>13.4</v>
      </c>
      <c r="G153" s="12">
        <v>13.4</v>
      </c>
      <c r="H153" s="10">
        <v>7.67</v>
      </c>
      <c r="I153" s="13">
        <v>9696</v>
      </c>
      <c r="J153" s="13">
        <f t="shared" si="22"/>
        <v>6555.3178607467207</v>
      </c>
      <c r="K153" s="13">
        <f t="shared" si="21"/>
        <v>6555.3178607467207</v>
      </c>
      <c r="L153" s="49">
        <f>K153*G153/F153+300.16+104.266</f>
        <v>6959.7438607467202</v>
      </c>
      <c r="M153" s="10">
        <v>7.67</v>
      </c>
      <c r="N153" s="50">
        <v>11020846</v>
      </c>
      <c r="O153" s="50">
        <v>2426537</v>
      </c>
      <c r="P153" s="48">
        <f t="shared" si="17"/>
        <v>8594309</v>
      </c>
    </row>
    <row r="154" spans="1:16" ht="15.95" customHeight="1" x14ac:dyDescent="0.25">
      <c r="A154" s="20" t="s">
        <v>259</v>
      </c>
      <c r="B154" s="8" t="s">
        <v>316</v>
      </c>
      <c r="C154" s="9">
        <v>23908</v>
      </c>
      <c r="D154" s="12">
        <v>24.13</v>
      </c>
      <c r="E154" s="12">
        <v>20.68</v>
      </c>
      <c r="F154" s="12">
        <v>20.68</v>
      </c>
      <c r="G154" s="12">
        <v>20.68</v>
      </c>
      <c r="H154" s="10">
        <v>20.68</v>
      </c>
      <c r="I154" s="13">
        <v>1515</v>
      </c>
      <c r="J154" s="13">
        <f t="shared" si="22"/>
        <v>1298.3920430998758</v>
      </c>
      <c r="K154" s="13">
        <f t="shared" si="21"/>
        <v>1298.3920430998758</v>
      </c>
      <c r="L154" s="49">
        <f>K154*G154/F154+128.002</f>
        <v>1426.3940430998757</v>
      </c>
      <c r="M154" s="10">
        <v>20.68</v>
      </c>
      <c r="N154" s="50">
        <v>24033709</v>
      </c>
      <c r="O154" s="50">
        <v>5424143</v>
      </c>
      <c r="P154" s="48">
        <f t="shared" si="17"/>
        <v>18609566</v>
      </c>
    </row>
    <row r="155" spans="1:16" s="63" customFormat="1" ht="15.95" customHeight="1" x14ac:dyDescent="0.25">
      <c r="A155" s="15" t="s">
        <v>261</v>
      </c>
      <c r="B155" s="8" t="s">
        <v>318</v>
      </c>
      <c r="C155" s="9">
        <v>23915</v>
      </c>
      <c r="D155" s="12">
        <v>20.64</v>
      </c>
      <c r="E155" s="12">
        <v>20.64</v>
      </c>
      <c r="F155" s="12">
        <v>20.64</v>
      </c>
      <c r="G155" s="12">
        <v>20.64</v>
      </c>
      <c r="H155" s="10">
        <v>15.97</v>
      </c>
      <c r="I155" s="13">
        <v>1053</v>
      </c>
      <c r="J155" s="13">
        <f t="shared" si="22"/>
        <v>1053</v>
      </c>
      <c r="K155" s="13">
        <f t="shared" si="21"/>
        <v>1053</v>
      </c>
      <c r="L155" s="49">
        <f>K155*G155/F155</f>
        <v>1053</v>
      </c>
      <c r="M155" s="10">
        <v>15.97</v>
      </c>
      <c r="N155" s="50">
        <v>7482598</v>
      </c>
      <c r="O155" s="50">
        <v>2039611</v>
      </c>
      <c r="P155" s="48">
        <f t="shared" si="17"/>
        <v>5442987</v>
      </c>
    </row>
    <row r="156" spans="1:16" ht="15.95" customHeight="1" x14ac:dyDescent="0.25">
      <c r="A156" s="15" t="s">
        <v>1062</v>
      </c>
      <c r="B156" s="8" t="s">
        <v>321</v>
      </c>
      <c r="C156" s="9">
        <v>24160</v>
      </c>
      <c r="D156" s="12">
        <v>13.67</v>
      </c>
      <c r="E156" s="12">
        <v>13.67</v>
      </c>
      <c r="F156" s="12">
        <v>13.67</v>
      </c>
      <c r="G156" s="12">
        <v>13.67</v>
      </c>
      <c r="H156" s="10">
        <v>6.1</v>
      </c>
      <c r="I156" s="13">
        <v>2203.1880000000001</v>
      </c>
      <c r="J156" s="13">
        <f t="shared" si="22"/>
        <v>2203.1880000000001</v>
      </c>
      <c r="K156" s="13">
        <f t="shared" si="22"/>
        <v>2203.1880000000001</v>
      </c>
      <c r="L156" s="49">
        <f>K156*G156/F156+58.053+42.021</f>
        <v>2303.2620000000002</v>
      </c>
      <c r="M156" s="19">
        <v>6.1</v>
      </c>
      <c r="N156" s="50">
        <v>4775776</v>
      </c>
      <c r="O156" s="50">
        <v>2248907</v>
      </c>
      <c r="P156" s="48">
        <f t="shared" si="17"/>
        <v>2526869</v>
      </c>
    </row>
    <row r="157" spans="1:16" ht="15.95" customHeight="1" x14ac:dyDescent="0.25">
      <c r="A157" s="20" t="s">
        <v>264</v>
      </c>
      <c r="B157" s="8" t="s">
        <v>324</v>
      </c>
      <c r="C157" s="9">
        <v>24163</v>
      </c>
      <c r="D157" s="12">
        <v>7.03</v>
      </c>
      <c r="E157" s="12">
        <v>6.03</v>
      </c>
      <c r="F157" s="12">
        <v>5.4</v>
      </c>
      <c r="G157" s="12">
        <v>5.4</v>
      </c>
      <c r="H157" s="10">
        <v>7.37</v>
      </c>
      <c r="I157" s="13">
        <v>1248.2946300000001</v>
      </c>
      <c r="J157" s="13">
        <f t="shared" ref="J157:K164" si="23">I157*E157/D157</f>
        <v>1070.7278263015648</v>
      </c>
      <c r="K157" s="13">
        <f t="shared" si="23"/>
        <v>958.86073997155063</v>
      </c>
      <c r="L157" s="49">
        <f>K157*G157/F157+21.6+30.51</f>
        <v>1010.9707399715506</v>
      </c>
      <c r="M157" s="10">
        <v>7.37</v>
      </c>
      <c r="N157" s="50">
        <v>88959</v>
      </c>
      <c r="O157" s="50">
        <v>13607</v>
      </c>
      <c r="P157" s="48">
        <f t="shared" si="17"/>
        <v>75352</v>
      </c>
    </row>
    <row r="158" spans="1:16" ht="15.95" customHeight="1" x14ac:dyDescent="0.25">
      <c r="A158" s="15" t="s">
        <v>265</v>
      </c>
      <c r="B158" s="8" t="s">
        <v>326</v>
      </c>
      <c r="C158" s="9">
        <v>24544</v>
      </c>
      <c r="D158" s="12">
        <v>11.24</v>
      </c>
      <c r="E158" s="12">
        <v>9.85</v>
      </c>
      <c r="F158" s="12">
        <v>9.85</v>
      </c>
      <c r="G158" s="12">
        <v>8.8800000000000008</v>
      </c>
      <c r="H158" s="10">
        <v>2.75</v>
      </c>
      <c r="I158" s="13">
        <v>2218</v>
      </c>
      <c r="J158" s="13">
        <f t="shared" si="23"/>
        <v>1943.7099644128114</v>
      </c>
      <c r="K158" s="13">
        <f t="shared" si="23"/>
        <v>1943.7099644128111</v>
      </c>
      <c r="L158" s="49">
        <f>K158*G158/F158+129.282</f>
        <v>1881.5809323843416</v>
      </c>
      <c r="M158" s="10">
        <v>2.75</v>
      </c>
      <c r="N158" s="50">
        <v>1388593</v>
      </c>
      <c r="O158" s="50">
        <v>486705</v>
      </c>
      <c r="P158" s="48">
        <f t="shared" si="17"/>
        <v>901888</v>
      </c>
    </row>
    <row r="159" spans="1:16" ht="15.95" customHeight="1" x14ac:dyDescent="0.25">
      <c r="A159" s="15" t="s">
        <v>267</v>
      </c>
      <c r="B159" s="8" t="s">
        <v>329</v>
      </c>
      <c r="C159" s="9" t="s">
        <v>330</v>
      </c>
      <c r="D159" s="12">
        <v>68.67</v>
      </c>
      <c r="E159" s="12">
        <v>37.200000000000003</v>
      </c>
      <c r="F159" s="12">
        <v>37.200000000000003</v>
      </c>
      <c r="G159" s="12">
        <v>37.200000000000003</v>
      </c>
      <c r="H159" s="10">
        <v>5.25</v>
      </c>
      <c r="I159" s="13">
        <v>12947.5538</v>
      </c>
      <c r="J159" s="13">
        <f t="shared" si="23"/>
        <v>7013.9653612931415</v>
      </c>
      <c r="K159" s="13">
        <f t="shared" si="23"/>
        <v>7013.9653612931415</v>
      </c>
      <c r="L159" s="49">
        <f>K159*G159/F159</f>
        <v>7013.9653612931415</v>
      </c>
      <c r="M159" s="10">
        <v>5.25</v>
      </c>
      <c r="N159" s="50">
        <v>5183535</v>
      </c>
      <c r="O159" s="50">
        <v>2426771</v>
      </c>
      <c r="P159" s="48">
        <f t="shared" si="17"/>
        <v>2756764</v>
      </c>
    </row>
    <row r="160" spans="1:16" ht="15.95" customHeight="1" x14ac:dyDescent="0.25">
      <c r="A160" s="20" t="s">
        <v>268</v>
      </c>
      <c r="B160" s="8" t="s">
        <v>332</v>
      </c>
      <c r="C160" s="9">
        <v>24542</v>
      </c>
      <c r="D160" s="12">
        <v>29.32</v>
      </c>
      <c r="E160" s="12">
        <v>29.32</v>
      </c>
      <c r="F160" s="12">
        <v>29.32</v>
      </c>
      <c r="G160" s="12">
        <v>29.32</v>
      </c>
      <c r="H160" s="10">
        <v>10.53</v>
      </c>
      <c r="I160" s="13">
        <v>3035</v>
      </c>
      <c r="J160" s="13">
        <f t="shared" si="23"/>
        <v>3035</v>
      </c>
      <c r="K160" s="13">
        <f t="shared" si="23"/>
        <v>3035</v>
      </c>
      <c r="L160" s="49">
        <f>K160*G160/F160</f>
        <v>3035</v>
      </c>
      <c r="M160" s="10">
        <v>10.53</v>
      </c>
      <c r="N160" s="50">
        <v>6982555.001743678</v>
      </c>
      <c r="O160" s="50">
        <v>2242222</v>
      </c>
      <c r="P160" s="48">
        <f t="shared" si="17"/>
        <v>4740333.001743678</v>
      </c>
    </row>
    <row r="161" spans="1:16" ht="15.95" customHeight="1" x14ac:dyDescent="0.25">
      <c r="A161" s="15" t="s">
        <v>270</v>
      </c>
      <c r="B161" s="8" t="s">
        <v>336</v>
      </c>
      <c r="C161" s="9">
        <v>24620</v>
      </c>
      <c r="D161" s="12">
        <v>36.619999999999997</v>
      </c>
      <c r="E161" s="12">
        <v>36.619999999999997</v>
      </c>
      <c r="F161" s="12">
        <v>36.619999999999997</v>
      </c>
      <c r="G161" s="12">
        <v>36.619999999999997</v>
      </c>
      <c r="H161" s="10">
        <v>36.619999999999997</v>
      </c>
      <c r="I161" s="13">
        <v>7238</v>
      </c>
      <c r="J161" s="13">
        <f t="shared" si="23"/>
        <v>7238</v>
      </c>
      <c r="K161" s="13">
        <f t="shared" si="23"/>
        <v>7238</v>
      </c>
      <c r="L161" s="49">
        <f>K161*G161/F161+438.122</f>
        <v>7676.1220000000003</v>
      </c>
      <c r="M161" s="10">
        <v>36.619999999999997</v>
      </c>
      <c r="N161" s="50">
        <v>14864805</v>
      </c>
      <c r="O161" s="50">
        <v>9981054</v>
      </c>
      <c r="P161" s="48">
        <f t="shared" si="17"/>
        <v>4883751</v>
      </c>
    </row>
    <row r="162" spans="1:16" ht="15.95" customHeight="1" x14ac:dyDescent="0.25">
      <c r="A162" s="15" t="s">
        <v>272</v>
      </c>
      <c r="B162" s="8" t="s">
        <v>1063</v>
      </c>
      <c r="C162" s="9">
        <v>24629</v>
      </c>
      <c r="D162" s="12">
        <v>51.31</v>
      </c>
      <c r="E162" s="12">
        <v>48.41</v>
      </c>
      <c r="F162" s="12">
        <v>46.56</v>
      </c>
      <c r="G162" s="12">
        <v>46.56</v>
      </c>
      <c r="H162" s="14">
        <v>31.42</v>
      </c>
      <c r="I162" s="13">
        <v>36627.307180000003</v>
      </c>
      <c r="J162" s="13">
        <v>34557.161188536345</v>
      </c>
      <c r="K162" s="13">
        <v>33236.550814671609</v>
      </c>
      <c r="L162" s="49">
        <v>33236.550814671609</v>
      </c>
      <c r="M162" s="14">
        <v>31.42</v>
      </c>
      <c r="N162" s="50">
        <v>24471400</v>
      </c>
      <c r="O162" s="50">
        <v>24367667</v>
      </c>
      <c r="P162" s="48">
        <f t="shared" si="17"/>
        <v>103733</v>
      </c>
    </row>
    <row r="163" spans="1:16" ht="15.95" customHeight="1" x14ac:dyDescent="0.25">
      <c r="A163" s="20" t="s">
        <v>274</v>
      </c>
      <c r="B163" s="8" t="s">
        <v>340</v>
      </c>
      <c r="C163" s="9">
        <v>24765</v>
      </c>
      <c r="D163" s="12">
        <v>68.14</v>
      </c>
      <c r="E163" s="12">
        <v>65.16</v>
      </c>
      <c r="F163" s="12">
        <v>65.16</v>
      </c>
      <c r="G163" s="12">
        <v>56.75</v>
      </c>
      <c r="H163" s="10">
        <v>5.64</v>
      </c>
      <c r="I163" s="13">
        <v>21237.385839999999</v>
      </c>
      <c r="J163" s="13">
        <f t="shared" si="23"/>
        <v>20308.600841420604</v>
      </c>
      <c r="K163" s="13">
        <f t="shared" si="23"/>
        <v>20308.600841420604</v>
      </c>
      <c r="L163" s="49">
        <f>K163*G163/F163+673.412</f>
        <v>18360.844439389493</v>
      </c>
      <c r="M163" s="10">
        <v>5.64</v>
      </c>
      <c r="N163" s="50">
        <v>2710877.289310772</v>
      </c>
      <c r="O163" s="50">
        <v>2328708</v>
      </c>
      <c r="P163" s="48">
        <f t="shared" si="17"/>
        <v>382169.28931077197</v>
      </c>
    </row>
    <row r="164" spans="1:16" ht="15.95" customHeight="1" x14ac:dyDescent="0.25">
      <c r="A164" s="15" t="s">
        <v>276</v>
      </c>
      <c r="B164" s="8" t="s">
        <v>342</v>
      </c>
      <c r="C164" s="9" t="s">
        <v>343</v>
      </c>
      <c r="D164" s="12">
        <v>100</v>
      </c>
      <c r="E164" s="12">
        <v>31.75</v>
      </c>
      <c r="F164" s="12">
        <v>31.75</v>
      </c>
      <c r="G164" s="12">
        <v>31.75</v>
      </c>
      <c r="H164" s="10">
        <v>18.170000000000002</v>
      </c>
      <c r="I164" s="57">
        <v>195866.45300000001</v>
      </c>
      <c r="J164" s="13">
        <f t="shared" si="23"/>
        <v>62187.598827499998</v>
      </c>
      <c r="K164" s="13">
        <f t="shared" si="23"/>
        <v>62187.598827499998</v>
      </c>
      <c r="L164" s="49">
        <f>K164*G164/F164</f>
        <v>62187.598827499998</v>
      </c>
      <c r="M164" s="58">
        <v>15.95</v>
      </c>
      <c r="N164" s="50">
        <v>33203298</v>
      </c>
      <c r="O164" s="50">
        <v>16130877</v>
      </c>
      <c r="P164" s="48">
        <f t="shared" si="17"/>
        <v>17072421</v>
      </c>
    </row>
    <row r="165" spans="1:16" ht="15.95" customHeight="1" x14ac:dyDescent="0.25">
      <c r="A165" s="15" t="s">
        <v>278</v>
      </c>
      <c r="B165" s="8" t="s">
        <v>1038</v>
      </c>
      <c r="C165" s="9" t="s">
        <v>1037</v>
      </c>
      <c r="D165" s="12"/>
      <c r="E165" s="12"/>
      <c r="F165" s="12"/>
      <c r="G165" s="12"/>
      <c r="H165" s="10">
        <v>0</v>
      </c>
      <c r="I165" s="57"/>
      <c r="J165" s="13"/>
      <c r="K165" s="13"/>
      <c r="L165" s="49"/>
      <c r="M165" s="58">
        <v>0</v>
      </c>
      <c r="N165" s="50">
        <v>331607</v>
      </c>
      <c r="O165" s="50">
        <v>33142</v>
      </c>
      <c r="P165" s="48">
        <f t="shared" si="17"/>
        <v>298465</v>
      </c>
    </row>
    <row r="166" spans="1:16" ht="15.95" customHeight="1" x14ac:dyDescent="0.25">
      <c r="A166" s="20" t="s">
        <v>280</v>
      </c>
      <c r="B166" s="8" t="s">
        <v>349</v>
      </c>
      <c r="C166" s="9">
        <v>24737</v>
      </c>
      <c r="D166" s="12">
        <v>44.29</v>
      </c>
      <c r="E166" s="12">
        <v>44.29</v>
      </c>
      <c r="F166" s="12">
        <v>42.85</v>
      </c>
      <c r="G166" s="12">
        <v>42.85</v>
      </c>
      <c r="H166" s="10">
        <v>42.68</v>
      </c>
      <c r="I166" s="13">
        <v>9855</v>
      </c>
      <c r="J166" s="13">
        <f>I166*E166/D166</f>
        <v>9855</v>
      </c>
      <c r="K166" s="13">
        <f>J166*F166/E166</f>
        <v>9534.5845563332587</v>
      </c>
      <c r="L166" s="49">
        <f>K166*G166/F166+522.081</f>
        <v>10056.665556333259</v>
      </c>
      <c r="M166" s="10">
        <v>42.68</v>
      </c>
      <c r="N166" s="50">
        <v>20818779</v>
      </c>
      <c r="O166" s="50">
        <v>7461801</v>
      </c>
      <c r="P166" s="48">
        <f t="shared" si="17"/>
        <v>13356978</v>
      </c>
    </row>
    <row r="167" spans="1:16" ht="15.95" customHeight="1" x14ac:dyDescent="0.25">
      <c r="A167" s="15" t="s">
        <v>282</v>
      </c>
      <c r="B167" s="8" t="s">
        <v>1073</v>
      </c>
      <c r="C167" s="9" t="s">
        <v>1076</v>
      </c>
      <c r="D167" s="12"/>
      <c r="E167" s="12"/>
      <c r="F167" s="12"/>
      <c r="G167" s="12"/>
      <c r="H167" s="10">
        <v>25.42</v>
      </c>
      <c r="I167" s="13"/>
      <c r="J167" s="13"/>
      <c r="K167" s="13"/>
      <c r="L167" s="49"/>
      <c r="M167" s="10">
        <v>25.42</v>
      </c>
      <c r="N167" s="50">
        <v>6773365</v>
      </c>
      <c r="O167" s="50">
        <v>6363374</v>
      </c>
      <c r="P167" s="48">
        <f t="shared" si="17"/>
        <v>409991</v>
      </c>
    </row>
    <row r="168" spans="1:16" ht="15.95" customHeight="1" x14ac:dyDescent="0.25">
      <c r="A168" s="15" t="s">
        <v>284</v>
      </c>
      <c r="B168" s="8" t="s">
        <v>924</v>
      </c>
      <c r="C168" s="9" t="s">
        <v>925</v>
      </c>
      <c r="D168" s="12">
        <v>100</v>
      </c>
      <c r="E168" s="12">
        <v>100</v>
      </c>
      <c r="F168" s="12">
        <v>85.6</v>
      </c>
      <c r="G168" s="12">
        <f>85.6</f>
        <v>85.6</v>
      </c>
      <c r="H168" s="10">
        <v>81.650000000000006</v>
      </c>
      <c r="I168" s="13">
        <v>72103.051000000007</v>
      </c>
      <c r="J168" s="13">
        <v>72103.051000000007</v>
      </c>
      <c r="K168" s="13">
        <f t="shared" ref="K168:L171" si="24">J168*F168/E168</f>
        <v>61720.211655999999</v>
      </c>
      <c r="L168" s="49">
        <f t="shared" si="24"/>
        <v>61720.211655999999</v>
      </c>
      <c r="M168" s="10">
        <v>81.650000000000006</v>
      </c>
      <c r="N168" s="50">
        <v>9921508</v>
      </c>
      <c r="O168" s="50">
        <v>2472900</v>
      </c>
      <c r="P168" s="48">
        <f t="shared" si="17"/>
        <v>7448608</v>
      </c>
    </row>
    <row r="169" spans="1:16" ht="15.95" customHeight="1" x14ac:dyDescent="0.25">
      <c r="A169" s="20" t="s">
        <v>287</v>
      </c>
      <c r="B169" s="8" t="s">
        <v>352</v>
      </c>
      <c r="C169" s="9">
        <v>24808</v>
      </c>
      <c r="D169" s="12">
        <v>26.17</v>
      </c>
      <c r="E169" s="12">
        <v>26.17</v>
      </c>
      <c r="F169" s="12">
        <v>25.23</v>
      </c>
      <c r="G169" s="12">
        <v>25.23</v>
      </c>
      <c r="H169" s="10">
        <v>17.64</v>
      </c>
      <c r="I169" s="13">
        <v>24100.062409999999</v>
      </c>
      <c r="J169" s="13">
        <f t="shared" ref="J169:J175" si="25">I169*E169/D169</f>
        <v>24100.062409999999</v>
      </c>
      <c r="K169" s="13">
        <f t="shared" si="24"/>
        <v>23234.412480103168</v>
      </c>
      <c r="L169" s="49">
        <f t="shared" si="24"/>
        <v>23234.412480103168</v>
      </c>
      <c r="M169" s="10">
        <v>17.64</v>
      </c>
      <c r="N169" s="50">
        <v>17907165</v>
      </c>
      <c r="O169" s="50">
        <v>10893877</v>
      </c>
      <c r="P169" s="48">
        <f t="shared" si="17"/>
        <v>7013288</v>
      </c>
    </row>
    <row r="170" spans="1:16" ht="15.95" customHeight="1" x14ac:dyDescent="0.25">
      <c r="A170" s="15" t="s">
        <v>288</v>
      </c>
      <c r="B170" s="8" t="s">
        <v>354</v>
      </c>
      <c r="C170" s="9">
        <v>24811</v>
      </c>
      <c r="D170" s="12">
        <v>57.67</v>
      </c>
      <c r="E170" s="12">
        <v>57.67</v>
      </c>
      <c r="F170" s="12">
        <v>57.67</v>
      </c>
      <c r="G170" s="12">
        <v>57.67</v>
      </c>
      <c r="H170" s="10">
        <v>3.11</v>
      </c>
      <c r="I170" s="13">
        <v>32330</v>
      </c>
      <c r="J170" s="13">
        <f t="shared" si="25"/>
        <v>32330</v>
      </c>
      <c r="K170" s="13">
        <f t="shared" si="24"/>
        <v>32330</v>
      </c>
      <c r="L170" s="49">
        <f t="shared" si="24"/>
        <v>32330</v>
      </c>
      <c r="M170" s="10">
        <v>3.11</v>
      </c>
      <c r="N170" s="50">
        <v>3491324.1225806451</v>
      </c>
      <c r="O170" s="50">
        <v>1906492</v>
      </c>
      <c r="P170" s="48">
        <f t="shared" si="17"/>
        <v>1584832.1225806451</v>
      </c>
    </row>
    <row r="171" spans="1:16" ht="15.95" customHeight="1" x14ac:dyDescent="0.25">
      <c r="A171" s="15" t="s">
        <v>1045</v>
      </c>
      <c r="B171" s="8" t="s">
        <v>356</v>
      </c>
      <c r="C171" s="9">
        <v>24854</v>
      </c>
      <c r="D171" s="12">
        <v>27.42</v>
      </c>
      <c r="E171" s="12">
        <v>27.42</v>
      </c>
      <c r="F171" s="12">
        <v>27.42</v>
      </c>
      <c r="G171" s="12">
        <v>18.55</v>
      </c>
      <c r="H171" s="10">
        <v>7.47</v>
      </c>
      <c r="I171" s="13">
        <v>6237.37129</v>
      </c>
      <c r="J171" s="13">
        <f t="shared" si="25"/>
        <v>6237.3712899999991</v>
      </c>
      <c r="K171" s="13">
        <f t="shared" si="24"/>
        <v>6237.3712899999991</v>
      </c>
      <c r="L171" s="49">
        <f t="shared" si="24"/>
        <v>4219.6658435266227</v>
      </c>
      <c r="M171" s="10">
        <v>7.47</v>
      </c>
      <c r="N171" s="50">
        <v>11936770</v>
      </c>
      <c r="O171" s="50">
        <v>6400573</v>
      </c>
      <c r="P171" s="48">
        <f t="shared" si="17"/>
        <v>5536197</v>
      </c>
    </row>
    <row r="172" spans="1:16" ht="15.95" customHeight="1" x14ac:dyDescent="0.25">
      <c r="A172" s="20" t="s">
        <v>290</v>
      </c>
      <c r="B172" s="8" t="s">
        <v>358</v>
      </c>
      <c r="C172" s="9">
        <v>24855</v>
      </c>
      <c r="D172" s="12">
        <v>62.2</v>
      </c>
      <c r="E172" s="12">
        <v>62.2</v>
      </c>
      <c r="F172" s="12">
        <v>62.2</v>
      </c>
      <c r="G172" s="12">
        <v>62.2</v>
      </c>
      <c r="H172" s="10">
        <v>3.46</v>
      </c>
      <c r="I172" s="13">
        <v>10880.371999999999</v>
      </c>
      <c r="J172" s="13">
        <f t="shared" si="25"/>
        <v>10880.371999999999</v>
      </c>
      <c r="K172" s="13">
        <f>J172*F172/E172</f>
        <v>10880.371999999999</v>
      </c>
      <c r="L172" s="49">
        <f>K172*G172/F172+297.29</f>
        <v>11177.662</v>
      </c>
      <c r="M172" s="10">
        <v>3.46</v>
      </c>
      <c r="N172" s="50">
        <v>1303998</v>
      </c>
      <c r="O172" s="50">
        <v>881484</v>
      </c>
      <c r="P172" s="48">
        <f t="shared" si="17"/>
        <v>422514</v>
      </c>
    </row>
    <row r="173" spans="1:16" ht="15.95" customHeight="1" x14ac:dyDescent="0.25">
      <c r="A173" s="15" t="s">
        <v>292</v>
      </c>
      <c r="B173" s="8" t="s">
        <v>360</v>
      </c>
      <c r="C173" s="9">
        <v>24867</v>
      </c>
      <c r="D173" s="12">
        <v>15.24</v>
      </c>
      <c r="E173" s="12">
        <v>15.24</v>
      </c>
      <c r="F173" s="12">
        <v>15.24</v>
      </c>
      <c r="G173" s="12">
        <v>15.24</v>
      </c>
      <c r="H173" s="10">
        <v>4.2</v>
      </c>
      <c r="I173" s="13">
        <v>3055</v>
      </c>
      <c r="J173" s="13">
        <f t="shared" si="25"/>
        <v>3054.9999999999995</v>
      </c>
      <c r="K173" s="13">
        <f>J173*F173/E173</f>
        <v>3054.9999999999995</v>
      </c>
      <c r="L173" s="49">
        <f>K173*G173/F173</f>
        <v>3054.9999999999995</v>
      </c>
      <c r="M173" s="10">
        <v>0.57999999999999996</v>
      </c>
      <c r="N173" s="50">
        <v>205648</v>
      </c>
      <c r="O173" s="50">
        <v>152099</v>
      </c>
      <c r="P173" s="48">
        <f t="shared" si="17"/>
        <v>53549</v>
      </c>
    </row>
    <row r="174" spans="1:16" ht="15.95" customHeight="1" x14ac:dyDescent="0.25">
      <c r="A174" s="15" t="s">
        <v>294</v>
      </c>
      <c r="B174" s="8" t="s">
        <v>363</v>
      </c>
      <c r="C174" s="9">
        <v>24886</v>
      </c>
      <c r="D174" s="12">
        <v>22.93</v>
      </c>
      <c r="E174" s="12">
        <v>22.12</v>
      </c>
      <c r="F174" s="12">
        <v>20.45</v>
      </c>
      <c r="G174" s="12">
        <v>20.45</v>
      </c>
      <c r="H174" s="10">
        <v>17.170000000000002</v>
      </c>
      <c r="I174" s="13">
        <v>2901</v>
      </c>
      <c r="J174" s="13">
        <f t="shared" si="25"/>
        <v>2798.5224596598346</v>
      </c>
      <c r="K174" s="13">
        <f>J174*F174/E174</f>
        <v>2587.2416048844307</v>
      </c>
      <c r="L174" s="49">
        <f>K174*G174/F174</f>
        <v>2587.2416048844307</v>
      </c>
      <c r="M174" s="10">
        <v>17.170000000000002</v>
      </c>
      <c r="N174" s="50">
        <v>2864365</v>
      </c>
      <c r="O174" s="50">
        <v>2609748</v>
      </c>
      <c r="P174" s="48">
        <f t="shared" si="17"/>
        <v>254617</v>
      </c>
    </row>
    <row r="175" spans="1:16" ht="15.95" customHeight="1" x14ac:dyDescent="0.25">
      <c r="A175" s="20" t="s">
        <v>1039</v>
      </c>
      <c r="B175" s="8" t="s">
        <v>365</v>
      </c>
      <c r="C175" s="9" t="s">
        <v>366</v>
      </c>
      <c r="D175" s="12">
        <v>21.48</v>
      </c>
      <c r="E175" s="12">
        <v>21.48</v>
      </c>
      <c r="F175" s="12">
        <v>21.48</v>
      </c>
      <c r="G175" s="12">
        <v>10.06</v>
      </c>
      <c r="H175" s="10">
        <v>4.28</v>
      </c>
      <c r="I175" s="13">
        <v>4663</v>
      </c>
      <c r="J175" s="13">
        <f t="shared" si="25"/>
        <v>4663</v>
      </c>
      <c r="K175" s="13">
        <f>J175*F175/E175+278.77+2.143</f>
        <v>4943.9130000000005</v>
      </c>
      <c r="L175" s="49">
        <f>K175*G175/F175+1377.642</f>
        <v>3693.0872877094971</v>
      </c>
      <c r="M175" s="10">
        <v>4.28</v>
      </c>
      <c r="N175" s="50">
        <v>3012830</v>
      </c>
      <c r="O175" s="50">
        <v>1636850</v>
      </c>
      <c r="P175" s="48">
        <f t="shared" si="17"/>
        <v>1375980</v>
      </c>
    </row>
    <row r="176" spans="1:16" ht="15.95" customHeight="1" x14ac:dyDescent="0.25">
      <c r="A176" s="15" t="s">
        <v>296</v>
      </c>
      <c r="B176" s="8" t="s">
        <v>368</v>
      </c>
      <c r="C176" s="9" t="s">
        <v>369</v>
      </c>
      <c r="D176" s="12">
        <v>4.4000000000000004</v>
      </c>
      <c r="E176" s="12">
        <v>2.5</v>
      </c>
      <c r="F176" s="12">
        <v>0.9</v>
      </c>
      <c r="G176" s="12">
        <v>0.9</v>
      </c>
      <c r="H176" s="10">
        <v>0.9</v>
      </c>
      <c r="I176" s="13">
        <v>344.66667000000001</v>
      </c>
      <c r="J176" s="13">
        <f>I176*E176/D176-0.00001</f>
        <v>195.83332522727272</v>
      </c>
      <c r="K176" s="13">
        <f>J176*F176/E176</f>
        <v>70.499997081818179</v>
      </c>
      <c r="L176" s="49">
        <f>K176*G176/F176</f>
        <v>70.499997081818179</v>
      </c>
      <c r="M176" s="10">
        <v>0.9</v>
      </c>
      <c r="N176" s="50">
        <v>98198</v>
      </c>
      <c r="O176" s="50">
        <v>72691</v>
      </c>
      <c r="P176" s="48">
        <f t="shared" si="17"/>
        <v>25507</v>
      </c>
    </row>
    <row r="177" spans="1:16" ht="15.95" customHeight="1" x14ac:dyDescent="0.25">
      <c r="A177" s="15" t="s">
        <v>298</v>
      </c>
      <c r="B177" s="8" t="s">
        <v>1004</v>
      </c>
      <c r="C177" s="9">
        <v>24933</v>
      </c>
      <c r="D177" s="12">
        <v>32.31</v>
      </c>
      <c r="E177" s="12">
        <v>32.31</v>
      </c>
      <c r="F177" s="12">
        <v>32.31</v>
      </c>
      <c r="G177" s="12">
        <v>32.31</v>
      </c>
      <c r="H177" s="10">
        <v>26.36</v>
      </c>
      <c r="I177" s="13">
        <v>12199.608840000001</v>
      </c>
      <c r="J177" s="13">
        <f>I177*E177/D177</f>
        <v>12199.608840000001</v>
      </c>
      <c r="K177" s="13">
        <f>J177*F177/E177+680.104</f>
        <v>12879.71284</v>
      </c>
      <c r="L177" s="49">
        <f>K177*G177/F177</f>
        <v>12879.71284</v>
      </c>
      <c r="M177" s="10">
        <v>26.36</v>
      </c>
      <c r="N177" s="50">
        <v>12951098</v>
      </c>
      <c r="O177" s="50">
        <v>12064040</v>
      </c>
      <c r="P177" s="48">
        <f t="shared" si="17"/>
        <v>887058</v>
      </c>
    </row>
    <row r="178" spans="1:16" ht="15.95" customHeight="1" x14ac:dyDescent="0.25">
      <c r="A178" s="20" t="s">
        <v>300</v>
      </c>
      <c r="B178" s="8" t="s">
        <v>372</v>
      </c>
      <c r="C178" s="9">
        <v>25025</v>
      </c>
      <c r="D178" s="12">
        <v>26.15</v>
      </c>
      <c r="E178" s="12">
        <v>22.22</v>
      </c>
      <c r="F178" s="12">
        <v>21.68</v>
      </c>
      <c r="G178" s="12">
        <v>21.68</v>
      </c>
      <c r="H178" s="10">
        <v>14.95</v>
      </c>
      <c r="I178" s="13">
        <v>5984</v>
      </c>
      <c r="J178" s="13">
        <f>I178*E178/D178</f>
        <v>5084.6837476099427</v>
      </c>
      <c r="K178" s="13">
        <f>J178*F178/E178</f>
        <v>4961.1135755258128</v>
      </c>
      <c r="L178" s="49">
        <f>K178*G178/F178+138.752</f>
        <v>5099.8655755258133</v>
      </c>
      <c r="M178" s="10">
        <v>14.95</v>
      </c>
      <c r="N178" s="50">
        <v>7398312</v>
      </c>
      <c r="O178" s="50">
        <v>4590134</v>
      </c>
      <c r="P178" s="48">
        <f t="shared" si="17"/>
        <v>2808178</v>
      </c>
    </row>
    <row r="179" spans="1:16" ht="15.95" customHeight="1" x14ac:dyDescent="0.25">
      <c r="A179" s="15" t="s">
        <v>301</v>
      </c>
      <c r="B179" s="8" t="s">
        <v>374</v>
      </c>
      <c r="C179" s="9" t="s">
        <v>375</v>
      </c>
      <c r="D179" s="12">
        <v>17.61</v>
      </c>
      <c r="E179" s="12">
        <v>17.61</v>
      </c>
      <c r="F179" s="12">
        <v>17.61</v>
      </c>
      <c r="G179" s="12">
        <v>17.61</v>
      </c>
      <c r="H179" s="10">
        <v>16.7</v>
      </c>
      <c r="I179" s="13">
        <v>4547</v>
      </c>
      <c r="J179" s="13">
        <f>I179*E179/D179</f>
        <v>4547</v>
      </c>
      <c r="K179" s="13">
        <f>J179*F179/E179</f>
        <v>4547</v>
      </c>
      <c r="L179" s="49">
        <f>K179*G179/F179</f>
        <v>4547</v>
      </c>
      <c r="M179" s="10">
        <v>16.7</v>
      </c>
      <c r="N179" s="50">
        <v>6350498</v>
      </c>
      <c r="O179" s="50">
        <v>5773154</v>
      </c>
      <c r="P179" s="48">
        <f t="shared" si="17"/>
        <v>577344</v>
      </c>
    </row>
    <row r="180" spans="1:16" ht="15.95" customHeight="1" x14ac:dyDescent="0.25">
      <c r="A180" s="15" t="s">
        <v>304</v>
      </c>
      <c r="B180" s="8" t="s">
        <v>991</v>
      </c>
      <c r="C180" s="9" t="s">
        <v>992</v>
      </c>
      <c r="D180" s="12"/>
      <c r="E180" s="12"/>
      <c r="F180" s="12"/>
      <c r="G180" s="12"/>
      <c r="H180" s="10">
        <v>26.12</v>
      </c>
      <c r="I180" s="13"/>
      <c r="J180" s="13"/>
      <c r="K180" s="13"/>
      <c r="L180" s="49"/>
      <c r="M180" s="10">
        <v>26.12</v>
      </c>
      <c r="N180" s="50">
        <v>32380100</v>
      </c>
      <c r="O180" s="50">
        <v>5029557</v>
      </c>
      <c r="P180" s="48">
        <f t="shared" si="17"/>
        <v>27350543</v>
      </c>
    </row>
    <row r="181" spans="1:16" ht="15.95" customHeight="1" x14ac:dyDescent="0.25">
      <c r="A181" s="20" t="s">
        <v>305</v>
      </c>
      <c r="B181" s="8" t="s">
        <v>378</v>
      </c>
      <c r="C181" s="9">
        <v>23872</v>
      </c>
      <c r="D181" s="12">
        <v>9.31</v>
      </c>
      <c r="E181" s="12">
        <v>9.31</v>
      </c>
      <c r="F181" s="12">
        <v>9.31</v>
      </c>
      <c r="G181" s="12">
        <v>9.31</v>
      </c>
      <c r="H181" s="10">
        <v>9.31</v>
      </c>
      <c r="I181" s="13">
        <v>511</v>
      </c>
      <c r="J181" s="13">
        <f t="shared" ref="J181:K193" si="26">I181*E181/D181</f>
        <v>510.99999999999994</v>
      </c>
      <c r="K181" s="13">
        <f t="shared" si="26"/>
        <v>510.99999999999994</v>
      </c>
      <c r="L181" s="49">
        <f>K181*G181/F181+48.866</f>
        <v>559.86599999999999</v>
      </c>
      <c r="M181" s="10">
        <v>9.31</v>
      </c>
      <c r="N181" s="50">
        <v>578198</v>
      </c>
      <c r="O181" s="50">
        <v>514192</v>
      </c>
      <c r="P181" s="48">
        <f t="shared" si="17"/>
        <v>64006</v>
      </c>
    </row>
    <row r="182" spans="1:16" ht="15.95" customHeight="1" x14ac:dyDescent="0.25">
      <c r="A182" s="15" t="s">
        <v>306</v>
      </c>
      <c r="B182" s="8" t="s">
        <v>381</v>
      </c>
      <c r="C182" s="9">
        <v>23868</v>
      </c>
      <c r="D182" s="12">
        <v>9.1199999999999992</v>
      </c>
      <c r="E182" s="12">
        <v>6.13</v>
      </c>
      <c r="F182" s="12">
        <v>6.13</v>
      </c>
      <c r="G182" s="12">
        <v>6.13</v>
      </c>
      <c r="H182" s="10">
        <v>4.5999999999999996</v>
      </c>
      <c r="I182" s="13">
        <v>641</v>
      </c>
      <c r="J182" s="13">
        <f t="shared" si="26"/>
        <v>430.84758771929825</v>
      </c>
      <c r="K182" s="13">
        <f t="shared" si="26"/>
        <v>430.84758771929825</v>
      </c>
      <c r="L182" s="49">
        <f>K182*G182/F182+153.25</f>
        <v>584.09758771929819</v>
      </c>
      <c r="M182" s="10">
        <v>4.5999999999999996</v>
      </c>
      <c r="N182" s="50">
        <v>1092574</v>
      </c>
      <c r="O182" s="50">
        <v>459878</v>
      </c>
      <c r="P182" s="48">
        <f t="shared" si="17"/>
        <v>632696</v>
      </c>
    </row>
    <row r="183" spans="1:16" ht="15.95" customHeight="1" x14ac:dyDescent="0.25">
      <c r="A183" s="15" t="s">
        <v>309</v>
      </c>
      <c r="B183" s="8" t="s">
        <v>383</v>
      </c>
      <c r="C183" s="9">
        <v>23867</v>
      </c>
      <c r="D183" s="12">
        <v>23.52</v>
      </c>
      <c r="E183" s="12">
        <v>23.52</v>
      </c>
      <c r="F183" s="12">
        <v>22.32</v>
      </c>
      <c r="G183" s="12">
        <v>22.32</v>
      </c>
      <c r="H183" s="10">
        <v>21.15</v>
      </c>
      <c r="I183" s="13">
        <v>2290</v>
      </c>
      <c r="J183" s="13">
        <f t="shared" si="26"/>
        <v>2290</v>
      </c>
      <c r="K183" s="13">
        <f t="shared" si="26"/>
        <v>2173.1632653061224</v>
      </c>
      <c r="L183" s="49">
        <f>K183*G183/F183</f>
        <v>2173.1632653061224</v>
      </c>
      <c r="M183" s="10">
        <v>21.15</v>
      </c>
      <c r="N183" s="50">
        <v>3901962</v>
      </c>
      <c r="O183" s="50">
        <v>2771583</v>
      </c>
      <c r="P183" s="48">
        <f t="shared" si="17"/>
        <v>1130379</v>
      </c>
    </row>
    <row r="184" spans="1:16" ht="15.95" customHeight="1" x14ac:dyDescent="0.25">
      <c r="A184" s="20" t="s">
        <v>310</v>
      </c>
      <c r="B184" s="8" t="s">
        <v>385</v>
      </c>
      <c r="C184" s="9">
        <v>23986</v>
      </c>
      <c r="D184" s="12">
        <v>18.59</v>
      </c>
      <c r="E184" s="12">
        <v>11.8</v>
      </c>
      <c r="F184" s="12">
        <v>11.8</v>
      </c>
      <c r="G184" s="12">
        <v>11.8</v>
      </c>
      <c r="H184" s="10">
        <v>5.01</v>
      </c>
      <c r="I184" s="13">
        <v>1086.729</v>
      </c>
      <c r="J184" s="13">
        <f t="shared" si="26"/>
        <v>689.80108660570204</v>
      </c>
      <c r="K184" s="13">
        <f>J184*F184/E184+2484.099</f>
        <v>3173.9000866057022</v>
      </c>
      <c r="L184" s="49">
        <f>K184*G184/F184</f>
        <v>3173.9000866057022</v>
      </c>
      <c r="M184" s="10">
        <v>5.01</v>
      </c>
      <c r="N184" s="50">
        <v>1608814</v>
      </c>
      <c r="O184" s="50">
        <v>756948</v>
      </c>
      <c r="P184" s="48">
        <f t="shared" si="17"/>
        <v>851866</v>
      </c>
    </row>
    <row r="185" spans="1:16" ht="15.95" customHeight="1" x14ac:dyDescent="0.25">
      <c r="A185" s="15" t="s">
        <v>311</v>
      </c>
      <c r="B185" s="8" t="s">
        <v>387</v>
      </c>
      <c r="C185" s="9">
        <v>23992</v>
      </c>
      <c r="D185" s="12">
        <f>47.94-3.85</f>
        <v>44.089999999999996</v>
      </c>
      <c r="E185" s="12">
        <f>45.62-3.85</f>
        <v>41.769999999999996</v>
      </c>
      <c r="F185" s="12">
        <v>42.02</v>
      </c>
      <c r="G185" s="12">
        <v>26.07</v>
      </c>
      <c r="H185" s="10">
        <v>19.28</v>
      </c>
      <c r="I185" s="13">
        <v>21403.603999999999</v>
      </c>
      <c r="J185" s="13">
        <f t="shared" si="26"/>
        <v>20277.354027670674</v>
      </c>
      <c r="K185" s="13">
        <f>J185*F185/E185+2434.762+973.101</f>
        <v>23806.580171240643</v>
      </c>
      <c r="L185" s="49">
        <f>K185*G185/F185+1507.832</f>
        <v>16277.883048649299</v>
      </c>
      <c r="M185" s="10">
        <v>19.28</v>
      </c>
      <c r="N185" s="50">
        <v>60827304</v>
      </c>
      <c r="O185" s="50">
        <v>14983814</v>
      </c>
      <c r="P185" s="48">
        <f t="shared" si="17"/>
        <v>45843490</v>
      </c>
    </row>
    <row r="186" spans="1:16" ht="15.95" customHeight="1" x14ac:dyDescent="0.25">
      <c r="A186" s="15" t="s">
        <v>312</v>
      </c>
      <c r="B186" s="8" t="s">
        <v>389</v>
      </c>
      <c r="C186" s="9">
        <v>24009</v>
      </c>
      <c r="D186" s="12">
        <v>31.52</v>
      </c>
      <c r="E186" s="12">
        <f>37.04-5.52</f>
        <v>31.52</v>
      </c>
      <c r="F186" s="12">
        <v>31.2</v>
      </c>
      <c r="G186" s="12">
        <f>25.96-5.52</f>
        <v>20.440000000000001</v>
      </c>
      <c r="H186" s="10">
        <v>16.04</v>
      </c>
      <c r="I186" s="13">
        <v>3268.6345200000001</v>
      </c>
      <c r="J186" s="13">
        <f t="shared" si="26"/>
        <v>3268.6345200000001</v>
      </c>
      <c r="K186" s="13">
        <f>J186*F186/E186</f>
        <v>3235.4504131979697</v>
      </c>
      <c r="L186" s="49">
        <f>K186*G186/F186</f>
        <v>2119.6348219796955</v>
      </c>
      <c r="M186" s="10">
        <v>16.04</v>
      </c>
      <c r="N186" s="50">
        <v>5319879</v>
      </c>
      <c r="O186" s="50">
        <v>2388647</v>
      </c>
      <c r="P186" s="48">
        <f t="shared" si="17"/>
        <v>2931232</v>
      </c>
    </row>
    <row r="187" spans="1:16" ht="15.95" customHeight="1" x14ac:dyDescent="0.25">
      <c r="A187" s="20" t="s">
        <v>314</v>
      </c>
      <c r="B187" s="8" t="s">
        <v>392</v>
      </c>
      <c r="C187" s="9">
        <v>24505</v>
      </c>
      <c r="D187" s="12">
        <v>46.69</v>
      </c>
      <c r="E187" s="12">
        <v>46.69</v>
      </c>
      <c r="F187" s="12">
        <v>46.69</v>
      </c>
      <c r="G187" s="12">
        <v>45.07</v>
      </c>
      <c r="H187" s="10">
        <v>38.33</v>
      </c>
      <c r="I187" s="13">
        <v>15925.152690000001</v>
      </c>
      <c r="J187" s="13">
        <f t="shared" si="26"/>
        <v>15925.152690000001</v>
      </c>
      <c r="K187" s="13">
        <f>J187*F187/E187</f>
        <v>15925.152690000001</v>
      </c>
      <c r="L187" s="49">
        <f>K187*G187/F187+72.735</f>
        <v>15445.333666487473</v>
      </c>
      <c r="M187" s="10">
        <v>38.33</v>
      </c>
      <c r="N187" s="50">
        <v>36730696</v>
      </c>
      <c r="O187" s="50">
        <v>15265056</v>
      </c>
      <c r="P187" s="48">
        <f t="shared" ref="P187:P247" si="27">N187-O187</f>
        <v>21465640</v>
      </c>
    </row>
    <row r="188" spans="1:16" ht="15.95" customHeight="1" x14ac:dyDescent="0.25">
      <c r="A188" s="15" t="s">
        <v>315</v>
      </c>
      <c r="B188" s="8" t="s">
        <v>394</v>
      </c>
      <c r="C188" s="9">
        <v>24504</v>
      </c>
      <c r="D188" s="12">
        <v>15.78</v>
      </c>
      <c r="E188" s="12">
        <v>15.78</v>
      </c>
      <c r="F188" s="12">
        <v>15.78</v>
      </c>
      <c r="G188" s="12">
        <v>15.78</v>
      </c>
      <c r="H188" s="10">
        <v>8.68</v>
      </c>
      <c r="I188" s="13">
        <v>3474</v>
      </c>
      <c r="J188" s="13">
        <f t="shared" si="26"/>
        <v>3474</v>
      </c>
      <c r="K188" s="13">
        <f>J188*F188/E188</f>
        <v>3474</v>
      </c>
      <c r="L188" s="49">
        <f>K188*G188/F188+94.39+56.459</f>
        <v>3624.8489999999997</v>
      </c>
      <c r="M188" s="10">
        <v>5.32</v>
      </c>
      <c r="N188" s="50">
        <v>1520614</v>
      </c>
      <c r="O188" s="50">
        <v>1164945</v>
      </c>
      <c r="P188" s="48">
        <f t="shared" si="27"/>
        <v>355669</v>
      </c>
    </row>
    <row r="189" spans="1:16" ht="15.95" customHeight="1" x14ac:dyDescent="0.25">
      <c r="A189" s="15" t="s">
        <v>317</v>
      </c>
      <c r="B189" s="8" t="s">
        <v>396</v>
      </c>
      <c r="C189" s="9">
        <v>24532</v>
      </c>
      <c r="D189" s="12">
        <v>39.83</v>
      </c>
      <c r="E189" s="12">
        <f>57.16-17.33</f>
        <v>39.83</v>
      </c>
      <c r="F189" s="12">
        <f>57.16-17.33</f>
        <v>39.83</v>
      </c>
      <c r="G189" s="12">
        <f>57.16-17.33</f>
        <v>39.83</v>
      </c>
      <c r="H189" s="10">
        <v>38.99</v>
      </c>
      <c r="I189" s="13">
        <v>22476.542000000001</v>
      </c>
      <c r="J189" s="13">
        <f t="shared" si="26"/>
        <v>22476.542000000001</v>
      </c>
      <c r="K189" s="13">
        <f>J189*F189/E189</f>
        <v>22476.542000000001</v>
      </c>
      <c r="L189" s="49">
        <f>K189*G189/F189</f>
        <v>22476.542000000001</v>
      </c>
      <c r="M189" s="10">
        <v>38.99</v>
      </c>
      <c r="N189" s="50">
        <v>38636695</v>
      </c>
      <c r="O189" s="50">
        <v>26367991</v>
      </c>
      <c r="P189" s="48">
        <f t="shared" si="27"/>
        <v>12268704</v>
      </c>
    </row>
    <row r="190" spans="1:16" ht="15.95" customHeight="1" x14ac:dyDescent="0.25">
      <c r="A190" s="20" t="s">
        <v>319</v>
      </c>
      <c r="B190" s="8" t="s">
        <v>399</v>
      </c>
      <c r="C190" s="9">
        <v>24467</v>
      </c>
      <c r="D190" s="59">
        <v>9.39</v>
      </c>
      <c r="E190" s="59">
        <v>5.78</v>
      </c>
      <c r="F190" s="12">
        <v>5.7850000000000001</v>
      </c>
      <c r="G190" s="12">
        <v>5.7850000000000001</v>
      </c>
      <c r="H190" s="10">
        <v>5.12</v>
      </c>
      <c r="I190" s="13">
        <v>8235.9202800000003</v>
      </c>
      <c r="J190" s="13">
        <f t="shared" si="26"/>
        <v>5069.6080104792336</v>
      </c>
      <c r="K190" s="13">
        <f>5069.60801+40.495</f>
        <v>5110.1030099999998</v>
      </c>
      <c r="L190" s="49">
        <f>K190*G190/F190</f>
        <v>5110.1030099999998</v>
      </c>
      <c r="M190" s="10">
        <v>5.12</v>
      </c>
      <c r="N190" s="50">
        <v>13594926.590998042</v>
      </c>
      <c r="O190" s="50">
        <v>5600070</v>
      </c>
      <c r="P190" s="48">
        <f t="shared" si="27"/>
        <v>7994856.5909980424</v>
      </c>
    </row>
    <row r="191" spans="1:16" ht="15.95" customHeight="1" x14ac:dyDescent="0.25">
      <c r="A191" s="15" t="s">
        <v>320</v>
      </c>
      <c r="B191" s="8" t="s">
        <v>400</v>
      </c>
      <c r="C191" s="9">
        <v>24466</v>
      </c>
      <c r="D191" s="12">
        <v>25.36</v>
      </c>
      <c r="E191" s="12">
        <v>24.85</v>
      </c>
      <c r="F191" s="12">
        <v>8.5399999999999991</v>
      </c>
      <c r="G191" s="12">
        <v>8.5399999999999991</v>
      </c>
      <c r="H191" s="10">
        <v>7.78</v>
      </c>
      <c r="I191" s="13">
        <v>4268</v>
      </c>
      <c r="J191" s="13">
        <f t="shared" si="26"/>
        <v>4182.1687697160887</v>
      </c>
      <c r="K191" s="13">
        <f>J191*F191/E191</f>
        <v>1437.2523659305991</v>
      </c>
      <c r="L191" s="49">
        <f>K191*G191/F191</f>
        <v>1437.2523659305991</v>
      </c>
      <c r="M191" s="10">
        <v>7.78</v>
      </c>
      <c r="N191" s="50">
        <v>4689362</v>
      </c>
      <c r="O191" s="50">
        <v>2104482</v>
      </c>
      <c r="P191" s="48">
        <f t="shared" si="27"/>
        <v>2584880</v>
      </c>
    </row>
    <row r="192" spans="1:16" ht="15.95" customHeight="1" x14ac:dyDescent="0.25">
      <c r="A192" s="15" t="s">
        <v>322</v>
      </c>
      <c r="B192" s="8" t="s">
        <v>402</v>
      </c>
      <c r="C192" s="9">
        <v>24461</v>
      </c>
      <c r="D192" s="12">
        <v>38.46</v>
      </c>
      <c r="E192" s="12">
        <f>40.66-2.2</f>
        <v>38.459999999999994</v>
      </c>
      <c r="F192" s="12">
        <v>40.71</v>
      </c>
      <c r="G192" s="12">
        <f>40.66-2.2</f>
        <v>38.459999999999994</v>
      </c>
      <c r="H192" s="10">
        <v>33.340000000000003</v>
      </c>
      <c r="I192" s="13">
        <v>13832.549059999999</v>
      </c>
      <c r="J192" s="13">
        <f t="shared" si="26"/>
        <v>13832.549059999998</v>
      </c>
      <c r="K192" s="13">
        <f>J192*F192/E192</f>
        <v>14641.78554946958</v>
      </c>
      <c r="L192" s="49">
        <f>K192*G192/F192</f>
        <v>13832.549059999999</v>
      </c>
      <c r="M192" s="10">
        <v>33.340000000000003</v>
      </c>
      <c r="N192" s="50">
        <v>77865211</v>
      </c>
      <c r="O192" s="50">
        <v>33110680</v>
      </c>
      <c r="P192" s="48">
        <f t="shared" si="27"/>
        <v>44754531</v>
      </c>
    </row>
    <row r="193" spans="1:16" ht="15.95" customHeight="1" x14ac:dyDescent="0.25">
      <c r="A193" s="20" t="s">
        <v>323</v>
      </c>
      <c r="B193" s="8" t="s">
        <v>404</v>
      </c>
      <c r="C193" s="9">
        <v>24465</v>
      </c>
      <c r="D193" s="12">
        <v>39.74</v>
      </c>
      <c r="E193" s="12">
        <v>37.1</v>
      </c>
      <c r="F193" s="12">
        <v>34.72</v>
      </c>
      <c r="G193" s="12">
        <v>34.72</v>
      </c>
      <c r="H193" s="10">
        <v>10.65</v>
      </c>
      <c r="I193" s="13">
        <v>5915</v>
      </c>
      <c r="J193" s="13">
        <f t="shared" si="26"/>
        <v>5522.0558631102158</v>
      </c>
      <c r="K193" s="13">
        <f>J193*F193/E193</f>
        <v>5167.8107700050323</v>
      </c>
      <c r="L193" s="49">
        <f>K193*G193/F193</f>
        <v>5167.8107700050323</v>
      </c>
      <c r="M193" s="10">
        <v>10.65</v>
      </c>
      <c r="N193" s="50">
        <v>1741932.0747663553</v>
      </c>
      <c r="O193" s="50">
        <v>1346247</v>
      </c>
      <c r="P193" s="48">
        <f t="shared" si="27"/>
        <v>395685.07476635533</v>
      </c>
    </row>
    <row r="194" spans="1:16" ht="15.95" customHeight="1" x14ac:dyDescent="0.25">
      <c r="A194" s="15" t="s">
        <v>325</v>
      </c>
      <c r="B194" s="8" t="s">
        <v>1020</v>
      </c>
      <c r="C194" s="9">
        <v>24464</v>
      </c>
      <c r="D194" s="12">
        <v>30.65</v>
      </c>
      <c r="E194" s="12">
        <v>30.65</v>
      </c>
      <c r="F194" s="12">
        <v>30.65</v>
      </c>
      <c r="G194" s="12">
        <v>30.65</v>
      </c>
      <c r="H194" s="14">
        <v>13.57</v>
      </c>
      <c r="I194" s="13">
        <v>3795.1640000000002</v>
      </c>
      <c r="J194" s="13">
        <f>I24*E24/D24</f>
        <v>5514.3639999999996</v>
      </c>
      <c r="K194" s="13">
        <f>J194*F194/E194</f>
        <v>5514.3640000000005</v>
      </c>
      <c r="L194" s="49">
        <f>K194*G194/F194+18.635+41.719</f>
        <v>5574.7180000000008</v>
      </c>
      <c r="M194" s="14">
        <v>13.57</v>
      </c>
      <c r="N194" s="50">
        <v>4387712</v>
      </c>
      <c r="O194" s="50">
        <v>2095297</v>
      </c>
      <c r="P194" s="48">
        <f t="shared" si="27"/>
        <v>2292415</v>
      </c>
    </row>
    <row r="195" spans="1:16" ht="15.95" customHeight="1" x14ac:dyDescent="0.25">
      <c r="A195" s="15" t="s">
        <v>327</v>
      </c>
      <c r="B195" s="8" t="s">
        <v>966</v>
      </c>
      <c r="C195" s="9" t="s">
        <v>967</v>
      </c>
      <c r="D195" s="12"/>
      <c r="E195" s="12"/>
      <c r="F195" s="12"/>
      <c r="G195" s="12"/>
      <c r="H195" s="10">
        <v>16.309999999999999</v>
      </c>
      <c r="I195" s="13"/>
      <c r="J195" s="13"/>
      <c r="K195" s="13"/>
      <c r="L195" s="49"/>
      <c r="M195" s="19">
        <v>16.309999999999999</v>
      </c>
      <c r="N195" s="50">
        <v>56205022</v>
      </c>
      <c r="O195" s="50">
        <v>20423969</v>
      </c>
      <c r="P195" s="48">
        <f t="shared" si="27"/>
        <v>35781053</v>
      </c>
    </row>
    <row r="196" spans="1:16" ht="15.95" customHeight="1" x14ac:dyDescent="0.25">
      <c r="A196" s="20" t="s">
        <v>328</v>
      </c>
      <c r="B196" s="8" t="s">
        <v>407</v>
      </c>
      <c r="C196" s="9">
        <v>24861</v>
      </c>
      <c r="D196" s="12">
        <v>15.79</v>
      </c>
      <c r="E196" s="12">
        <f>26.09-10.3</f>
        <v>15.79</v>
      </c>
      <c r="F196" s="12">
        <v>24.63</v>
      </c>
      <c r="G196" s="12">
        <f>26.09-1.46</f>
        <v>24.63</v>
      </c>
      <c r="H196" s="10">
        <v>1.88</v>
      </c>
      <c r="I196" s="13">
        <v>3668</v>
      </c>
      <c r="J196" s="13">
        <f t="shared" ref="J196:L208" si="28">I196*E196/D196</f>
        <v>3668</v>
      </c>
      <c r="K196" s="13">
        <f t="shared" si="28"/>
        <v>5721.5224825839141</v>
      </c>
      <c r="L196" s="49">
        <f>K196*G196/F196+416.657</f>
        <v>6138.1794825839143</v>
      </c>
      <c r="M196" s="10">
        <v>1.88</v>
      </c>
      <c r="N196" s="50">
        <v>1173076</v>
      </c>
      <c r="O196" s="50">
        <v>575295</v>
      </c>
      <c r="P196" s="48">
        <f t="shared" si="27"/>
        <v>597781</v>
      </c>
    </row>
    <row r="197" spans="1:16" ht="15.95" customHeight="1" x14ac:dyDescent="0.25">
      <c r="A197" s="15" t="s">
        <v>331</v>
      </c>
      <c r="B197" s="8" t="s">
        <v>409</v>
      </c>
      <c r="C197" s="9">
        <v>24856</v>
      </c>
      <c r="D197" s="12">
        <v>22.54</v>
      </c>
      <c r="E197" s="12">
        <v>19.95</v>
      </c>
      <c r="F197" s="12">
        <v>15.76</v>
      </c>
      <c r="G197" s="12">
        <v>15.76</v>
      </c>
      <c r="H197" s="10">
        <v>10.71</v>
      </c>
      <c r="I197" s="13">
        <v>2764</v>
      </c>
      <c r="J197" s="13">
        <f t="shared" si="28"/>
        <v>2446.3975155279504</v>
      </c>
      <c r="K197" s="13">
        <f t="shared" si="28"/>
        <v>1932.5927240461403</v>
      </c>
      <c r="L197" s="49">
        <f t="shared" si="28"/>
        <v>1932.5927240461403</v>
      </c>
      <c r="M197" s="10">
        <v>10.71</v>
      </c>
      <c r="N197" s="50">
        <v>9032942</v>
      </c>
      <c r="O197" s="50">
        <v>2587639</v>
      </c>
      <c r="P197" s="48">
        <f t="shared" si="27"/>
        <v>6445303</v>
      </c>
    </row>
    <row r="198" spans="1:16" ht="15.95" customHeight="1" x14ac:dyDescent="0.25">
      <c r="A198" s="15" t="s">
        <v>333</v>
      </c>
      <c r="B198" s="8" t="s">
        <v>413</v>
      </c>
      <c r="C198" s="9">
        <v>24841</v>
      </c>
      <c r="D198" s="12">
        <v>37.770000000000003</v>
      </c>
      <c r="E198" s="12">
        <v>37.770000000000003</v>
      </c>
      <c r="F198" s="12">
        <v>36.82</v>
      </c>
      <c r="G198" s="12">
        <v>36.82</v>
      </c>
      <c r="H198" s="10">
        <v>9.33</v>
      </c>
      <c r="I198" s="13">
        <v>7353.6571000000004</v>
      </c>
      <c r="J198" s="13">
        <f t="shared" si="28"/>
        <v>7353.6571000000004</v>
      </c>
      <c r="K198" s="13">
        <f>J198*F198/E198+256.037</f>
        <v>7424.7331721472065</v>
      </c>
      <c r="L198" s="49">
        <f t="shared" si="28"/>
        <v>7424.7331721472056</v>
      </c>
      <c r="M198" s="10">
        <v>9.33</v>
      </c>
      <c r="N198" s="50">
        <v>6787936</v>
      </c>
      <c r="O198" s="50">
        <v>4868467</v>
      </c>
      <c r="P198" s="48">
        <f t="shared" si="27"/>
        <v>1919469</v>
      </c>
    </row>
    <row r="199" spans="1:16" ht="15.95" customHeight="1" x14ac:dyDescent="0.25">
      <c r="A199" s="20" t="s">
        <v>334</v>
      </c>
      <c r="B199" s="8" t="s">
        <v>415</v>
      </c>
      <c r="C199" s="9">
        <v>24843</v>
      </c>
      <c r="D199" s="12">
        <v>33.200000000000003</v>
      </c>
      <c r="E199" s="12">
        <v>33.200000000000003</v>
      </c>
      <c r="F199" s="12">
        <v>33.200000000000003</v>
      </c>
      <c r="G199" s="12">
        <v>33.200000000000003</v>
      </c>
      <c r="H199" s="10">
        <v>33.24</v>
      </c>
      <c r="I199" s="13">
        <v>3191.9816099999998</v>
      </c>
      <c r="J199" s="13">
        <f t="shared" si="28"/>
        <v>3191.9816099999998</v>
      </c>
      <c r="K199" s="13">
        <f>J199*F199/E199</f>
        <v>3191.9816099999998</v>
      </c>
      <c r="L199" s="49">
        <f t="shared" si="28"/>
        <v>3191.9816099999998</v>
      </c>
      <c r="M199" s="10">
        <v>33.24</v>
      </c>
      <c r="N199" s="50">
        <v>4578830.6728971964</v>
      </c>
      <c r="O199" s="50">
        <v>3465963</v>
      </c>
      <c r="P199" s="48">
        <f t="shared" si="27"/>
        <v>1112867.6728971964</v>
      </c>
    </row>
    <row r="200" spans="1:16" ht="15.95" customHeight="1" x14ac:dyDescent="0.25">
      <c r="A200" s="15" t="s">
        <v>335</v>
      </c>
      <c r="B200" s="8" t="s">
        <v>418</v>
      </c>
      <c r="C200" s="9">
        <v>24844</v>
      </c>
      <c r="D200" s="12">
        <v>28.55</v>
      </c>
      <c r="E200" s="12">
        <v>23.18</v>
      </c>
      <c r="F200" s="12">
        <f>29.62-6.44</f>
        <v>23.18</v>
      </c>
      <c r="G200" s="12">
        <f>28.55-6.44</f>
        <v>22.11</v>
      </c>
      <c r="H200" s="10">
        <v>23.55</v>
      </c>
      <c r="I200" s="13">
        <v>7649.2460000000001</v>
      </c>
      <c r="J200" s="13">
        <f t="shared" si="28"/>
        <v>6210.4911481611207</v>
      </c>
      <c r="K200" s="13">
        <f>J200*F200/E200</f>
        <v>6210.4911481611207</v>
      </c>
      <c r="L200" s="49">
        <f t="shared" si="28"/>
        <v>5923.8118760070047</v>
      </c>
      <c r="M200" s="10">
        <v>23.55</v>
      </c>
      <c r="N200" s="50">
        <v>7241722</v>
      </c>
      <c r="O200" s="50">
        <v>5031636</v>
      </c>
      <c r="P200" s="48">
        <f t="shared" si="27"/>
        <v>2210086</v>
      </c>
    </row>
    <row r="201" spans="1:16" ht="15.95" customHeight="1" x14ac:dyDescent="0.25">
      <c r="A201" s="15" t="s">
        <v>337</v>
      </c>
      <c r="B201" s="8" t="s">
        <v>421</v>
      </c>
      <c r="C201" s="9">
        <v>24083</v>
      </c>
      <c r="D201" s="12">
        <v>8.11</v>
      </c>
      <c r="E201" s="12">
        <v>8.11</v>
      </c>
      <c r="F201" s="12">
        <v>8.11</v>
      </c>
      <c r="G201" s="12">
        <v>8.11</v>
      </c>
      <c r="H201" s="10">
        <v>1.25</v>
      </c>
      <c r="I201" s="13">
        <v>929.61564999999996</v>
      </c>
      <c r="J201" s="13">
        <f t="shared" si="28"/>
        <v>929.61564999999996</v>
      </c>
      <c r="K201" s="13">
        <v>963.06264999999996</v>
      </c>
      <c r="L201" s="49">
        <f>K201*G201/F201+20.794</f>
        <v>983.85664999999995</v>
      </c>
      <c r="M201" s="10">
        <v>7.64</v>
      </c>
      <c r="N201" s="50">
        <v>1196283</v>
      </c>
      <c r="O201" s="50">
        <v>1152745</v>
      </c>
      <c r="P201" s="48">
        <f t="shared" si="27"/>
        <v>43538</v>
      </c>
    </row>
    <row r="202" spans="1:16" ht="15.95" customHeight="1" x14ac:dyDescent="0.25">
      <c r="A202" s="20" t="s">
        <v>338</v>
      </c>
      <c r="B202" s="8" t="s">
        <v>423</v>
      </c>
      <c r="C202" s="9">
        <v>24082</v>
      </c>
      <c r="D202" s="12">
        <f>35.57-13.04</f>
        <v>22.53</v>
      </c>
      <c r="E202" s="12">
        <f>33.76-13.04</f>
        <v>20.72</v>
      </c>
      <c r="F202" s="12">
        <v>4.21</v>
      </c>
      <c r="G202" s="12">
        <f>17.25-13.04</f>
        <v>4.2100000000000009</v>
      </c>
      <c r="H202" s="10">
        <v>15.36</v>
      </c>
      <c r="I202" s="13">
        <v>6629</v>
      </c>
      <c r="J202" s="13">
        <f t="shared" si="28"/>
        <v>6096.4438526409231</v>
      </c>
      <c r="K202" s="13">
        <f>J202*F202/E202+84.227</f>
        <v>1322.9349449622725</v>
      </c>
      <c r="L202" s="49">
        <f>K202*G202/F202</f>
        <v>1322.934944962273</v>
      </c>
      <c r="M202" s="10">
        <v>15.36</v>
      </c>
      <c r="N202" s="50">
        <v>131511574</v>
      </c>
      <c r="O202" s="50">
        <v>16544389</v>
      </c>
      <c r="P202" s="48">
        <f t="shared" si="27"/>
        <v>114967185</v>
      </c>
    </row>
    <row r="203" spans="1:16" ht="15.95" customHeight="1" x14ac:dyDescent="0.25">
      <c r="A203" s="15" t="s">
        <v>339</v>
      </c>
      <c r="B203" s="8" t="s">
        <v>426</v>
      </c>
      <c r="C203" s="9" t="s">
        <v>427</v>
      </c>
      <c r="D203" s="12">
        <v>31.09</v>
      </c>
      <c r="E203" s="12">
        <v>31.09</v>
      </c>
      <c r="F203" s="12">
        <v>31.09</v>
      </c>
      <c r="G203" s="12">
        <v>31.09</v>
      </c>
      <c r="H203" s="10">
        <v>18.489999999999998</v>
      </c>
      <c r="I203" s="13">
        <v>5509.0214699999997</v>
      </c>
      <c r="J203" s="13">
        <f t="shared" si="28"/>
        <v>5509.0214699999997</v>
      </c>
      <c r="K203" s="13">
        <f>J203*F203/E203</f>
        <v>5509.0214699999997</v>
      </c>
      <c r="L203" s="49">
        <f>K203*G203/F203+130.752</f>
        <v>5639.7734700000001</v>
      </c>
      <c r="M203" s="10">
        <v>18.489999999999998</v>
      </c>
      <c r="N203" s="50">
        <v>3899890.4004305704</v>
      </c>
      <c r="O203" s="50">
        <v>2553116</v>
      </c>
      <c r="P203" s="48">
        <f t="shared" si="27"/>
        <v>1346774.4004305704</v>
      </c>
    </row>
    <row r="204" spans="1:16" ht="15.95" customHeight="1" x14ac:dyDescent="0.25">
      <c r="A204" s="15" t="s">
        <v>341</v>
      </c>
      <c r="B204" s="8" t="s">
        <v>429</v>
      </c>
      <c r="C204" s="9">
        <v>24226</v>
      </c>
      <c r="D204" s="12">
        <v>35.380000000000003</v>
      </c>
      <c r="E204" s="12">
        <v>35.380000000000003</v>
      </c>
      <c r="F204" s="12">
        <v>35.380000000000003</v>
      </c>
      <c r="G204" s="12">
        <v>35.380000000000003</v>
      </c>
      <c r="H204" s="10">
        <v>25.52</v>
      </c>
      <c r="I204" s="13">
        <v>3487</v>
      </c>
      <c r="J204" s="13">
        <f t="shared" si="28"/>
        <v>3487</v>
      </c>
      <c r="K204" s="13">
        <f>J204*F204/E204</f>
        <v>3487</v>
      </c>
      <c r="L204" s="49">
        <f t="shared" ref="L204:L211" si="29">K204*G204/F204</f>
        <v>3487</v>
      </c>
      <c r="M204" s="10">
        <v>25.52</v>
      </c>
      <c r="N204" s="50">
        <v>5795442</v>
      </c>
      <c r="O204" s="50">
        <v>3671452</v>
      </c>
      <c r="P204" s="48">
        <f t="shared" si="27"/>
        <v>2123990</v>
      </c>
    </row>
    <row r="205" spans="1:16" ht="15.95" customHeight="1" x14ac:dyDescent="0.25">
      <c r="A205" s="20" t="s">
        <v>344</v>
      </c>
      <c r="B205" s="8" t="s">
        <v>431</v>
      </c>
      <c r="C205" s="9">
        <v>24227</v>
      </c>
      <c r="D205" s="12">
        <v>41.25</v>
      </c>
      <c r="E205" s="12">
        <f>34.57-2.86</f>
        <v>31.71</v>
      </c>
      <c r="F205" s="12">
        <f>34.57-2.86</f>
        <v>31.71</v>
      </c>
      <c r="G205" s="12">
        <v>31.71</v>
      </c>
      <c r="H205" s="10">
        <v>20.440000000000001</v>
      </c>
      <c r="I205" s="13">
        <v>4249.8181400000003</v>
      </c>
      <c r="J205" s="13">
        <f t="shared" si="28"/>
        <v>3266.9511083490916</v>
      </c>
      <c r="K205" s="13">
        <f>J205*F205/E205</f>
        <v>3266.9511083490916</v>
      </c>
      <c r="L205" s="49">
        <f t="shared" si="29"/>
        <v>3266.9511083490916</v>
      </c>
      <c r="M205" s="10">
        <v>20.440000000000001</v>
      </c>
      <c r="N205" s="50">
        <v>6905082</v>
      </c>
      <c r="O205" s="50">
        <v>3172752</v>
      </c>
      <c r="P205" s="48">
        <f t="shared" si="27"/>
        <v>3732330</v>
      </c>
    </row>
    <row r="206" spans="1:16" ht="15.95" customHeight="1" x14ac:dyDescent="0.25">
      <c r="A206" s="15" t="s">
        <v>345</v>
      </c>
      <c r="B206" s="8" t="s">
        <v>432</v>
      </c>
      <c r="C206" s="9" t="s">
        <v>433</v>
      </c>
      <c r="D206" s="12">
        <v>100</v>
      </c>
      <c r="E206" s="12">
        <v>92.84</v>
      </c>
      <c r="F206" s="12">
        <v>57.48</v>
      </c>
      <c r="G206" s="12">
        <v>57.48</v>
      </c>
      <c r="H206" s="10">
        <v>1.46</v>
      </c>
      <c r="I206" s="11">
        <v>11905</v>
      </c>
      <c r="J206" s="13">
        <f t="shared" si="28"/>
        <v>11052.601999999999</v>
      </c>
      <c r="K206" s="13">
        <f>J206*F206/E206</f>
        <v>6842.9939999999988</v>
      </c>
      <c r="L206" s="49">
        <f t="shared" si="29"/>
        <v>6842.9939999999988</v>
      </c>
      <c r="M206" s="10">
        <v>1.46</v>
      </c>
      <c r="N206" s="50">
        <v>366926</v>
      </c>
      <c r="O206" s="50">
        <v>268746</v>
      </c>
      <c r="P206" s="48">
        <f t="shared" si="27"/>
        <v>98180</v>
      </c>
    </row>
    <row r="207" spans="1:16" ht="15.95" customHeight="1" x14ac:dyDescent="0.25">
      <c r="A207" s="15" t="s">
        <v>346</v>
      </c>
      <c r="B207" s="8" t="s">
        <v>435</v>
      </c>
      <c r="C207" s="9">
        <v>24230</v>
      </c>
      <c r="D207" s="12">
        <v>22.16</v>
      </c>
      <c r="E207" s="12">
        <v>21.83</v>
      </c>
      <c r="F207" s="12">
        <v>21.83</v>
      </c>
      <c r="G207" s="12">
        <v>14.33</v>
      </c>
      <c r="H207" s="10">
        <v>7.9</v>
      </c>
      <c r="I207" s="13">
        <v>6931</v>
      </c>
      <c r="J207" s="13">
        <f t="shared" si="28"/>
        <v>6827.7856498194933</v>
      </c>
      <c r="K207" s="13">
        <f>J207*F207/E207+74.222</f>
        <v>6902.0076498194931</v>
      </c>
      <c r="L207" s="49">
        <f t="shared" si="29"/>
        <v>4530.7269638989164</v>
      </c>
      <c r="M207" s="10">
        <v>7.9</v>
      </c>
      <c r="N207" s="50">
        <v>2569098</v>
      </c>
      <c r="O207" s="50">
        <v>1855799</v>
      </c>
      <c r="P207" s="48">
        <f t="shared" si="27"/>
        <v>713299</v>
      </c>
    </row>
    <row r="208" spans="1:16" ht="15.95" customHeight="1" x14ac:dyDescent="0.25">
      <c r="A208" s="20" t="s">
        <v>347</v>
      </c>
      <c r="B208" s="8" t="s">
        <v>437</v>
      </c>
      <c r="C208" s="9">
        <v>24231</v>
      </c>
      <c r="D208" s="12">
        <v>36.54</v>
      </c>
      <c r="E208" s="12">
        <v>36.54</v>
      </c>
      <c r="F208" s="12">
        <v>36.54</v>
      </c>
      <c r="G208" s="12">
        <v>20.95</v>
      </c>
      <c r="H208" s="10">
        <v>20.95</v>
      </c>
      <c r="I208" s="13">
        <v>5190.5690000000004</v>
      </c>
      <c r="J208" s="13">
        <f t="shared" si="28"/>
        <v>5190.5690000000004</v>
      </c>
      <c r="K208" s="13">
        <f t="shared" si="28"/>
        <v>5190.5690000000004</v>
      </c>
      <c r="L208" s="49">
        <f t="shared" si="29"/>
        <v>2975.9830473453753</v>
      </c>
      <c r="M208" s="10">
        <v>20.95</v>
      </c>
      <c r="N208" s="50">
        <v>12610498</v>
      </c>
      <c r="O208" s="50">
        <v>5072071</v>
      </c>
      <c r="P208" s="48">
        <f t="shared" si="27"/>
        <v>7538427</v>
      </c>
    </row>
    <row r="209" spans="1:16" ht="15.95" customHeight="1" x14ac:dyDescent="0.25">
      <c r="A209" s="15" t="s">
        <v>348</v>
      </c>
      <c r="B209" s="8" t="s">
        <v>439</v>
      </c>
      <c r="C209" s="9">
        <v>24232</v>
      </c>
      <c r="D209" s="12">
        <v>53.92</v>
      </c>
      <c r="E209" s="12">
        <v>53.92</v>
      </c>
      <c r="F209" s="12">
        <v>53.92</v>
      </c>
      <c r="G209" s="12">
        <f>35.99</f>
        <v>35.99</v>
      </c>
      <c r="H209" s="10">
        <v>30.02</v>
      </c>
      <c r="I209" s="13">
        <v>7225.2439999999997</v>
      </c>
      <c r="J209" s="13">
        <f t="shared" ref="J209:L222" si="30">I209*E209/D209</f>
        <v>7225.2439999999997</v>
      </c>
      <c r="K209" s="13">
        <f t="shared" si="30"/>
        <v>7225.2439999999997</v>
      </c>
      <c r="L209" s="49">
        <f t="shared" si="29"/>
        <v>4822.6359710682491</v>
      </c>
      <c r="M209" s="10">
        <v>30.02</v>
      </c>
      <c r="N209" s="50">
        <v>7333054</v>
      </c>
      <c r="O209" s="50">
        <v>5715365</v>
      </c>
      <c r="P209" s="48">
        <f t="shared" si="27"/>
        <v>1617689</v>
      </c>
    </row>
    <row r="210" spans="1:16" ht="15.95" customHeight="1" x14ac:dyDescent="0.25">
      <c r="A210" s="15" t="s">
        <v>350</v>
      </c>
      <c r="B210" s="8" t="s">
        <v>441</v>
      </c>
      <c r="C210" s="9">
        <v>24233</v>
      </c>
      <c r="D210" s="12">
        <v>27.42</v>
      </c>
      <c r="E210" s="12">
        <f>22.96-1.29</f>
        <v>21.67</v>
      </c>
      <c r="F210" s="12">
        <v>21.17</v>
      </c>
      <c r="G210" s="12">
        <v>21.17</v>
      </c>
      <c r="H210" s="10">
        <v>13.83</v>
      </c>
      <c r="I210" s="13">
        <v>3282.2037099999998</v>
      </c>
      <c r="J210" s="13">
        <f t="shared" si="30"/>
        <v>2593.9224797848287</v>
      </c>
      <c r="K210" s="13">
        <f t="shared" si="30"/>
        <v>2534.0719380269879</v>
      </c>
      <c r="L210" s="49">
        <f t="shared" si="29"/>
        <v>2534.0719380269879</v>
      </c>
      <c r="M210" s="10">
        <v>19.77</v>
      </c>
      <c r="N210" s="50">
        <v>4882957</v>
      </c>
      <c r="O210" s="50">
        <v>2977281</v>
      </c>
      <c r="P210" s="48">
        <f t="shared" si="27"/>
        <v>1905676</v>
      </c>
    </row>
    <row r="211" spans="1:16" ht="15.95" customHeight="1" x14ac:dyDescent="0.25">
      <c r="A211" s="20" t="s">
        <v>351</v>
      </c>
      <c r="B211" s="8" t="s">
        <v>443</v>
      </c>
      <c r="C211" s="9">
        <v>24234</v>
      </c>
      <c r="D211" s="12">
        <v>36.380000000000003</v>
      </c>
      <c r="E211" s="12">
        <v>36.380000000000003</v>
      </c>
      <c r="F211" s="12">
        <v>36.380000000000003</v>
      </c>
      <c r="G211" s="12">
        <v>36.380000000000003</v>
      </c>
      <c r="H211" s="10">
        <v>36.380000000000003</v>
      </c>
      <c r="I211" s="13">
        <v>5678</v>
      </c>
      <c r="J211" s="13">
        <f t="shared" si="30"/>
        <v>5678</v>
      </c>
      <c r="K211" s="13">
        <f t="shared" si="30"/>
        <v>5678</v>
      </c>
      <c r="L211" s="49">
        <f t="shared" si="29"/>
        <v>5678</v>
      </c>
      <c r="M211" s="10">
        <v>36.380000000000003</v>
      </c>
      <c r="N211" s="50">
        <v>157536698</v>
      </c>
      <c r="O211" s="50">
        <v>45610111</v>
      </c>
      <c r="P211" s="48">
        <f t="shared" si="27"/>
        <v>111926587</v>
      </c>
    </row>
    <row r="212" spans="1:16" ht="15.95" customHeight="1" x14ac:dyDescent="0.25">
      <c r="A212" s="15" t="s">
        <v>353</v>
      </c>
      <c r="B212" s="8" t="s">
        <v>445</v>
      </c>
      <c r="C212" s="9">
        <v>24235</v>
      </c>
      <c r="D212" s="12">
        <v>49.52</v>
      </c>
      <c r="E212" s="12">
        <v>49.52</v>
      </c>
      <c r="F212" s="12">
        <v>48.29</v>
      </c>
      <c r="G212" s="12">
        <v>48.29</v>
      </c>
      <c r="H212" s="10">
        <v>33.57</v>
      </c>
      <c r="I212" s="13">
        <v>10042</v>
      </c>
      <c r="J212" s="13">
        <f t="shared" si="30"/>
        <v>10042</v>
      </c>
      <c r="K212" s="13">
        <f t="shared" si="30"/>
        <v>9792.5722940226169</v>
      </c>
      <c r="L212" s="49">
        <f>K212*G212/F212+214.654</f>
        <v>10007.226294022617</v>
      </c>
      <c r="M212" s="10">
        <v>33.57</v>
      </c>
      <c r="N212" s="50">
        <v>11670803</v>
      </c>
      <c r="O212" s="50">
        <v>8109736</v>
      </c>
      <c r="P212" s="48">
        <f t="shared" si="27"/>
        <v>3561067</v>
      </c>
    </row>
    <row r="213" spans="1:16" ht="15.95" customHeight="1" x14ac:dyDescent="0.25">
      <c r="A213" s="15" t="s">
        <v>355</v>
      </c>
      <c r="B213" s="8" t="s">
        <v>447</v>
      </c>
      <c r="C213" s="9" t="s">
        <v>448</v>
      </c>
      <c r="D213" s="12">
        <v>100</v>
      </c>
      <c r="E213" s="12">
        <v>51.28</v>
      </c>
      <c r="F213" s="12">
        <v>43.27</v>
      </c>
      <c r="G213" s="12">
        <v>43.27</v>
      </c>
      <c r="H213" s="10">
        <v>18.899999999999999</v>
      </c>
      <c r="I213" s="11">
        <v>26720.030999999999</v>
      </c>
      <c r="J213" s="13">
        <f t="shared" si="30"/>
        <v>13702.031896800001</v>
      </c>
      <c r="K213" s="13">
        <f t="shared" si="30"/>
        <v>11561.757413700001</v>
      </c>
      <c r="L213" s="49">
        <f t="shared" si="30"/>
        <v>11561.757413700001</v>
      </c>
      <c r="M213" s="10">
        <v>18.899999999999999</v>
      </c>
      <c r="N213" s="50">
        <v>11921573</v>
      </c>
      <c r="O213" s="50">
        <v>7474196</v>
      </c>
      <c r="P213" s="48">
        <f t="shared" si="27"/>
        <v>4447377</v>
      </c>
    </row>
    <row r="214" spans="1:16" ht="15.95" customHeight="1" x14ac:dyDescent="0.25">
      <c r="A214" s="20" t="s">
        <v>357</v>
      </c>
      <c r="B214" s="8" t="s">
        <v>450</v>
      </c>
      <c r="C214" s="9">
        <v>24238</v>
      </c>
      <c r="D214" s="12">
        <v>52.33</v>
      </c>
      <c r="E214" s="12">
        <v>51.46</v>
      </c>
      <c r="F214" s="12">
        <v>51.65</v>
      </c>
      <c r="G214" s="12">
        <v>50.56</v>
      </c>
      <c r="H214" s="10">
        <v>22.94</v>
      </c>
      <c r="I214" s="13">
        <v>18337.255000000001</v>
      </c>
      <c r="J214" s="13">
        <f t="shared" si="30"/>
        <v>18032.393317408754</v>
      </c>
      <c r="K214" s="13">
        <f t="shared" si="30"/>
        <v>18098.972305560867</v>
      </c>
      <c r="L214" s="49">
        <f t="shared" si="30"/>
        <v>17717.019163004017</v>
      </c>
      <c r="M214" s="10">
        <v>22.94</v>
      </c>
      <c r="N214" s="50">
        <v>21831648</v>
      </c>
      <c r="O214" s="50">
        <v>17645137</v>
      </c>
      <c r="P214" s="48">
        <f t="shared" si="27"/>
        <v>4186511</v>
      </c>
    </row>
    <row r="215" spans="1:16" ht="15.95" customHeight="1" x14ac:dyDescent="0.25">
      <c r="A215" s="15" t="s">
        <v>359</v>
      </c>
      <c r="B215" s="8" t="s">
        <v>453</v>
      </c>
      <c r="C215" s="9">
        <v>24114</v>
      </c>
      <c r="D215" s="12">
        <v>27.8</v>
      </c>
      <c r="E215" s="12">
        <v>27.8</v>
      </c>
      <c r="F215" s="12">
        <v>27.8</v>
      </c>
      <c r="G215" s="12">
        <v>27.8</v>
      </c>
      <c r="H215" s="10">
        <v>3.2</v>
      </c>
      <c r="I215" s="13">
        <v>1737</v>
      </c>
      <c r="J215" s="13">
        <f t="shared" si="30"/>
        <v>1737</v>
      </c>
      <c r="K215" s="13">
        <f t="shared" si="30"/>
        <v>1737</v>
      </c>
      <c r="L215" s="49">
        <f t="shared" si="30"/>
        <v>1737</v>
      </c>
      <c r="M215" s="10">
        <v>3.2</v>
      </c>
      <c r="N215" s="50">
        <v>964897</v>
      </c>
      <c r="O215" s="50">
        <v>282487</v>
      </c>
      <c r="P215" s="48">
        <f t="shared" si="27"/>
        <v>682410</v>
      </c>
    </row>
    <row r="216" spans="1:16" ht="15.95" customHeight="1" x14ac:dyDescent="0.25">
      <c r="A216" s="15" t="s">
        <v>361</v>
      </c>
      <c r="B216" s="8" t="s">
        <v>455</v>
      </c>
      <c r="C216" s="9">
        <v>24158</v>
      </c>
      <c r="D216" s="12">
        <v>17.39</v>
      </c>
      <c r="E216" s="12">
        <v>15.51</v>
      </c>
      <c r="F216" s="12">
        <v>15.51</v>
      </c>
      <c r="G216" s="12">
        <v>15.51</v>
      </c>
      <c r="H216" s="10">
        <v>3.98</v>
      </c>
      <c r="I216" s="13">
        <v>6352</v>
      </c>
      <c r="J216" s="13">
        <f t="shared" si="30"/>
        <v>5665.2972972972975</v>
      </c>
      <c r="K216" s="13">
        <f t="shared" si="30"/>
        <v>5665.2972972972975</v>
      </c>
      <c r="L216" s="49">
        <f t="shared" si="30"/>
        <v>5665.2972972972975</v>
      </c>
      <c r="M216" s="10">
        <v>3.98</v>
      </c>
      <c r="N216" s="50">
        <v>2679771</v>
      </c>
      <c r="O216" s="50">
        <v>1939693</v>
      </c>
      <c r="P216" s="48">
        <f t="shared" si="27"/>
        <v>740078</v>
      </c>
    </row>
    <row r="217" spans="1:16" ht="15.95" customHeight="1" x14ac:dyDescent="0.25">
      <c r="A217" s="20" t="s">
        <v>362</v>
      </c>
      <c r="B217" s="8" t="s">
        <v>1074</v>
      </c>
      <c r="C217" s="9" t="s">
        <v>1077</v>
      </c>
      <c r="D217" s="12"/>
      <c r="E217" s="12"/>
      <c r="F217" s="12"/>
      <c r="G217" s="12"/>
      <c r="H217" s="10">
        <v>2.62</v>
      </c>
      <c r="I217" s="13"/>
      <c r="J217" s="13"/>
      <c r="K217" s="13"/>
      <c r="L217" s="49"/>
      <c r="M217" s="10">
        <v>2.62</v>
      </c>
      <c r="N217" s="50">
        <v>862901</v>
      </c>
      <c r="O217" s="50">
        <v>817299</v>
      </c>
      <c r="P217" s="48">
        <f t="shared" si="27"/>
        <v>45602</v>
      </c>
    </row>
    <row r="218" spans="1:16" ht="15.95" customHeight="1" x14ac:dyDescent="0.25">
      <c r="A218" s="15" t="s">
        <v>364</v>
      </c>
      <c r="B218" s="8" t="s">
        <v>458</v>
      </c>
      <c r="C218" s="9">
        <v>24112</v>
      </c>
      <c r="D218" s="12">
        <v>26.34</v>
      </c>
      <c r="E218" s="12">
        <v>24.49</v>
      </c>
      <c r="F218" s="12">
        <v>21.74</v>
      </c>
      <c r="G218" s="12">
        <v>21.74</v>
      </c>
      <c r="H218" s="10">
        <v>1.77</v>
      </c>
      <c r="I218" s="13">
        <v>6329.8898499999996</v>
      </c>
      <c r="J218" s="13">
        <f t="shared" si="30"/>
        <v>5885.3076092065285</v>
      </c>
      <c r="K218" s="13">
        <f t="shared" si="30"/>
        <v>5224.4421161351547</v>
      </c>
      <c r="L218" s="49">
        <f t="shared" si="30"/>
        <v>5224.4421161351547</v>
      </c>
      <c r="M218" s="10">
        <v>1.77</v>
      </c>
      <c r="N218" s="50">
        <v>647372</v>
      </c>
      <c r="O218" s="50">
        <v>494170</v>
      </c>
      <c r="P218" s="48">
        <f t="shared" si="27"/>
        <v>153202</v>
      </c>
    </row>
    <row r="219" spans="1:16" ht="15.95" customHeight="1" x14ac:dyDescent="0.25">
      <c r="A219" s="15" t="s">
        <v>367</v>
      </c>
      <c r="B219" s="8" t="s">
        <v>460</v>
      </c>
      <c r="C219" s="9">
        <v>24156</v>
      </c>
      <c r="D219" s="12">
        <v>38.15</v>
      </c>
      <c r="E219" s="12">
        <v>35.4</v>
      </c>
      <c r="F219" s="12">
        <v>34.479999999999997</v>
      </c>
      <c r="G219" s="12">
        <v>34.479999999999997</v>
      </c>
      <c r="H219" s="10">
        <v>31.69</v>
      </c>
      <c r="I219" s="13">
        <v>7495.7430000000004</v>
      </c>
      <c r="J219" s="13">
        <f t="shared" si="30"/>
        <v>6955.4207653997373</v>
      </c>
      <c r="K219" s="13">
        <f t="shared" si="30"/>
        <v>6774.6584178243766</v>
      </c>
      <c r="L219" s="49">
        <f t="shared" si="30"/>
        <v>6774.6584178243766</v>
      </c>
      <c r="M219" s="10">
        <v>31.69</v>
      </c>
      <c r="N219" s="50">
        <v>14606531</v>
      </c>
      <c r="O219" s="50">
        <v>8804094</v>
      </c>
      <c r="P219" s="48">
        <f t="shared" si="27"/>
        <v>5802437</v>
      </c>
    </row>
    <row r="220" spans="1:16" ht="15.95" customHeight="1" x14ac:dyDescent="0.25">
      <c r="A220" s="20" t="s">
        <v>370</v>
      </c>
      <c r="B220" s="8" t="s">
        <v>462</v>
      </c>
      <c r="C220" s="9">
        <v>24155</v>
      </c>
      <c r="D220" s="12">
        <v>14.53</v>
      </c>
      <c r="E220" s="12">
        <v>12.88</v>
      </c>
      <c r="F220" s="12">
        <v>12.88</v>
      </c>
      <c r="G220" s="12">
        <v>12.88</v>
      </c>
      <c r="H220" s="10">
        <v>3.19</v>
      </c>
      <c r="I220" s="13">
        <v>2881.64779</v>
      </c>
      <c r="J220" s="13">
        <f t="shared" si="30"/>
        <v>2554.4131820509292</v>
      </c>
      <c r="K220" s="13">
        <f>J220*F220/E220+67.942</f>
        <v>2622.3551820509297</v>
      </c>
      <c r="L220" s="49">
        <f>K220*G220/F220+124.283</f>
        <v>2746.6381820509296</v>
      </c>
      <c r="M220" s="10">
        <v>3.19</v>
      </c>
      <c r="N220" s="50">
        <v>3666994</v>
      </c>
      <c r="O220" s="50">
        <v>1398176</v>
      </c>
      <c r="P220" s="48">
        <f t="shared" si="27"/>
        <v>2268818</v>
      </c>
    </row>
    <row r="221" spans="1:16" ht="15.95" customHeight="1" x14ac:dyDescent="0.25">
      <c r="A221" s="15" t="s">
        <v>371</v>
      </c>
      <c r="B221" s="8" t="s">
        <v>464</v>
      </c>
      <c r="C221" s="9">
        <v>24108</v>
      </c>
      <c r="D221" s="12">
        <f>17.24-3.1</f>
        <v>14.139999999999999</v>
      </c>
      <c r="E221" s="12">
        <v>14.14</v>
      </c>
      <c r="F221" s="12">
        <v>14.14</v>
      </c>
      <c r="G221" s="12">
        <v>14.14</v>
      </c>
      <c r="H221" s="10">
        <v>12.77</v>
      </c>
      <c r="I221" s="13">
        <v>2629.1449400000001</v>
      </c>
      <c r="J221" s="13">
        <f t="shared" si="30"/>
        <v>2629.1449400000001</v>
      </c>
      <c r="K221" s="13">
        <f t="shared" si="30"/>
        <v>2629.1449400000001</v>
      </c>
      <c r="L221" s="49">
        <f t="shared" si="30"/>
        <v>2629.1449400000001</v>
      </c>
      <c r="M221" s="10">
        <v>12.77</v>
      </c>
      <c r="N221" s="50">
        <v>9415423</v>
      </c>
      <c r="O221" s="50">
        <v>2115084</v>
      </c>
      <c r="P221" s="48">
        <f t="shared" si="27"/>
        <v>7300339</v>
      </c>
    </row>
    <row r="222" spans="1:16" ht="15.95" customHeight="1" x14ac:dyDescent="0.25">
      <c r="A222" s="15" t="s">
        <v>373</v>
      </c>
      <c r="B222" s="8" t="s">
        <v>467</v>
      </c>
      <c r="C222" s="9">
        <v>24106</v>
      </c>
      <c r="D222" s="12">
        <v>30.36</v>
      </c>
      <c r="E222" s="12">
        <v>30.36</v>
      </c>
      <c r="F222" s="12">
        <v>28.21</v>
      </c>
      <c r="G222" s="12">
        <v>28.21</v>
      </c>
      <c r="H222" s="10">
        <v>11.22</v>
      </c>
      <c r="I222" s="13">
        <v>4307.5889999999999</v>
      </c>
      <c r="J222" s="13">
        <f t="shared" si="30"/>
        <v>4307.5889999999999</v>
      </c>
      <c r="K222" s="13">
        <f t="shared" si="30"/>
        <v>4002.5390543478265</v>
      </c>
      <c r="L222" s="49">
        <f t="shared" si="30"/>
        <v>4002.5390543478265</v>
      </c>
      <c r="M222" s="10">
        <v>11.22</v>
      </c>
      <c r="N222" s="50">
        <v>2911792</v>
      </c>
      <c r="O222" s="50">
        <v>1753502</v>
      </c>
      <c r="P222" s="48">
        <f t="shared" si="27"/>
        <v>1158290</v>
      </c>
    </row>
    <row r="223" spans="1:16" ht="15.95" customHeight="1" x14ac:dyDescent="0.25">
      <c r="A223" s="20" t="s">
        <v>376</v>
      </c>
      <c r="B223" s="8" t="s">
        <v>1024</v>
      </c>
      <c r="C223" s="9" t="s">
        <v>1025</v>
      </c>
      <c r="D223" s="12"/>
      <c r="E223" s="12"/>
      <c r="F223" s="12"/>
      <c r="G223" s="12"/>
      <c r="H223" s="10">
        <v>18</v>
      </c>
      <c r="I223" s="13"/>
      <c r="J223" s="13"/>
      <c r="K223" s="13"/>
      <c r="L223" s="49"/>
      <c r="M223" s="10">
        <v>18</v>
      </c>
      <c r="N223" s="50">
        <v>32303931</v>
      </c>
      <c r="O223" s="50">
        <v>9229681</v>
      </c>
      <c r="P223" s="48">
        <f t="shared" si="27"/>
        <v>23074250</v>
      </c>
    </row>
    <row r="224" spans="1:16" ht="15.95" customHeight="1" x14ac:dyDescent="0.25">
      <c r="A224" s="15" t="s">
        <v>377</v>
      </c>
      <c r="B224" s="8" t="s">
        <v>469</v>
      </c>
      <c r="C224" s="9">
        <v>24104</v>
      </c>
      <c r="D224" s="12">
        <v>15.41</v>
      </c>
      <c r="E224" s="12">
        <v>15.41</v>
      </c>
      <c r="F224" s="12">
        <v>12.46</v>
      </c>
      <c r="G224" s="12">
        <v>12.46</v>
      </c>
      <c r="H224" s="10">
        <v>10.15</v>
      </c>
      <c r="I224" s="13">
        <v>4639</v>
      </c>
      <c r="J224" s="13">
        <f t="shared" ref="J224:L227" si="31">I224*E224/D224</f>
        <v>4639</v>
      </c>
      <c r="K224" s="13">
        <f t="shared" si="31"/>
        <v>3750.9370538611292</v>
      </c>
      <c r="L224" s="49">
        <f t="shared" si="31"/>
        <v>3750.9370538611292</v>
      </c>
      <c r="M224" s="10">
        <v>10.15</v>
      </c>
      <c r="N224" s="50">
        <v>3078841</v>
      </c>
      <c r="O224" s="50">
        <v>1177290</v>
      </c>
      <c r="P224" s="48">
        <f t="shared" si="27"/>
        <v>1901551</v>
      </c>
    </row>
    <row r="225" spans="1:16" ht="15.95" customHeight="1" x14ac:dyDescent="0.25">
      <c r="A225" s="15" t="s">
        <v>379</v>
      </c>
      <c r="B225" s="8" t="s">
        <v>474</v>
      </c>
      <c r="C225" s="9">
        <v>24306</v>
      </c>
      <c r="D225" s="12">
        <v>36.69</v>
      </c>
      <c r="E225" s="12">
        <v>31.86</v>
      </c>
      <c r="F225" s="12">
        <v>31.86</v>
      </c>
      <c r="G225" s="12">
        <v>27.04</v>
      </c>
      <c r="H225" s="10">
        <v>4.63</v>
      </c>
      <c r="I225" s="13">
        <v>11468.348</v>
      </c>
      <c r="J225" s="13">
        <f t="shared" si="31"/>
        <v>9958.6145347506135</v>
      </c>
      <c r="K225" s="13">
        <f t="shared" si="31"/>
        <v>9958.6145347506135</v>
      </c>
      <c r="L225" s="49">
        <f t="shared" si="31"/>
        <v>8452.0068116653038</v>
      </c>
      <c r="M225" s="10">
        <v>4.63</v>
      </c>
      <c r="N225" s="50">
        <v>1844924</v>
      </c>
      <c r="O225" s="50">
        <v>1813110</v>
      </c>
      <c r="P225" s="48">
        <f t="shared" si="27"/>
        <v>31814</v>
      </c>
    </row>
    <row r="226" spans="1:16" ht="15.95" customHeight="1" x14ac:dyDescent="0.25">
      <c r="A226" s="20" t="s">
        <v>380</v>
      </c>
      <c r="B226" s="8" t="s">
        <v>476</v>
      </c>
      <c r="C226" s="9">
        <v>24055</v>
      </c>
      <c r="D226" s="12">
        <v>27.13</v>
      </c>
      <c r="E226" s="12">
        <v>27.13</v>
      </c>
      <c r="F226" s="12">
        <v>27.13</v>
      </c>
      <c r="G226" s="12">
        <v>27.13</v>
      </c>
      <c r="H226" s="10">
        <v>23.41</v>
      </c>
      <c r="I226" s="13">
        <v>6747.5770000000002</v>
      </c>
      <c r="J226" s="13">
        <f t="shared" si="31"/>
        <v>6747.5770000000011</v>
      </c>
      <c r="K226" s="13">
        <f t="shared" si="31"/>
        <v>6747.5770000000011</v>
      </c>
      <c r="L226" s="49">
        <f t="shared" si="31"/>
        <v>6747.5770000000011</v>
      </c>
      <c r="M226" s="10">
        <v>23.41</v>
      </c>
      <c r="N226" s="50">
        <v>9803672</v>
      </c>
      <c r="O226" s="50">
        <v>7748324</v>
      </c>
      <c r="P226" s="48">
        <f t="shared" si="27"/>
        <v>2055348</v>
      </c>
    </row>
    <row r="227" spans="1:16" ht="15.95" customHeight="1" x14ac:dyDescent="0.25">
      <c r="A227" s="15" t="s">
        <v>382</v>
      </c>
      <c r="B227" s="8" t="s">
        <v>478</v>
      </c>
      <c r="C227" s="9">
        <v>24111</v>
      </c>
      <c r="D227" s="12">
        <v>26.21</v>
      </c>
      <c r="E227" s="12">
        <v>26.21</v>
      </c>
      <c r="F227" s="12">
        <v>26.21</v>
      </c>
      <c r="G227" s="12">
        <v>26.21</v>
      </c>
      <c r="H227" s="10">
        <v>11.33</v>
      </c>
      <c r="I227" s="13">
        <v>1481</v>
      </c>
      <c r="J227" s="13">
        <f t="shared" si="31"/>
        <v>1481</v>
      </c>
      <c r="K227" s="13">
        <f t="shared" si="31"/>
        <v>1481</v>
      </c>
      <c r="L227" s="49">
        <f t="shared" si="31"/>
        <v>1481</v>
      </c>
      <c r="M227" s="10">
        <v>11.33</v>
      </c>
      <c r="N227" s="50">
        <v>3943513.5421511629</v>
      </c>
      <c r="O227" s="50">
        <v>1272336</v>
      </c>
      <c r="P227" s="48">
        <f t="shared" si="27"/>
        <v>2671177.5421511629</v>
      </c>
    </row>
    <row r="228" spans="1:16" ht="15.95" customHeight="1" x14ac:dyDescent="0.25">
      <c r="A228" s="15" t="s">
        <v>384</v>
      </c>
      <c r="B228" s="8" t="s">
        <v>480</v>
      </c>
      <c r="C228" s="9">
        <v>24057</v>
      </c>
      <c r="D228" s="12">
        <v>27.25</v>
      </c>
      <c r="E228" s="12">
        <v>25.11</v>
      </c>
      <c r="F228" s="12">
        <v>25.11</v>
      </c>
      <c r="G228" s="12">
        <v>25.11</v>
      </c>
      <c r="H228" s="10">
        <v>15.48</v>
      </c>
      <c r="I228" s="13">
        <v>3236.4369999999999</v>
      </c>
      <c r="J228" s="13">
        <f>I228*E228/D228</f>
        <v>2982.2727732110093</v>
      </c>
      <c r="K228" s="13">
        <f>J228*F228/E228</f>
        <v>2982.2727732110097</v>
      </c>
      <c r="L228" s="49">
        <f>K228*G228/F228+110.44+120.528+167.367</f>
        <v>3380.6077732110098</v>
      </c>
      <c r="M228" s="10">
        <v>15.48</v>
      </c>
      <c r="N228" s="50">
        <v>4489170</v>
      </c>
      <c r="O228" s="50">
        <v>2703869</v>
      </c>
      <c r="P228" s="48">
        <f t="shared" si="27"/>
        <v>1785301</v>
      </c>
    </row>
    <row r="229" spans="1:16" ht="15.95" customHeight="1" x14ac:dyDescent="0.25">
      <c r="A229" s="20" t="s">
        <v>386</v>
      </c>
      <c r="B229" s="8" t="s">
        <v>482</v>
      </c>
      <c r="C229" s="9">
        <v>24110</v>
      </c>
      <c r="D229" s="12">
        <v>21.85</v>
      </c>
      <c r="E229" s="12">
        <v>18.260000000000002</v>
      </c>
      <c r="F229" s="12">
        <v>18.260000000000002</v>
      </c>
      <c r="G229" s="12">
        <v>18.260000000000002</v>
      </c>
      <c r="H229" s="10">
        <v>10.83</v>
      </c>
      <c r="I229" s="13">
        <v>2593</v>
      </c>
      <c r="J229" s="13">
        <f>I229*E229/D229</f>
        <v>2166.9647597254007</v>
      </c>
      <c r="K229" s="13">
        <f>J229*F229/E229</f>
        <v>2166.9647597254007</v>
      </c>
      <c r="L229" s="49">
        <f>K229*G229/F229</f>
        <v>2166.9647597254007</v>
      </c>
      <c r="M229" s="10">
        <v>10.83</v>
      </c>
      <c r="N229" s="50">
        <v>5702190</v>
      </c>
      <c r="O229" s="50">
        <v>2592924</v>
      </c>
      <c r="P229" s="48">
        <f t="shared" si="27"/>
        <v>3109266</v>
      </c>
    </row>
    <row r="230" spans="1:16" ht="15.95" customHeight="1" x14ac:dyDescent="0.25">
      <c r="A230" s="15" t="s">
        <v>388</v>
      </c>
      <c r="B230" s="8" t="s">
        <v>968</v>
      </c>
      <c r="C230" s="9" t="s">
        <v>969</v>
      </c>
      <c r="D230" s="12"/>
      <c r="E230" s="12"/>
      <c r="F230" s="12"/>
      <c r="G230" s="12"/>
      <c r="H230" s="10">
        <v>8.02</v>
      </c>
      <c r="I230" s="13"/>
      <c r="J230" s="13"/>
      <c r="K230" s="13"/>
      <c r="L230" s="49"/>
      <c r="M230" s="10">
        <v>8.02</v>
      </c>
      <c r="N230" s="50">
        <v>853478</v>
      </c>
      <c r="O230" s="50">
        <v>438313</v>
      </c>
      <c r="P230" s="48">
        <f t="shared" si="27"/>
        <v>415165</v>
      </c>
    </row>
    <row r="231" spans="1:16" ht="15.95" customHeight="1" x14ac:dyDescent="0.25">
      <c r="A231" s="15" t="s">
        <v>390</v>
      </c>
      <c r="B231" s="8" t="s">
        <v>484</v>
      </c>
      <c r="C231" s="9" t="s">
        <v>485</v>
      </c>
      <c r="D231" s="12">
        <v>27.26</v>
      </c>
      <c r="E231" s="12">
        <v>27.26</v>
      </c>
      <c r="F231" s="12">
        <v>27.26</v>
      </c>
      <c r="G231" s="12">
        <v>20.21</v>
      </c>
      <c r="H231" s="10">
        <v>18.18</v>
      </c>
      <c r="I231" s="13">
        <v>909</v>
      </c>
      <c r="J231" s="13">
        <f t="shared" ref="J231:K233" si="32">I231*E231/D231</f>
        <v>909</v>
      </c>
      <c r="K231" s="13">
        <f t="shared" si="32"/>
        <v>909</v>
      </c>
      <c r="L231" s="49">
        <f>K231*G231/F231+72.071</f>
        <v>745.98479310344828</v>
      </c>
      <c r="M231" s="10">
        <v>18.18</v>
      </c>
      <c r="N231" s="50">
        <v>4289344</v>
      </c>
      <c r="O231" s="50">
        <v>1161373</v>
      </c>
      <c r="P231" s="48">
        <f t="shared" si="27"/>
        <v>3127971</v>
      </c>
    </row>
    <row r="232" spans="1:16" ht="15.95" customHeight="1" x14ac:dyDescent="0.25">
      <c r="A232" s="20" t="s">
        <v>391</v>
      </c>
      <c r="B232" s="8" t="s">
        <v>487</v>
      </c>
      <c r="C232" s="9" t="s">
        <v>488</v>
      </c>
      <c r="D232" s="12">
        <v>100</v>
      </c>
      <c r="E232" s="12">
        <v>15</v>
      </c>
      <c r="F232" s="12">
        <v>12</v>
      </c>
      <c r="G232" s="12">
        <v>12</v>
      </c>
      <c r="H232" s="10">
        <v>5.5</v>
      </c>
      <c r="I232" s="11">
        <v>5674</v>
      </c>
      <c r="J232" s="13">
        <f t="shared" si="32"/>
        <v>851.1</v>
      </c>
      <c r="K232" s="13">
        <f t="shared" si="32"/>
        <v>680.88</v>
      </c>
      <c r="L232" s="49">
        <f>K232*G232/F232</f>
        <v>680.88</v>
      </c>
      <c r="M232" s="10">
        <v>5.5</v>
      </c>
      <c r="N232" s="50">
        <v>2629855</v>
      </c>
      <c r="O232" s="50">
        <v>605259</v>
      </c>
      <c r="P232" s="48">
        <f t="shared" si="27"/>
        <v>2024596</v>
      </c>
    </row>
    <row r="233" spans="1:16" ht="15.95" customHeight="1" x14ac:dyDescent="0.25">
      <c r="A233" s="15" t="s">
        <v>393</v>
      </c>
      <c r="B233" s="8" t="s">
        <v>490</v>
      </c>
      <c r="C233" s="9" t="s">
        <v>491</v>
      </c>
      <c r="D233" s="12">
        <v>97.24</v>
      </c>
      <c r="E233" s="12">
        <v>97.24</v>
      </c>
      <c r="F233" s="12">
        <v>97.24</v>
      </c>
      <c r="G233" s="12">
        <v>92.64</v>
      </c>
      <c r="H233" s="10">
        <v>21.44</v>
      </c>
      <c r="I233" s="13">
        <v>7734.3847999999998</v>
      </c>
      <c r="J233" s="13">
        <f t="shared" si="32"/>
        <v>7734.3847999999998</v>
      </c>
      <c r="K233" s="13">
        <f t="shared" si="32"/>
        <v>7734.3847999999998</v>
      </c>
      <c r="L233" s="49">
        <f>K233*G233/F233</f>
        <v>7368.5048115178943</v>
      </c>
      <c r="M233" s="10">
        <v>21.44</v>
      </c>
      <c r="N233" s="50">
        <v>4666673.28</v>
      </c>
      <c r="O233" s="50">
        <v>2856999</v>
      </c>
      <c r="P233" s="48">
        <f t="shared" si="27"/>
        <v>1809674.2800000003</v>
      </c>
    </row>
    <row r="234" spans="1:16" ht="15.95" customHeight="1" x14ac:dyDescent="0.25">
      <c r="A234" s="15" t="s">
        <v>395</v>
      </c>
      <c r="B234" s="8" t="s">
        <v>493</v>
      </c>
      <c r="C234" s="9">
        <v>24079</v>
      </c>
      <c r="D234" s="12">
        <v>37.03</v>
      </c>
      <c r="E234" s="12">
        <v>34.58</v>
      </c>
      <c r="F234" s="12">
        <v>34.58</v>
      </c>
      <c r="G234" s="12">
        <v>32.03</v>
      </c>
      <c r="H234" s="10">
        <v>8.48</v>
      </c>
      <c r="I234" s="13">
        <v>4726.6229999999996</v>
      </c>
      <c r="J234" s="13">
        <f>I234*E234/D234</f>
        <v>4413.8974706994322</v>
      </c>
      <c r="K234" s="13">
        <f>J234*F234/E234+293.774</f>
        <v>4707.6714706994326</v>
      </c>
      <c r="L234" s="49">
        <f>K234*G234/F234+475.226+747.768</f>
        <v>5583.5121378398735</v>
      </c>
      <c r="M234" s="19">
        <v>8.48</v>
      </c>
      <c r="N234" s="50">
        <v>9638878</v>
      </c>
      <c r="O234" s="50">
        <v>2807490</v>
      </c>
      <c r="P234" s="48">
        <f t="shared" si="27"/>
        <v>6831388</v>
      </c>
    </row>
    <row r="235" spans="1:16" ht="15.95" customHeight="1" x14ac:dyDescent="0.25">
      <c r="A235" s="20" t="s">
        <v>397</v>
      </c>
      <c r="B235" s="8" t="s">
        <v>495</v>
      </c>
      <c r="C235" s="9" t="s">
        <v>496</v>
      </c>
      <c r="D235" s="12">
        <f>42.81-16.51</f>
        <v>26.3</v>
      </c>
      <c r="E235" s="12">
        <f>41.34-16.51</f>
        <v>24.830000000000002</v>
      </c>
      <c r="F235" s="12">
        <f>41.34-16.51</f>
        <v>24.830000000000002</v>
      </c>
      <c r="G235" s="12">
        <f>41.34-16.51</f>
        <v>24.830000000000002</v>
      </c>
      <c r="H235" s="10">
        <v>30.76</v>
      </c>
      <c r="I235" s="13">
        <v>12321.11004</v>
      </c>
      <c r="J235" s="13">
        <f>I235*E235/D235</f>
        <v>11632.439630920153</v>
      </c>
      <c r="K235" s="13">
        <f>J235*F235/E235</f>
        <v>11632.439630920155</v>
      </c>
      <c r="L235" s="49">
        <f>K235*G235/F235</f>
        <v>11632.439630920155</v>
      </c>
      <c r="M235" s="10">
        <v>30.76</v>
      </c>
      <c r="N235" s="50">
        <v>15842897</v>
      </c>
      <c r="O235" s="50">
        <v>11706408</v>
      </c>
      <c r="P235" s="48">
        <f t="shared" si="27"/>
        <v>4136489</v>
      </c>
    </row>
    <row r="236" spans="1:16" ht="15.95" customHeight="1" x14ac:dyDescent="0.25">
      <c r="A236" s="15" t="s">
        <v>398</v>
      </c>
      <c r="B236" s="8" t="s">
        <v>498</v>
      </c>
      <c r="C236" s="9">
        <v>24919</v>
      </c>
      <c r="D236" s="12">
        <v>34.619999999999997</v>
      </c>
      <c r="E236" s="12">
        <v>33.36</v>
      </c>
      <c r="F236" s="12">
        <v>33.22</v>
      </c>
      <c r="G236" s="12">
        <v>21.04</v>
      </c>
      <c r="H236" s="10">
        <v>10.09</v>
      </c>
      <c r="I236" s="13">
        <v>18128.081450000001</v>
      </c>
      <c r="J236" s="13">
        <f>I236*E236/D236-0.00001</f>
        <v>17468.307245112654</v>
      </c>
      <c r="K236" s="13">
        <f>J236*F236/E236+747.892</f>
        <v>18142.891001278247</v>
      </c>
      <c r="L236" s="49">
        <f>K236*G236/F236+1538.037</f>
        <v>13028.898729888449</v>
      </c>
      <c r="M236" s="10">
        <v>10.09</v>
      </c>
      <c r="N236" s="50">
        <v>7904913.4989451468</v>
      </c>
      <c r="O236" s="50">
        <v>6469766</v>
      </c>
      <c r="P236" s="48">
        <f t="shared" si="27"/>
        <v>1435147.4989451468</v>
      </c>
    </row>
    <row r="237" spans="1:16" ht="15.95" customHeight="1" x14ac:dyDescent="0.25">
      <c r="A237" s="15" t="s">
        <v>1046</v>
      </c>
      <c r="B237" s="8" t="s">
        <v>500</v>
      </c>
      <c r="C237" s="9">
        <v>24918</v>
      </c>
      <c r="D237" s="12">
        <v>18.05</v>
      </c>
      <c r="E237" s="12">
        <v>16.25</v>
      </c>
      <c r="F237" s="12">
        <v>15.06</v>
      </c>
      <c r="G237" s="12">
        <v>15.06</v>
      </c>
      <c r="H237" s="10">
        <v>13.07</v>
      </c>
      <c r="I237" s="13">
        <v>4803.3232900000003</v>
      </c>
      <c r="J237" s="13">
        <f t="shared" ref="J237:L239" si="33">I237*E237/D237</f>
        <v>4324.3215214681441</v>
      </c>
      <c r="K237" s="13">
        <f t="shared" si="33"/>
        <v>4007.6481300498617</v>
      </c>
      <c r="L237" s="49">
        <f t="shared" si="33"/>
        <v>4007.6481300498617</v>
      </c>
      <c r="M237" s="10">
        <v>13.07</v>
      </c>
      <c r="N237" s="50">
        <v>5070398</v>
      </c>
      <c r="O237" s="50">
        <v>4782955</v>
      </c>
      <c r="P237" s="48">
        <f t="shared" si="27"/>
        <v>287443</v>
      </c>
    </row>
    <row r="238" spans="1:16" ht="15.95" customHeight="1" x14ac:dyDescent="0.25">
      <c r="A238" s="20" t="s">
        <v>401</v>
      </c>
      <c r="B238" s="8" t="s">
        <v>502</v>
      </c>
      <c r="C238" s="9" t="s">
        <v>503</v>
      </c>
      <c r="D238" s="12">
        <v>37.450000000000003</v>
      </c>
      <c r="E238" s="12">
        <f>42.81-5.36</f>
        <v>37.450000000000003</v>
      </c>
      <c r="F238" s="12">
        <f>42.81-5.36</f>
        <v>37.450000000000003</v>
      </c>
      <c r="G238" s="12">
        <f>42.81-5.36</f>
        <v>37.450000000000003</v>
      </c>
      <c r="H238" s="10">
        <v>18.03</v>
      </c>
      <c r="I238" s="13">
        <v>12469</v>
      </c>
      <c r="J238" s="13">
        <f t="shared" si="33"/>
        <v>12469</v>
      </c>
      <c r="K238" s="13">
        <f t="shared" si="33"/>
        <v>12469</v>
      </c>
      <c r="L238" s="49">
        <f t="shared" si="33"/>
        <v>12469</v>
      </c>
      <c r="M238" s="19">
        <v>18.03</v>
      </c>
      <c r="N238" s="50">
        <v>82471507</v>
      </c>
      <c r="O238" s="50">
        <v>20837847</v>
      </c>
      <c r="P238" s="48">
        <f t="shared" si="27"/>
        <v>61633660</v>
      </c>
    </row>
    <row r="239" spans="1:16" ht="15.95" customHeight="1" x14ac:dyDescent="0.25">
      <c r="A239" s="15" t="s">
        <v>403</v>
      </c>
      <c r="B239" s="16" t="s">
        <v>505</v>
      </c>
      <c r="C239" s="17">
        <v>24291</v>
      </c>
      <c r="D239" s="55">
        <v>36.340000000000003</v>
      </c>
      <c r="E239" s="55">
        <v>36.340000000000003</v>
      </c>
      <c r="F239" s="55">
        <v>36.340000000000003</v>
      </c>
      <c r="G239" s="55">
        <v>36.340000000000003</v>
      </c>
      <c r="H239" s="18">
        <v>6.08</v>
      </c>
      <c r="I239" s="56">
        <v>13533.956</v>
      </c>
      <c r="J239" s="13">
        <f t="shared" si="33"/>
        <v>13533.956</v>
      </c>
      <c r="K239" s="13">
        <f t="shared" si="33"/>
        <v>13533.956</v>
      </c>
      <c r="L239" s="49">
        <f t="shared" si="33"/>
        <v>13533.956</v>
      </c>
      <c r="M239" s="18">
        <v>6.08</v>
      </c>
      <c r="N239" s="50">
        <v>2770615</v>
      </c>
      <c r="O239" s="50">
        <v>1995091</v>
      </c>
      <c r="P239" s="48">
        <f t="shared" si="27"/>
        <v>775524</v>
      </c>
    </row>
    <row r="240" spans="1:16" ht="15.95" customHeight="1" x14ac:dyDescent="0.25">
      <c r="A240" s="15" t="s">
        <v>405</v>
      </c>
      <c r="B240" s="8" t="s">
        <v>507</v>
      </c>
      <c r="C240" s="9">
        <v>24290</v>
      </c>
      <c r="D240" s="12">
        <v>48.22</v>
      </c>
      <c r="E240" s="12">
        <v>48.22</v>
      </c>
      <c r="F240" s="12">
        <v>41.42</v>
      </c>
      <c r="G240" s="12">
        <v>41.5</v>
      </c>
      <c r="H240" s="10">
        <v>1.8</v>
      </c>
      <c r="I240" s="13">
        <v>6910</v>
      </c>
      <c r="J240" s="13">
        <f>I240*E240/D240</f>
        <v>6910</v>
      </c>
      <c r="K240" s="13">
        <f>J240*F240/E240</f>
        <v>5935.5495644960602</v>
      </c>
      <c r="L240" s="49">
        <f>K240*G240/F240+179.076</f>
        <v>6126.0896872666945</v>
      </c>
      <c r="M240" s="10">
        <v>1.8</v>
      </c>
      <c r="N240" s="50">
        <v>344398</v>
      </c>
      <c r="O240" s="50">
        <v>329832</v>
      </c>
      <c r="P240" s="48">
        <f t="shared" si="27"/>
        <v>14566</v>
      </c>
    </row>
    <row r="241" spans="1:16" ht="15.95" customHeight="1" x14ac:dyDescent="0.25">
      <c r="A241" s="20" t="s">
        <v>406</v>
      </c>
      <c r="B241" s="8" t="s">
        <v>509</v>
      </c>
      <c r="C241" s="9">
        <v>24258</v>
      </c>
      <c r="D241" s="12">
        <v>38.14</v>
      </c>
      <c r="E241" s="12">
        <v>37.950000000000003</v>
      </c>
      <c r="F241" s="12">
        <v>34.369999999999997</v>
      </c>
      <c r="G241" s="12">
        <v>33.17</v>
      </c>
      <c r="H241" s="10">
        <v>25.29</v>
      </c>
      <c r="I241" s="13">
        <v>13610</v>
      </c>
      <c r="J241" s="13">
        <f>I241*E241/D241</f>
        <v>13542.199790246461</v>
      </c>
      <c r="K241" s="13">
        <f>J241*F241/E241</f>
        <v>12264.701101206081</v>
      </c>
      <c r="L241" s="49">
        <f>K241*G241/F241</f>
        <v>11836.489250131095</v>
      </c>
      <c r="M241" s="10">
        <v>25.29</v>
      </c>
      <c r="N241" s="50">
        <v>11962313</v>
      </c>
      <c r="O241" s="50">
        <v>11341864</v>
      </c>
      <c r="P241" s="48">
        <f t="shared" si="27"/>
        <v>620449</v>
      </c>
    </row>
    <row r="242" spans="1:16" ht="15.95" customHeight="1" x14ac:dyDescent="0.25">
      <c r="A242" s="15" t="s">
        <v>408</v>
      </c>
      <c r="B242" s="8" t="s">
        <v>1010</v>
      </c>
      <c r="C242" s="9">
        <v>24257</v>
      </c>
      <c r="D242" s="12">
        <v>25.28</v>
      </c>
      <c r="E242" s="12">
        <v>23.43</v>
      </c>
      <c r="F242" s="12">
        <v>21.73</v>
      </c>
      <c r="G242" s="12">
        <v>21.73</v>
      </c>
      <c r="H242" s="14">
        <v>21.73</v>
      </c>
      <c r="I242" s="13">
        <v>3008.8851800000002</v>
      </c>
      <c r="J242" s="13">
        <f>I32*E32/D32</f>
        <v>7734.7460000000001</v>
      </c>
      <c r="K242" s="13">
        <f>J242*F242/E242+82.341</f>
        <v>7255.8805040546313</v>
      </c>
      <c r="L242" s="49">
        <f>K32*G32/F32</f>
        <v>7263.0091023046652</v>
      </c>
      <c r="M242" s="14">
        <v>21.66</v>
      </c>
      <c r="N242" s="50">
        <v>3367099</v>
      </c>
      <c r="O242" s="50">
        <v>3172492</v>
      </c>
      <c r="P242" s="48">
        <f t="shared" si="27"/>
        <v>194607</v>
      </c>
    </row>
    <row r="243" spans="1:16" ht="15.95" customHeight="1" x14ac:dyDescent="0.25">
      <c r="A243" s="15" t="s">
        <v>410</v>
      </c>
      <c r="B243" s="8" t="s">
        <v>512</v>
      </c>
      <c r="C243" s="9">
        <v>24256</v>
      </c>
      <c r="D243" s="12">
        <v>36.96</v>
      </c>
      <c r="E243" s="12">
        <v>36.96</v>
      </c>
      <c r="F243" s="12">
        <v>36.96</v>
      </c>
      <c r="G243" s="12">
        <v>36.96</v>
      </c>
      <c r="H243" s="10">
        <v>6.11</v>
      </c>
      <c r="I243" s="13">
        <v>3693</v>
      </c>
      <c r="J243" s="13">
        <f t="shared" ref="J243:L244" si="34">I243*E243/D243</f>
        <v>3693</v>
      </c>
      <c r="K243" s="13">
        <f t="shared" si="34"/>
        <v>3693</v>
      </c>
      <c r="L243" s="49">
        <f t="shared" si="34"/>
        <v>3693</v>
      </c>
      <c r="M243" s="10">
        <v>6.11</v>
      </c>
      <c r="N243" s="50">
        <v>1019241</v>
      </c>
      <c r="O243" s="50">
        <v>756682</v>
      </c>
      <c r="P243" s="48">
        <f t="shared" si="27"/>
        <v>262559</v>
      </c>
    </row>
    <row r="244" spans="1:16" ht="15.95" customHeight="1" x14ac:dyDescent="0.25">
      <c r="A244" s="20" t="s">
        <v>411</v>
      </c>
      <c r="B244" s="8" t="s">
        <v>515</v>
      </c>
      <c r="C244" s="9">
        <v>24198</v>
      </c>
      <c r="D244" s="12">
        <v>42.22</v>
      </c>
      <c r="E244" s="12">
        <v>38.64</v>
      </c>
      <c r="F244" s="12">
        <v>38.64</v>
      </c>
      <c r="G244" s="12">
        <v>38.64</v>
      </c>
      <c r="H244" s="10">
        <v>33.270000000000003</v>
      </c>
      <c r="I244" s="13">
        <v>5511.3990000000003</v>
      </c>
      <c r="J244" s="13">
        <f t="shared" si="34"/>
        <v>5044.0657830412138</v>
      </c>
      <c r="K244" s="13">
        <f t="shared" si="34"/>
        <v>5044.0657830412138</v>
      </c>
      <c r="L244" s="49">
        <f t="shared" si="34"/>
        <v>5044.0657830412138</v>
      </c>
      <c r="M244" s="10">
        <v>33.270000000000003</v>
      </c>
      <c r="N244" s="50">
        <v>9163198</v>
      </c>
      <c r="O244" s="50">
        <v>6227691</v>
      </c>
      <c r="P244" s="48">
        <f t="shared" si="27"/>
        <v>2935507</v>
      </c>
    </row>
    <row r="245" spans="1:16" ht="15.95" customHeight="1" x14ac:dyDescent="0.25">
      <c r="A245" s="15" t="s">
        <v>412</v>
      </c>
      <c r="B245" s="8" t="s">
        <v>517</v>
      </c>
      <c r="C245" s="9">
        <v>24254</v>
      </c>
      <c r="D245" s="12">
        <v>54.69</v>
      </c>
      <c r="E245" s="12">
        <v>52.02</v>
      </c>
      <c r="F245" s="12">
        <v>52.02</v>
      </c>
      <c r="G245" s="12">
        <v>52.02</v>
      </c>
      <c r="H245" s="10">
        <v>52.02</v>
      </c>
      <c r="I245" s="13">
        <v>5639.7370000000001</v>
      </c>
      <c r="J245" s="13">
        <f>I245*E245/D245</f>
        <v>5364.4015128908395</v>
      </c>
      <c r="K245" s="13">
        <f>J245*F245/E245</f>
        <v>5364.4015128908395</v>
      </c>
      <c r="L245" s="49">
        <f>K245*G245/F245+249.344</f>
        <v>5613.7455128908396</v>
      </c>
      <c r="M245" s="10">
        <v>52.02</v>
      </c>
      <c r="N245" s="50">
        <v>9563224</v>
      </c>
      <c r="O245" s="50">
        <v>7100996</v>
      </c>
      <c r="P245" s="48">
        <f t="shared" si="27"/>
        <v>2462228</v>
      </c>
    </row>
    <row r="246" spans="1:16" ht="15.95" customHeight="1" x14ac:dyDescent="0.25">
      <c r="A246" s="15" t="s">
        <v>1047</v>
      </c>
      <c r="B246" s="8" t="s">
        <v>1065</v>
      </c>
      <c r="C246" s="9">
        <v>24200</v>
      </c>
      <c r="D246" s="12">
        <v>42.61</v>
      </c>
      <c r="E246" s="12">
        <v>39.94</v>
      </c>
      <c r="F246" s="12">
        <v>39.94</v>
      </c>
      <c r="G246" s="12">
        <v>39.94</v>
      </c>
      <c r="H246" s="10">
        <v>13.05</v>
      </c>
      <c r="I246" s="13">
        <v>7354.9750000000004</v>
      </c>
      <c r="J246" s="13">
        <f>I246*E246/D246</f>
        <v>6894.102358601268</v>
      </c>
      <c r="K246" s="13">
        <f>J246*F246/E246</f>
        <v>6894.102358601268</v>
      </c>
      <c r="L246" s="49">
        <f>K246*G246/F246+379.809</f>
        <v>7273.9113586012681</v>
      </c>
      <c r="M246" s="10">
        <v>13.05</v>
      </c>
      <c r="N246" s="50">
        <v>2513795</v>
      </c>
      <c r="O246" s="50">
        <v>2154188</v>
      </c>
      <c r="P246" s="48">
        <f t="shared" si="27"/>
        <v>359607</v>
      </c>
    </row>
    <row r="247" spans="1:16" ht="15.95" customHeight="1" x14ac:dyDescent="0.25">
      <c r="A247" s="20" t="s">
        <v>414</v>
      </c>
      <c r="B247" s="8" t="s">
        <v>520</v>
      </c>
      <c r="C247" s="9">
        <v>24253</v>
      </c>
      <c r="D247" s="12">
        <v>35.49</v>
      </c>
      <c r="E247" s="12">
        <v>28.63</v>
      </c>
      <c r="F247" s="12">
        <v>28.63</v>
      </c>
      <c r="G247" s="12">
        <f>30.03-1.4</f>
        <v>28.630000000000003</v>
      </c>
      <c r="H247" s="10">
        <v>17.170000000000002</v>
      </c>
      <c r="I247" s="13">
        <v>12271.169</v>
      </c>
      <c r="J247" s="13">
        <f t="shared" ref="J247:K256" si="35">I247*E247/D247</f>
        <v>9899.2270631163701</v>
      </c>
      <c r="K247" s="13">
        <f>J247*F247/E247+677.922+148.081</f>
        <v>10725.230063116371</v>
      </c>
      <c r="L247" s="49">
        <f>K247*G247/F247</f>
        <v>10725.230063116373</v>
      </c>
      <c r="M247" s="10">
        <v>17.170000000000002</v>
      </c>
      <c r="N247" s="50">
        <v>11777615</v>
      </c>
      <c r="O247" s="50">
        <v>7941560</v>
      </c>
      <c r="P247" s="48">
        <f t="shared" si="27"/>
        <v>3836055</v>
      </c>
    </row>
    <row r="248" spans="1:16" ht="15.95" customHeight="1" x14ac:dyDescent="0.25">
      <c r="A248" s="15" t="s">
        <v>416</v>
      </c>
      <c r="B248" s="8" t="s">
        <v>523</v>
      </c>
      <c r="C248" s="9">
        <v>24209</v>
      </c>
      <c r="D248" s="12">
        <v>57.55</v>
      </c>
      <c r="E248" s="12">
        <v>56.19</v>
      </c>
      <c r="F248" s="12">
        <v>56.19</v>
      </c>
      <c r="G248" s="12">
        <v>56.19</v>
      </c>
      <c r="H248" s="10">
        <v>31.98</v>
      </c>
      <c r="I248" s="13">
        <v>9514.4</v>
      </c>
      <c r="J248" s="13">
        <f t="shared" si="35"/>
        <v>9289.5592701998248</v>
      </c>
      <c r="K248" s="13">
        <f>J248*F248/E248</f>
        <v>9289.5592701998248</v>
      </c>
      <c r="L248" s="49">
        <f>K248*G248/F248+241.786</f>
        <v>9531.3452701998249</v>
      </c>
      <c r="M248" s="10">
        <v>31.98</v>
      </c>
      <c r="N248" s="50">
        <v>132571793</v>
      </c>
      <c r="O248" s="50">
        <v>14073990</v>
      </c>
      <c r="P248" s="48">
        <f t="shared" ref="P248:P309" si="36">N248-O248</f>
        <v>118497803</v>
      </c>
    </row>
    <row r="249" spans="1:16" ht="15.95" customHeight="1" x14ac:dyDescent="0.25">
      <c r="A249" s="15" t="s">
        <v>417</v>
      </c>
      <c r="B249" s="8" t="s">
        <v>525</v>
      </c>
      <c r="C249" s="9">
        <v>24370</v>
      </c>
      <c r="D249" s="12">
        <v>32.950000000000003</v>
      </c>
      <c r="E249" s="12">
        <v>5.47</v>
      </c>
      <c r="F249" s="12">
        <v>5.47</v>
      </c>
      <c r="G249" s="12">
        <v>5.47</v>
      </c>
      <c r="H249" s="10">
        <v>5.47</v>
      </c>
      <c r="I249" s="13">
        <v>2971</v>
      </c>
      <c r="J249" s="13">
        <f t="shared" si="35"/>
        <v>493.21305007587245</v>
      </c>
      <c r="K249" s="13">
        <f>J249*F249/E249+5.192</f>
        <v>498.40505007587245</v>
      </c>
      <c r="L249" s="49">
        <f>K249*G249/F249+18.623</f>
        <v>517.02805007587244</v>
      </c>
      <c r="M249" s="10">
        <v>5.47</v>
      </c>
      <c r="N249" s="50">
        <v>654960</v>
      </c>
      <c r="O249" s="50">
        <v>607901</v>
      </c>
      <c r="P249" s="48">
        <f t="shared" si="36"/>
        <v>47059</v>
      </c>
    </row>
    <row r="250" spans="1:16" ht="15.95" customHeight="1" x14ac:dyDescent="0.25">
      <c r="A250" s="20" t="s">
        <v>419</v>
      </c>
      <c r="B250" s="8" t="s">
        <v>527</v>
      </c>
      <c r="C250" s="9">
        <v>24412</v>
      </c>
      <c r="D250" s="12">
        <v>43.53</v>
      </c>
      <c r="E250" s="12">
        <v>43.53</v>
      </c>
      <c r="F250" s="12">
        <v>43.53</v>
      </c>
      <c r="G250" s="12">
        <v>28.35</v>
      </c>
      <c r="H250" s="10">
        <v>22.2</v>
      </c>
      <c r="I250" s="13">
        <v>7579</v>
      </c>
      <c r="J250" s="13">
        <f t="shared" si="35"/>
        <v>7579</v>
      </c>
      <c r="K250" s="13">
        <f>J250*F250/E250</f>
        <v>7579</v>
      </c>
      <c r="L250" s="49">
        <f>K250*G250/F250</f>
        <v>4936.0130944176435</v>
      </c>
      <c r="M250" s="10">
        <v>22.2</v>
      </c>
      <c r="N250" s="50">
        <v>11157909</v>
      </c>
      <c r="O250" s="50">
        <v>6334040</v>
      </c>
      <c r="P250" s="48">
        <f t="shared" si="36"/>
        <v>4823869</v>
      </c>
    </row>
    <row r="251" spans="1:16" ht="15.95" customHeight="1" x14ac:dyDescent="0.25">
      <c r="A251" s="15" t="s">
        <v>420</v>
      </c>
      <c r="B251" s="8" t="s">
        <v>529</v>
      </c>
      <c r="C251" s="9">
        <v>24411</v>
      </c>
      <c r="D251" s="12">
        <v>57.01</v>
      </c>
      <c r="E251" s="12">
        <v>55.04</v>
      </c>
      <c r="F251" s="12">
        <v>46.5</v>
      </c>
      <c r="G251" s="12">
        <v>46.5</v>
      </c>
      <c r="H251" s="10">
        <v>3.94</v>
      </c>
      <c r="I251" s="13">
        <v>5607.5110000000004</v>
      </c>
      <c r="J251" s="13">
        <f t="shared" si="35"/>
        <v>5413.7415442904758</v>
      </c>
      <c r="K251" s="13">
        <f t="shared" si="35"/>
        <v>4573.746035783196</v>
      </c>
      <c r="L251" s="49">
        <f>K251*G251/F251+75.476</f>
        <v>4649.2220357831957</v>
      </c>
      <c r="M251" s="10">
        <v>3.94</v>
      </c>
      <c r="N251" s="50">
        <v>1735263</v>
      </c>
      <c r="O251" s="50">
        <v>1062889</v>
      </c>
      <c r="P251" s="48">
        <f t="shared" si="36"/>
        <v>672374</v>
      </c>
    </row>
    <row r="252" spans="1:16" ht="15.95" customHeight="1" x14ac:dyDescent="0.25">
      <c r="A252" s="15" t="s">
        <v>422</v>
      </c>
      <c r="B252" s="8" t="s">
        <v>531</v>
      </c>
      <c r="C252" s="9">
        <v>24208</v>
      </c>
      <c r="D252" s="12">
        <v>27.62</v>
      </c>
      <c r="E252" s="12">
        <v>26.75</v>
      </c>
      <c r="F252" s="12">
        <v>26.75</v>
      </c>
      <c r="G252" s="12">
        <v>26.75</v>
      </c>
      <c r="H252" s="10">
        <v>26.75</v>
      </c>
      <c r="I252" s="13">
        <v>2343</v>
      </c>
      <c r="J252" s="13">
        <f t="shared" si="35"/>
        <v>2269.1980448950035</v>
      </c>
      <c r="K252" s="13">
        <f t="shared" si="35"/>
        <v>2269.1980448950035</v>
      </c>
      <c r="L252" s="49">
        <f>K252*G252/F252</f>
        <v>2269.1980448950035</v>
      </c>
      <c r="M252" s="10">
        <v>26.75</v>
      </c>
      <c r="N252" s="50">
        <v>27329667</v>
      </c>
      <c r="O252" s="50">
        <v>7276664</v>
      </c>
      <c r="P252" s="48">
        <f t="shared" si="36"/>
        <v>20053003</v>
      </c>
    </row>
    <row r="253" spans="1:16" ht="15.95" customHeight="1" x14ac:dyDescent="0.25">
      <c r="A253" s="20" t="s">
        <v>424</v>
      </c>
      <c r="B253" s="8" t="s">
        <v>533</v>
      </c>
      <c r="C253" s="9">
        <v>24207</v>
      </c>
      <c r="D253" s="12">
        <v>36.85</v>
      </c>
      <c r="E253" s="12">
        <v>36.85</v>
      </c>
      <c r="F253" s="12">
        <v>36.85</v>
      </c>
      <c r="G253" s="12">
        <v>36.85</v>
      </c>
      <c r="H253" s="10">
        <v>3.69</v>
      </c>
      <c r="I253" s="13">
        <v>1743</v>
      </c>
      <c r="J253" s="13">
        <f t="shared" si="35"/>
        <v>1743</v>
      </c>
      <c r="K253" s="13">
        <f t="shared" si="35"/>
        <v>1743</v>
      </c>
      <c r="L253" s="49">
        <f>K253*G253/F253+186.776</f>
        <v>1929.7760000000001</v>
      </c>
      <c r="M253" s="10">
        <v>3.69</v>
      </c>
      <c r="N253" s="50">
        <v>809884</v>
      </c>
      <c r="O253" s="50">
        <v>322080</v>
      </c>
      <c r="P253" s="48">
        <f t="shared" si="36"/>
        <v>487804</v>
      </c>
    </row>
    <row r="254" spans="1:16" ht="15.95" customHeight="1" x14ac:dyDescent="0.25">
      <c r="A254" s="15" t="s">
        <v>425</v>
      </c>
      <c r="B254" s="8" t="s">
        <v>534</v>
      </c>
      <c r="C254" s="9">
        <v>24215</v>
      </c>
      <c r="D254" s="12">
        <v>46</v>
      </c>
      <c r="E254" s="12">
        <f>59-17.6</f>
        <v>41.4</v>
      </c>
      <c r="F254" s="12">
        <f>59-17.6</f>
        <v>41.4</v>
      </c>
      <c r="G254" s="12">
        <f>59-17.6</f>
        <v>41.4</v>
      </c>
      <c r="H254" s="10">
        <v>21</v>
      </c>
      <c r="I254" s="13">
        <v>4110.7150000000001</v>
      </c>
      <c r="J254" s="13">
        <f t="shared" si="35"/>
        <v>3699.6434999999997</v>
      </c>
      <c r="K254" s="13">
        <f t="shared" si="35"/>
        <v>3699.6434999999997</v>
      </c>
      <c r="L254" s="49">
        <f>K254*G254/F254</f>
        <v>3699.6434999999997</v>
      </c>
      <c r="M254" s="10">
        <v>21</v>
      </c>
      <c r="N254" s="50">
        <v>1619095</v>
      </c>
      <c r="O254" s="50">
        <v>1015326</v>
      </c>
      <c r="P254" s="48">
        <f t="shared" si="36"/>
        <v>603769</v>
      </c>
    </row>
    <row r="255" spans="1:16" ht="15.95" customHeight="1" x14ac:dyDescent="0.25">
      <c r="A255" s="15" t="s">
        <v>428</v>
      </c>
      <c r="B255" s="8" t="s">
        <v>536</v>
      </c>
      <c r="C255" s="9">
        <v>24133</v>
      </c>
      <c r="D255" s="12">
        <v>23.19</v>
      </c>
      <c r="E255" s="12">
        <v>23.19</v>
      </c>
      <c r="F255" s="12">
        <v>17.600000000000001</v>
      </c>
      <c r="G255" s="12">
        <v>17.600000000000001</v>
      </c>
      <c r="H255" s="10">
        <v>8.94</v>
      </c>
      <c r="I255" s="13">
        <v>632.62300000000005</v>
      </c>
      <c r="J255" s="13">
        <f t="shared" si="35"/>
        <v>632.62300000000005</v>
      </c>
      <c r="K255" s="13">
        <f t="shared" si="35"/>
        <v>480.12784821043562</v>
      </c>
      <c r="L255" s="49">
        <f>K255*G255/F255</f>
        <v>480.12784821043556</v>
      </c>
      <c r="M255" s="10">
        <v>8.94</v>
      </c>
      <c r="N255" s="50">
        <v>1128013.6431818181</v>
      </c>
      <c r="O255" s="50">
        <v>242409</v>
      </c>
      <c r="P255" s="48">
        <f t="shared" si="36"/>
        <v>885604.64318181807</v>
      </c>
    </row>
    <row r="256" spans="1:16" ht="15.95" customHeight="1" x14ac:dyDescent="0.25">
      <c r="A256" s="20" t="s">
        <v>430</v>
      </c>
      <c r="B256" s="8" t="s">
        <v>538</v>
      </c>
      <c r="C256" s="9">
        <v>24154</v>
      </c>
      <c r="D256" s="12">
        <v>29.8</v>
      </c>
      <c r="E256" s="12">
        <v>29.8</v>
      </c>
      <c r="F256" s="12">
        <v>29.8</v>
      </c>
      <c r="G256" s="12">
        <v>29.8</v>
      </c>
      <c r="H256" s="10">
        <v>21.3</v>
      </c>
      <c r="I256" s="13">
        <v>3619</v>
      </c>
      <c r="J256" s="13">
        <f t="shared" si="35"/>
        <v>3619</v>
      </c>
      <c r="K256" s="13">
        <f t="shared" si="35"/>
        <v>3619</v>
      </c>
      <c r="L256" s="49">
        <f>K256*G256/F256</f>
        <v>3619</v>
      </c>
      <c r="M256" s="10">
        <v>21.3</v>
      </c>
      <c r="N256" s="50">
        <v>4294505</v>
      </c>
      <c r="O256" s="50">
        <v>3210232</v>
      </c>
      <c r="P256" s="48">
        <f t="shared" si="36"/>
        <v>1084273</v>
      </c>
    </row>
    <row r="257" spans="1:16" ht="15.95" customHeight="1" x14ac:dyDescent="0.25">
      <c r="A257" s="15" t="s">
        <v>1064</v>
      </c>
      <c r="B257" s="8" t="s">
        <v>993</v>
      </c>
      <c r="C257" s="9" t="s">
        <v>994</v>
      </c>
      <c r="D257" s="12"/>
      <c r="E257" s="12"/>
      <c r="F257" s="12"/>
      <c r="G257" s="12"/>
      <c r="H257" s="10">
        <v>3.7</v>
      </c>
      <c r="I257" s="13"/>
      <c r="J257" s="13"/>
      <c r="K257" s="13"/>
      <c r="L257" s="49"/>
      <c r="M257" s="10">
        <v>3.7</v>
      </c>
      <c r="N257" s="50">
        <v>9632674</v>
      </c>
      <c r="O257" s="50">
        <v>2032797</v>
      </c>
      <c r="P257" s="48">
        <f t="shared" si="36"/>
        <v>7599877</v>
      </c>
    </row>
    <row r="258" spans="1:16" ht="15.95" customHeight="1" x14ac:dyDescent="0.25">
      <c r="A258" s="15" t="s">
        <v>434</v>
      </c>
      <c r="B258" s="8" t="s">
        <v>1055</v>
      </c>
      <c r="C258" s="9">
        <v>24152</v>
      </c>
      <c r="D258" s="12">
        <v>20.07</v>
      </c>
      <c r="E258" s="12">
        <v>16.84</v>
      </c>
      <c r="F258" s="12">
        <v>16.84</v>
      </c>
      <c r="G258" s="12">
        <v>16.84</v>
      </c>
      <c r="H258" s="10">
        <v>16.82</v>
      </c>
      <c r="I258" s="13">
        <v>2327.03784</v>
      </c>
      <c r="J258" s="13">
        <v>1952.5319992825109</v>
      </c>
      <c r="K258" s="13">
        <v>1952.5319992825109</v>
      </c>
      <c r="L258" s="49">
        <v>1952.5319992825109</v>
      </c>
      <c r="M258" s="10">
        <v>16.82</v>
      </c>
      <c r="N258" s="50">
        <v>2341535</v>
      </c>
      <c r="O258" s="50">
        <v>1957138</v>
      </c>
      <c r="P258" s="48">
        <f t="shared" si="36"/>
        <v>384397</v>
      </c>
    </row>
    <row r="259" spans="1:16" ht="15.95" customHeight="1" x14ac:dyDescent="0.25">
      <c r="A259" s="20" t="s">
        <v>436</v>
      </c>
      <c r="B259" s="8" t="s">
        <v>995</v>
      </c>
      <c r="C259" s="9" t="s">
        <v>996</v>
      </c>
      <c r="D259" s="12"/>
      <c r="E259" s="12"/>
      <c r="F259" s="12"/>
      <c r="G259" s="12"/>
      <c r="H259" s="10">
        <v>15.56</v>
      </c>
      <c r="I259" s="13"/>
      <c r="J259" s="13"/>
      <c r="K259" s="13"/>
      <c r="L259" s="49"/>
      <c r="M259" s="10">
        <v>15.56</v>
      </c>
      <c r="N259" s="50">
        <v>14614271</v>
      </c>
      <c r="O259" s="50">
        <v>2727322</v>
      </c>
      <c r="P259" s="48">
        <f t="shared" si="36"/>
        <v>11886949</v>
      </c>
    </row>
    <row r="260" spans="1:16" ht="15.95" customHeight="1" x14ac:dyDescent="0.25">
      <c r="A260" s="15" t="s">
        <v>438</v>
      </c>
      <c r="B260" s="8" t="s">
        <v>541</v>
      </c>
      <c r="C260" s="9">
        <v>24143</v>
      </c>
      <c r="D260" s="12">
        <v>32.909999999999997</v>
      </c>
      <c r="E260" s="12">
        <v>32.909999999999997</v>
      </c>
      <c r="F260" s="12">
        <v>32.909999999999997</v>
      </c>
      <c r="G260" s="12">
        <v>32.909999999999997</v>
      </c>
      <c r="H260" s="10">
        <v>16.14</v>
      </c>
      <c r="I260" s="13">
        <v>1115.5069599999999</v>
      </c>
      <c r="J260" s="13">
        <f t="shared" ref="J260:L275" si="37">I260*E260/D260</f>
        <v>1115.5069599999999</v>
      </c>
      <c r="K260" s="13">
        <f t="shared" si="37"/>
        <v>1115.5069599999999</v>
      </c>
      <c r="L260" s="49">
        <f t="shared" si="37"/>
        <v>1115.5069599999999</v>
      </c>
      <c r="M260" s="10">
        <v>16.14</v>
      </c>
      <c r="N260" s="50">
        <v>596951</v>
      </c>
      <c r="O260" s="50">
        <v>564476</v>
      </c>
      <c r="P260" s="48">
        <f t="shared" si="36"/>
        <v>32475</v>
      </c>
    </row>
    <row r="261" spans="1:16" ht="15.95" customHeight="1" x14ac:dyDescent="0.25">
      <c r="A261" s="15" t="s">
        <v>440</v>
      </c>
      <c r="B261" s="8" t="s">
        <v>544</v>
      </c>
      <c r="C261" s="9" t="s">
        <v>545</v>
      </c>
      <c r="D261" s="12">
        <v>9.9499999999999993</v>
      </c>
      <c r="E261" s="12">
        <v>9.9499999999999993</v>
      </c>
      <c r="F261" s="12">
        <v>8.99</v>
      </c>
      <c r="G261" s="12">
        <v>8.99</v>
      </c>
      <c r="H261" s="10">
        <v>1.26</v>
      </c>
      <c r="I261" s="13">
        <v>1531.249</v>
      </c>
      <c r="J261" s="13">
        <f t="shared" si="37"/>
        <v>1531.249</v>
      </c>
      <c r="K261" s="13">
        <f t="shared" si="37"/>
        <v>1383.5104030150756</v>
      </c>
      <c r="L261" s="49">
        <f t="shared" si="37"/>
        <v>1383.5104030150756</v>
      </c>
      <c r="M261" s="10">
        <v>1.26</v>
      </c>
      <c r="N261" s="50">
        <v>793423.20987654291</v>
      </c>
      <c r="O261" s="50">
        <v>306354</v>
      </c>
      <c r="P261" s="48">
        <f t="shared" si="36"/>
        <v>487069.20987654291</v>
      </c>
    </row>
    <row r="262" spans="1:16" ht="15.95" customHeight="1" x14ac:dyDescent="0.25">
      <c r="A262" s="20" t="s">
        <v>442</v>
      </c>
      <c r="B262" s="8" t="s">
        <v>547</v>
      </c>
      <c r="C262" s="9">
        <v>24930</v>
      </c>
      <c r="D262" s="12">
        <v>9.2100000000000009</v>
      </c>
      <c r="E262" s="12">
        <f>11.12-1.91</f>
        <v>9.2099999999999991</v>
      </c>
      <c r="F262" s="12">
        <v>8.48</v>
      </c>
      <c r="G262" s="12">
        <f>10.39-1.91</f>
        <v>8.48</v>
      </c>
      <c r="H262" s="10">
        <v>5.97</v>
      </c>
      <c r="I262" s="13">
        <v>4350</v>
      </c>
      <c r="J262" s="13">
        <f t="shared" si="37"/>
        <v>4349.9999999999991</v>
      </c>
      <c r="K262" s="13">
        <f t="shared" si="37"/>
        <v>4005.2117263843643</v>
      </c>
      <c r="L262" s="49">
        <f t="shared" si="37"/>
        <v>4005.2117263843638</v>
      </c>
      <c r="M262" s="10">
        <v>5.97</v>
      </c>
      <c r="N262" s="50">
        <v>3311630</v>
      </c>
      <c r="O262" s="50">
        <v>2603045</v>
      </c>
      <c r="P262" s="48">
        <f t="shared" si="36"/>
        <v>708585</v>
      </c>
    </row>
    <row r="263" spans="1:16" ht="15.95" customHeight="1" x14ac:dyDescent="0.25">
      <c r="A263" s="15" t="s">
        <v>444</v>
      </c>
      <c r="B263" s="8" t="s">
        <v>549</v>
      </c>
      <c r="C263" s="9">
        <v>24320</v>
      </c>
      <c r="D263" s="12">
        <v>39.85</v>
      </c>
      <c r="E263" s="12">
        <v>39.85</v>
      </c>
      <c r="F263" s="12">
        <v>39.85</v>
      </c>
      <c r="G263" s="12">
        <v>39.85</v>
      </c>
      <c r="H263" s="10">
        <v>5.93</v>
      </c>
      <c r="I263" s="13">
        <v>3255.1399000000001</v>
      </c>
      <c r="J263" s="13">
        <f t="shared" si="37"/>
        <v>3255.1399000000001</v>
      </c>
      <c r="K263" s="13">
        <f t="shared" si="37"/>
        <v>3255.1399000000001</v>
      </c>
      <c r="L263" s="49">
        <f t="shared" si="37"/>
        <v>3255.1399000000001</v>
      </c>
      <c r="M263" s="10">
        <v>5.93</v>
      </c>
      <c r="N263" s="50">
        <v>3408498</v>
      </c>
      <c r="O263" s="50">
        <v>1167531</v>
      </c>
      <c r="P263" s="48">
        <f t="shared" si="36"/>
        <v>2240967</v>
      </c>
    </row>
    <row r="264" spans="1:16" ht="15.95" customHeight="1" x14ac:dyDescent="0.25">
      <c r="A264" s="15" t="s">
        <v>446</v>
      </c>
      <c r="B264" s="8" t="s">
        <v>1066</v>
      </c>
      <c r="C264" s="9">
        <v>23871</v>
      </c>
      <c r="D264" s="12">
        <v>41.23</v>
      </c>
      <c r="E264" s="12">
        <v>40.58</v>
      </c>
      <c r="F264" s="12">
        <v>6.96</v>
      </c>
      <c r="G264" s="12">
        <v>6.96</v>
      </c>
      <c r="H264" s="10">
        <v>5.69</v>
      </c>
      <c r="I264" s="13">
        <v>9233.0619999999999</v>
      </c>
      <c r="J264" s="13">
        <f>I264*E264/D264</f>
        <v>9087.5007509095321</v>
      </c>
      <c r="K264" s="13">
        <f t="shared" si="37"/>
        <v>1558.6250671840894</v>
      </c>
      <c r="L264" s="49">
        <f t="shared" si="37"/>
        <v>1558.6250671840894</v>
      </c>
      <c r="M264" s="10">
        <v>5.69</v>
      </c>
      <c r="N264" s="50">
        <v>2911445</v>
      </c>
      <c r="O264" s="50">
        <v>1686673</v>
      </c>
      <c r="P264" s="48">
        <f t="shared" si="36"/>
        <v>1224772</v>
      </c>
    </row>
    <row r="265" spans="1:16" ht="15.95" customHeight="1" x14ac:dyDescent="0.25">
      <c r="A265" s="20" t="s">
        <v>449</v>
      </c>
      <c r="B265" s="8" t="s">
        <v>553</v>
      </c>
      <c r="C265" s="9">
        <v>24509</v>
      </c>
      <c r="D265" s="12">
        <v>9.93</v>
      </c>
      <c r="E265" s="12">
        <v>9.93</v>
      </c>
      <c r="F265" s="12">
        <v>6.29</v>
      </c>
      <c r="G265" s="12">
        <v>6.29</v>
      </c>
      <c r="H265" s="10">
        <v>6.29</v>
      </c>
      <c r="I265" s="13">
        <v>1869.1759999999999</v>
      </c>
      <c r="J265" s="13">
        <f t="shared" si="37"/>
        <v>1869.1759999999999</v>
      </c>
      <c r="K265" s="13">
        <f t="shared" si="37"/>
        <v>1183.9997019133937</v>
      </c>
      <c r="L265" s="49">
        <f t="shared" si="37"/>
        <v>1183.9997019133937</v>
      </c>
      <c r="M265" s="10">
        <v>6.29</v>
      </c>
      <c r="N265" s="50">
        <v>2299713</v>
      </c>
      <c r="O265" s="50">
        <v>953308</v>
      </c>
      <c r="P265" s="48">
        <f t="shared" si="36"/>
        <v>1346405</v>
      </c>
    </row>
    <row r="266" spans="1:16" ht="15.95" customHeight="1" x14ac:dyDescent="0.25">
      <c r="A266" s="15" t="s">
        <v>451</v>
      </c>
      <c r="B266" s="8" t="s">
        <v>555</v>
      </c>
      <c r="C266" s="9">
        <v>24524</v>
      </c>
      <c r="D266" s="12">
        <v>12.3</v>
      </c>
      <c r="E266" s="12">
        <v>12.3</v>
      </c>
      <c r="F266" s="12">
        <v>12.3</v>
      </c>
      <c r="G266" s="12">
        <v>12.3</v>
      </c>
      <c r="H266" s="10">
        <v>8.6300000000000008</v>
      </c>
      <c r="I266" s="13">
        <v>2501</v>
      </c>
      <c r="J266" s="13">
        <f t="shared" si="37"/>
        <v>2501</v>
      </c>
      <c r="K266" s="13">
        <f t="shared" si="37"/>
        <v>2501</v>
      </c>
      <c r="L266" s="49">
        <f t="shared" si="37"/>
        <v>2501</v>
      </c>
      <c r="M266" s="10">
        <v>8.6300000000000008</v>
      </c>
      <c r="N266" s="50">
        <v>2812149</v>
      </c>
      <c r="O266" s="50">
        <v>1877311</v>
      </c>
      <c r="P266" s="48">
        <f t="shared" si="36"/>
        <v>934838</v>
      </c>
    </row>
    <row r="267" spans="1:16" ht="15.95" customHeight="1" x14ac:dyDescent="0.25">
      <c r="A267" s="15" t="s">
        <v>452</v>
      </c>
      <c r="B267" s="8" t="s">
        <v>557</v>
      </c>
      <c r="C267" s="9">
        <v>23884</v>
      </c>
      <c r="D267" s="12">
        <v>16.3</v>
      </c>
      <c r="E267" s="12">
        <v>16.3</v>
      </c>
      <c r="F267" s="12">
        <v>16.3</v>
      </c>
      <c r="G267" s="12">
        <v>16.3</v>
      </c>
      <c r="H267" s="10">
        <v>14.5</v>
      </c>
      <c r="I267" s="13">
        <v>1711</v>
      </c>
      <c r="J267" s="13">
        <f t="shared" si="37"/>
        <v>1711</v>
      </c>
      <c r="K267" s="13">
        <f t="shared" si="37"/>
        <v>1711</v>
      </c>
      <c r="L267" s="49">
        <f t="shared" si="37"/>
        <v>1711</v>
      </c>
      <c r="M267" s="10">
        <v>14.5</v>
      </c>
      <c r="N267" s="50">
        <v>5965234.963190184</v>
      </c>
      <c r="O267" s="50">
        <v>2577853</v>
      </c>
      <c r="P267" s="48">
        <f t="shared" si="36"/>
        <v>3387381.963190184</v>
      </c>
    </row>
    <row r="268" spans="1:16" ht="15.95" customHeight="1" x14ac:dyDescent="0.25">
      <c r="A268" s="20" t="s">
        <v>454</v>
      </c>
      <c r="B268" s="8" t="s">
        <v>560</v>
      </c>
      <c r="C268" s="9">
        <v>23885</v>
      </c>
      <c r="D268" s="12">
        <v>22.46</v>
      </c>
      <c r="E268" s="12">
        <v>20.77</v>
      </c>
      <c r="F268" s="12">
        <v>16.989999999999998</v>
      </c>
      <c r="G268" s="12">
        <f>25.68-3.78-4.91</f>
        <v>16.989999999999998</v>
      </c>
      <c r="H268" s="10">
        <v>12.88</v>
      </c>
      <c r="I268" s="13">
        <v>1662.0040100000001</v>
      </c>
      <c r="J268" s="13">
        <f>I268*E268/D268-0.00001</f>
        <v>1536.9467080632237</v>
      </c>
      <c r="K268" s="13">
        <f t="shared" si="37"/>
        <v>1257.2327669713129</v>
      </c>
      <c r="L268" s="49">
        <f>K268*G268/F268+539.397</f>
        <v>1796.6297669713131</v>
      </c>
      <c r="M268" s="10">
        <v>12.88</v>
      </c>
      <c r="N268" s="50">
        <v>8917868</v>
      </c>
      <c r="O268" s="50">
        <v>2635245</v>
      </c>
      <c r="P268" s="48">
        <f t="shared" si="36"/>
        <v>6282623</v>
      </c>
    </row>
    <row r="269" spans="1:16" ht="15.95" customHeight="1" x14ac:dyDescent="0.25">
      <c r="A269" s="15" t="s">
        <v>456</v>
      </c>
      <c r="B269" s="8" t="s">
        <v>562</v>
      </c>
      <c r="C269" s="9">
        <v>23850</v>
      </c>
      <c r="D269" s="12">
        <v>15.16</v>
      </c>
      <c r="E269" s="12">
        <v>15.16</v>
      </c>
      <c r="F269" s="12">
        <v>15.16</v>
      </c>
      <c r="G269" s="12">
        <v>15.16</v>
      </c>
      <c r="H269" s="10">
        <v>15.16</v>
      </c>
      <c r="I269" s="13">
        <v>1100</v>
      </c>
      <c r="J269" s="13">
        <f t="shared" ref="J269:K280" si="38">I269*E269/D269</f>
        <v>1100</v>
      </c>
      <c r="K269" s="13">
        <f t="shared" si="37"/>
        <v>1100</v>
      </c>
      <c r="L269" s="49">
        <f>K269*G269/F269</f>
        <v>1100</v>
      </c>
      <c r="M269" s="10">
        <v>15.16</v>
      </c>
      <c r="N269" s="50">
        <v>2101898</v>
      </c>
      <c r="O269" s="50">
        <v>812738</v>
      </c>
      <c r="P269" s="48">
        <f t="shared" si="36"/>
        <v>1289160</v>
      </c>
    </row>
    <row r="270" spans="1:16" ht="15.95" customHeight="1" x14ac:dyDescent="0.25">
      <c r="A270" s="15" t="s">
        <v>457</v>
      </c>
      <c r="B270" s="8" t="s">
        <v>564</v>
      </c>
      <c r="C270" s="9">
        <v>23849</v>
      </c>
      <c r="D270" s="12">
        <v>14.57</v>
      </c>
      <c r="E270" s="12">
        <v>14.57</v>
      </c>
      <c r="F270" s="12">
        <v>14.57</v>
      </c>
      <c r="G270" s="12">
        <v>14.57</v>
      </c>
      <c r="H270" s="10">
        <v>14.57</v>
      </c>
      <c r="I270" s="13">
        <v>868.14494000000002</v>
      </c>
      <c r="J270" s="13">
        <f t="shared" si="38"/>
        <v>868.14494000000002</v>
      </c>
      <c r="K270" s="13">
        <f t="shared" si="37"/>
        <v>868.14494000000002</v>
      </c>
      <c r="L270" s="49">
        <f>K270*G270/F270</f>
        <v>868.14494000000002</v>
      </c>
      <c r="M270" s="10">
        <v>14.57</v>
      </c>
      <c r="N270" s="50">
        <v>1526383</v>
      </c>
      <c r="O270" s="50">
        <v>1213087</v>
      </c>
      <c r="P270" s="48">
        <f t="shared" si="36"/>
        <v>313296</v>
      </c>
    </row>
    <row r="271" spans="1:16" ht="15.95" customHeight="1" x14ac:dyDescent="0.25">
      <c r="A271" s="20" t="s">
        <v>459</v>
      </c>
      <c r="B271" s="8" t="s">
        <v>566</v>
      </c>
      <c r="C271" s="9">
        <v>23848</v>
      </c>
      <c r="D271" s="12">
        <f>13.47-4.91</f>
        <v>8.56</v>
      </c>
      <c r="E271" s="12">
        <f>13.47-4.91</f>
        <v>8.56</v>
      </c>
      <c r="F271" s="12">
        <f>13.47-4.91</f>
        <v>8.56</v>
      </c>
      <c r="G271" s="12">
        <f>13.47-4.91</f>
        <v>8.56</v>
      </c>
      <c r="H271" s="10">
        <v>13.47</v>
      </c>
      <c r="I271" s="13">
        <v>1145</v>
      </c>
      <c r="J271" s="13">
        <f t="shared" si="38"/>
        <v>1145</v>
      </c>
      <c r="K271" s="13">
        <f t="shared" si="37"/>
        <v>1145</v>
      </c>
      <c r="L271" s="49">
        <f>K271*G271/F271+109.358</f>
        <v>1254.3579999999999</v>
      </c>
      <c r="M271" s="10">
        <v>13.47</v>
      </c>
      <c r="N271" s="50">
        <v>8180296</v>
      </c>
      <c r="O271" s="50">
        <v>2101389</v>
      </c>
      <c r="P271" s="48">
        <f t="shared" si="36"/>
        <v>6078907</v>
      </c>
    </row>
    <row r="272" spans="1:16" ht="15.95" customHeight="1" x14ac:dyDescent="0.25">
      <c r="A272" s="15" t="s">
        <v>461</v>
      </c>
      <c r="B272" s="8" t="s">
        <v>570</v>
      </c>
      <c r="C272" s="9">
        <v>23898</v>
      </c>
      <c r="D272" s="12">
        <v>18.71</v>
      </c>
      <c r="E272" s="12">
        <v>16.28</v>
      </c>
      <c r="F272" s="12">
        <v>16.28</v>
      </c>
      <c r="G272" s="12">
        <v>16.28</v>
      </c>
      <c r="H272" s="10">
        <v>20.5</v>
      </c>
      <c r="I272" s="13">
        <v>3336</v>
      </c>
      <c r="J272" s="13">
        <f t="shared" si="38"/>
        <v>2902.7300908605025</v>
      </c>
      <c r="K272" s="13">
        <f t="shared" si="37"/>
        <v>2902.7300908605025</v>
      </c>
      <c r="L272" s="49">
        <f>K272*G272/F272</f>
        <v>2902.7300908605025</v>
      </c>
      <c r="M272" s="10">
        <v>20.5</v>
      </c>
      <c r="N272" s="50">
        <v>10743214</v>
      </c>
      <c r="O272" s="50">
        <v>4073990</v>
      </c>
      <c r="P272" s="48">
        <f t="shared" si="36"/>
        <v>6669224</v>
      </c>
    </row>
    <row r="273" spans="1:16" ht="15.95" customHeight="1" x14ac:dyDescent="0.25">
      <c r="A273" s="15" t="s">
        <v>463</v>
      </c>
      <c r="B273" s="8" t="s">
        <v>572</v>
      </c>
      <c r="C273" s="9">
        <v>23905</v>
      </c>
      <c r="D273" s="12">
        <v>21.1</v>
      </c>
      <c r="E273" s="12">
        <v>21.1</v>
      </c>
      <c r="F273" s="12">
        <v>21.1</v>
      </c>
      <c r="G273" s="12">
        <v>21.1</v>
      </c>
      <c r="H273" s="10">
        <v>8.5299999999999994</v>
      </c>
      <c r="I273" s="13">
        <v>1827.41831</v>
      </c>
      <c r="J273" s="13">
        <f t="shared" si="38"/>
        <v>1827.41831</v>
      </c>
      <c r="K273" s="13">
        <f t="shared" si="37"/>
        <v>1827.41831</v>
      </c>
      <c r="L273" s="49">
        <f>K273*G273/F273+39.132+21.518</f>
        <v>1888.0683100000001</v>
      </c>
      <c r="M273" s="10">
        <v>8.5299999999999994</v>
      </c>
      <c r="N273" s="50">
        <v>4189410</v>
      </c>
      <c r="O273" s="50">
        <v>1404403</v>
      </c>
      <c r="P273" s="48">
        <f t="shared" si="36"/>
        <v>2785007</v>
      </c>
    </row>
    <row r="274" spans="1:16" ht="15.95" customHeight="1" x14ac:dyDescent="0.25">
      <c r="A274" s="20" t="s">
        <v>465</v>
      </c>
      <c r="B274" s="8" t="s">
        <v>574</v>
      </c>
      <c r="C274" s="9">
        <v>23835</v>
      </c>
      <c r="D274" s="12">
        <v>21.9</v>
      </c>
      <c r="E274" s="12">
        <v>21.9</v>
      </c>
      <c r="F274" s="12">
        <v>21.9</v>
      </c>
      <c r="G274" s="12">
        <v>21.9</v>
      </c>
      <c r="H274" s="10">
        <v>21.9</v>
      </c>
      <c r="I274" s="13">
        <v>1589</v>
      </c>
      <c r="J274" s="13">
        <f t="shared" si="38"/>
        <v>1589</v>
      </c>
      <c r="K274" s="13">
        <f t="shared" si="37"/>
        <v>1589</v>
      </c>
      <c r="L274" s="49">
        <f>K274*G274/F274</f>
        <v>1589</v>
      </c>
      <c r="M274" s="10">
        <v>21.9</v>
      </c>
      <c r="N274" s="50">
        <v>5693119</v>
      </c>
      <c r="O274" s="50">
        <v>2735818</v>
      </c>
      <c r="P274" s="48">
        <f t="shared" si="36"/>
        <v>2957301</v>
      </c>
    </row>
    <row r="275" spans="1:16" ht="15.95" customHeight="1" x14ac:dyDescent="0.25">
      <c r="A275" s="15" t="s">
        <v>466</v>
      </c>
      <c r="B275" s="8" t="s">
        <v>576</v>
      </c>
      <c r="C275" s="9">
        <v>23834</v>
      </c>
      <c r="D275" s="12">
        <v>15.07</v>
      </c>
      <c r="E275" s="12">
        <v>12.29</v>
      </c>
      <c r="F275" s="12">
        <v>12.29</v>
      </c>
      <c r="G275" s="12">
        <v>12.29</v>
      </c>
      <c r="H275" s="10">
        <v>8.16</v>
      </c>
      <c r="I275" s="13">
        <v>1313</v>
      </c>
      <c r="J275" s="13">
        <f t="shared" si="38"/>
        <v>1070.7876575978764</v>
      </c>
      <c r="K275" s="13">
        <f t="shared" si="37"/>
        <v>1070.7876575978764</v>
      </c>
      <c r="L275" s="49">
        <f>K275*G275/F275</f>
        <v>1070.7876575978764</v>
      </c>
      <c r="M275" s="10">
        <v>8.16</v>
      </c>
      <c r="N275" s="50">
        <v>885469</v>
      </c>
      <c r="O275" s="50">
        <v>821092</v>
      </c>
      <c r="P275" s="48">
        <f t="shared" si="36"/>
        <v>64377</v>
      </c>
    </row>
    <row r="276" spans="1:16" ht="15.95" customHeight="1" x14ac:dyDescent="0.25">
      <c r="A276" s="15" t="s">
        <v>468</v>
      </c>
      <c r="B276" s="8" t="s">
        <v>578</v>
      </c>
      <c r="C276" s="9">
        <v>23907</v>
      </c>
      <c r="D276" s="12">
        <v>6.31</v>
      </c>
      <c r="E276" s="12">
        <v>6.31</v>
      </c>
      <c r="F276" s="12">
        <v>6.31</v>
      </c>
      <c r="G276" s="12">
        <v>6.31</v>
      </c>
      <c r="H276" s="10">
        <v>6.31</v>
      </c>
      <c r="I276" s="13">
        <v>597</v>
      </c>
      <c r="J276" s="13">
        <f t="shared" si="38"/>
        <v>597</v>
      </c>
      <c r="K276" s="13">
        <f t="shared" si="38"/>
        <v>597</v>
      </c>
      <c r="L276" s="49">
        <f>K276*G276/F276+347.681</f>
        <v>944.68100000000004</v>
      </c>
      <c r="M276" s="10">
        <v>6.31</v>
      </c>
      <c r="N276" s="50">
        <v>1239426</v>
      </c>
      <c r="O276" s="50">
        <v>848148</v>
      </c>
      <c r="P276" s="48">
        <f t="shared" si="36"/>
        <v>391278</v>
      </c>
    </row>
    <row r="277" spans="1:16" ht="15.95" customHeight="1" x14ac:dyDescent="0.25">
      <c r="A277" s="20" t="s">
        <v>1048</v>
      </c>
      <c r="B277" s="8" t="s">
        <v>580</v>
      </c>
      <c r="C277" s="9">
        <v>23832</v>
      </c>
      <c r="D277" s="12">
        <v>7.09</v>
      </c>
      <c r="E277" s="12">
        <v>7.09</v>
      </c>
      <c r="F277" s="12">
        <v>7.09</v>
      </c>
      <c r="G277" s="12">
        <v>7.09</v>
      </c>
      <c r="H277" s="10">
        <v>4.1500000000000004</v>
      </c>
      <c r="I277" s="13">
        <v>501</v>
      </c>
      <c r="J277" s="13">
        <f t="shared" si="38"/>
        <v>501.00000000000006</v>
      </c>
      <c r="K277" s="13">
        <f t="shared" si="38"/>
        <v>501.00000000000006</v>
      </c>
      <c r="L277" s="49">
        <f>K277*G277/F277+25.028</f>
        <v>526.02800000000002</v>
      </c>
      <c r="M277" s="10">
        <v>4.1500000000000004</v>
      </c>
      <c r="N277" s="50">
        <v>697498</v>
      </c>
      <c r="O277" s="50">
        <v>463106</v>
      </c>
      <c r="P277" s="48">
        <f t="shared" si="36"/>
        <v>234392</v>
      </c>
    </row>
    <row r="278" spans="1:16" ht="15.95" customHeight="1" x14ac:dyDescent="0.25">
      <c r="A278" s="15" t="s">
        <v>470</v>
      </c>
      <c r="B278" s="8" t="s">
        <v>584</v>
      </c>
      <c r="C278" s="9">
        <v>23818</v>
      </c>
      <c r="D278" s="12">
        <v>29.97</v>
      </c>
      <c r="E278" s="12">
        <v>29.97</v>
      </c>
      <c r="F278" s="12">
        <v>29.97</v>
      </c>
      <c r="G278" s="12">
        <v>29.97</v>
      </c>
      <c r="H278" s="10">
        <v>2.81</v>
      </c>
      <c r="I278" s="13">
        <v>4832</v>
      </c>
      <c r="J278" s="13">
        <f t="shared" si="38"/>
        <v>4832.0000000000009</v>
      </c>
      <c r="K278" s="13">
        <f t="shared" si="38"/>
        <v>4832.0000000000009</v>
      </c>
      <c r="L278" s="49">
        <f>K278*G278/F278</f>
        <v>4832.0000000000009</v>
      </c>
      <c r="M278" s="10">
        <v>2.81</v>
      </c>
      <c r="N278" s="50">
        <v>1661493.2432702298</v>
      </c>
      <c r="O278" s="50">
        <v>1175093</v>
      </c>
      <c r="P278" s="48">
        <f t="shared" si="36"/>
        <v>486400.24327022978</v>
      </c>
    </row>
    <row r="279" spans="1:16" ht="15.95" customHeight="1" x14ac:dyDescent="0.25">
      <c r="A279" s="15" t="s">
        <v>471</v>
      </c>
      <c r="B279" s="8" t="s">
        <v>589</v>
      </c>
      <c r="C279" s="9" t="s">
        <v>590</v>
      </c>
      <c r="D279" s="12">
        <v>59.23</v>
      </c>
      <c r="E279" s="12">
        <v>59.23</v>
      </c>
      <c r="F279" s="12">
        <v>59.23</v>
      </c>
      <c r="G279" s="12">
        <v>59.23</v>
      </c>
      <c r="H279" s="10">
        <v>3.71</v>
      </c>
      <c r="I279" s="13">
        <v>6103.6813000000002</v>
      </c>
      <c r="J279" s="13">
        <f t="shared" si="38"/>
        <v>6103.6813000000002</v>
      </c>
      <c r="K279" s="13">
        <f t="shared" si="38"/>
        <v>6103.6813000000002</v>
      </c>
      <c r="L279" s="49">
        <f>K279*G279/F279</f>
        <v>6103.6813000000002</v>
      </c>
      <c r="M279" s="10">
        <v>3.71</v>
      </c>
      <c r="N279" s="50">
        <v>504735.16422287386</v>
      </c>
      <c r="O279" s="50">
        <v>417831</v>
      </c>
      <c r="P279" s="48">
        <f t="shared" si="36"/>
        <v>86904.164222873864</v>
      </c>
    </row>
    <row r="280" spans="1:16" ht="15.95" customHeight="1" x14ac:dyDescent="0.25">
      <c r="A280" s="20" t="s">
        <v>472</v>
      </c>
      <c r="B280" s="8" t="s">
        <v>592</v>
      </c>
      <c r="C280" s="9">
        <v>24128</v>
      </c>
      <c r="D280" s="12">
        <v>26.35</v>
      </c>
      <c r="E280" s="12">
        <v>18.829999999999998</v>
      </c>
      <c r="F280" s="12">
        <v>18.829999999999998</v>
      </c>
      <c r="G280" s="12">
        <v>18.829999999999998</v>
      </c>
      <c r="H280" s="10">
        <v>0.49</v>
      </c>
      <c r="I280" s="13">
        <v>2456.5934099999999</v>
      </c>
      <c r="J280" s="13">
        <f>I280*E280/D280-0.00001</f>
        <v>1755.5086772979125</v>
      </c>
      <c r="K280" s="13">
        <f t="shared" si="38"/>
        <v>1755.5086772979125</v>
      </c>
      <c r="L280" s="49">
        <f>K280*G280/F280</f>
        <v>1755.5086772979125</v>
      </c>
      <c r="M280" s="10">
        <v>0.49</v>
      </c>
      <c r="N280" s="50">
        <v>65783</v>
      </c>
      <c r="O280" s="50">
        <v>54311</v>
      </c>
      <c r="P280" s="48">
        <f t="shared" si="36"/>
        <v>11472</v>
      </c>
    </row>
    <row r="281" spans="1:16" ht="15.95" customHeight="1" x14ac:dyDescent="0.25">
      <c r="A281" s="15" t="s">
        <v>473</v>
      </c>
      <c r="B281" s="8" t="s">
        <v>594</v>
      </c>
      <c r="C281" s="9">
        <v>24125</v>
      </c>
      <c r="D281" s="59">
        <v>12.19</v>
      </c>
      <c r="E281" s="59">
        <v>7.55</v>
      </c>
      <c r="F281" s="12">
        <v>7.5460000000000003</v>
      </c>
      <c r="G281" s="12">
        <v>7.5460000000000003</v>
      </c>
      <c r="H281" s="10">
        <v>7.55</v>
      </c>
      <c r="I281" s="13">
        <v>1208</v>
      </c>
      <c r="J281" s="13">
        <f t="shared" ref="J281:K288" si="39">I281*E281/D281</f>
        <v>748.18703855619356</v>
      </c>
      <c r="K281" s="13">
        <v>748.18704000000002</v>
      </c>
      <c r="L281" s="49">
        <f>K281*G281/F281+86.84+175.459</f>
        <v>1010.48604</v>
      </c>
      <c r="M281" s="10">
        <v>7.55</v>
      </c>
      <c r="N281" s="50">
        <v>1205937</v>
      </c>
      <c r="O281" s="50">
        <v>662646</v>
      </c>
      <c r="P281" s="48">
        <f t="shared" si="36"/>
        <v>543291</v>
      </c>
    </row>
    <row r="282" spans="1:16" ht="15.95" customHeight="1" x14ac:dyDescent="0.25">
      <c r="A282" s="15" t="s">
        <v>475</v>
      </c>
      <c r="B282" s="8" t="s">
        <v>596</v>
      </c>
      <c r="C282" s="9">
        <v>24124</v>
      </c>
      <c r="D282" s="12">
        <v>14.52</v>
      </c>
      <c r="E282" s="12">
        <v>9.5399999999999991</v>
      </c>
      <c r="F282" s="12">
        <v>9.5399999999999991</v>
      </c>
      <c r="G282" s="12">
        <v>9.5399999999999991</v>
      </c>
      <c r="H282" s="10">
        <v>5.62</v>
      </c>
      <c r="I282" s="13">
        <v>2057</v>
      </c>
      <c r="J282" s="13">
        <f t="shared" si="39"/>
        <v>1351.5</v>
      </c>
      <c r="K282" s="13">
        <f>J282*F282/E282</f>
        <v>1351.5</v>
      </c>
      <c r="L282" s="49">
        <f>K282*G282/F282+41.976</f>
        <v>1393.4760000000001</v>
      </c>
      <c r="M282" s="10">
        <v>5.62</v>
      </c>
      <c r="N282" s="50">
        <v>3699949</v>
      </c>
      <c r="O282" s="50">
        <v>1344278</v>
      </c>
      <c r="P282" s="48">
        <f t="shared" si="36"/>
        <v>2355671</v>
      </c>
    </row>
    <row r="283" spans="1:16" ht="15.95" customHeight="1" x14ac:dyDescent="0.25">
      <c r="A283" s="20" t="s">
        <v>477</v>
      </c>
      <c r="B283" s="8" t="s">
        <v>1011</v>
      </c>
      <c r="C283" s="9">
        <v>24123</v>
      </c>
      <c r="D283" s="12">
        <v>16.809999999999999</v>
      </c>
      <c r="E283" s="12">
        <v>16.809999999999999</v>
      </c>
      <c r="F283" s="12">
        <v>16.809999999999999</v>
      </c>
      <c r="G283" s="12">
        <v>16.809999999999999</v>
      </c>
      <c r="H283" s="14">
        <v>4.9400000000000004</v>
      </c>
      <c r="I283" s="13">
        <v>1095.3931600000001</v>
      </c>
      <c r="J283" s="13">
        <f t="shared" si="39"/>
        <v>1095.3931600000001</v>
      </c>
      <c r="K283" s="13">
        <f>J36*F36/E36</f>
        <v>6253.5994663972606</v>
      </c>
      <c r="L283" s="49">
        <f>K36*G36/F36</f>
        <v>6253.5994663972606</v>
      </c>
      <c r="M283" s="14">
        <v>4.9400000000000004</v>
      </c>
      <c r="N283" s="50">
        <v>373200</v>
      </c>
      <c r="O283" s="50">
        <v>363386</v>
      </c>
      <c r="P283" s="48">
        <f t="shared" si="36"/>
        <v>9814</v>
      </c>
    </row>
    <row r="284" spans="1:16" ht="15.95" customHeight="1" x14ac:dyDescent="0.25">
      <c r="A284" s="15" t="s">
        <v>479</v>
      </c>
      <c r="B284" s="8" t="s">
        <v>599</v>
      </c>
      <c r="C284" s="9">
        <v>24121</v>
      </c>
      <c r="D284" s="12">
        <v>19.100000000000001</v>
      </c>
      <c r="E284" s="12">
        <v>19.100000000000001</v>
      </c>
      <c r="F284" s="12">
        <v>19.100000000000001</v>
      </c>
      <c r="G284" s="12">
        <v>19.100000000000001</v>
      </c>
      <c r="H284" s="10">
        <v>19.100000000000001</v>
      </c>
      <c r="I284" s="13">
        <v>4041.069</v>
      </c>
      <c r="J284" s="13">
        <f t="shared" si="39"/>
        <v>4041.0689999999995</v>
      </c>
      <c r="K284" s="13">
        <f>J284*F284/E284</f>
        <v>4041.0689999999995</v>
      </c>
      <c r="L284" s="49">
        <f>K284*G284/F284</f>
        <v>4041.0689999999995</v>
      </c>
      <c r="M284" s="10">
        <v>19.100000000000001</v>
      </c>
      <c r="N284" s="50">
        <v>5910520</v>
      </c>
      <c r="O284" s="50">
        <v>1854560</v>
      </c>
      <c r="P284" s="48">
        <f t="shared" si="36"/>
        <v>4055960</v>
      </c>
    </row>
    <row r="285" spans="1:16" ht="15.95" customHeight="1" x14ac:dyDescent="0.25">
      <c r="A285" s="15" t="s">
        <v>481</v>
      </c>
      <c r="B285" s="8" t="s">
        <v>601</v>
      </c>
      <c r="C285" s="9">
        <v>24120</v>
      </c>
      <c r="D285" s="12">
        <v>20.77</v>
      </c>
      <c r="E285" s="12">
        <v>17.489999999999998</v>
      </c>
      <c r="F285" s="12">
        <v>13.96</v>
      </c>
      <c r="G285" s="12">
        <v>13.96</v>
      </c>
      <c r="H285" s="10">
        <v>4.13</v>
      </c>
      <c r="I285" s="13">
        <v>3698.6077399999999</v>
      </c>
      <c r="J285" s="13">
        <f t="shared" si="39"/>
        <v>3114.5233207799706</v>
      </c>
      <c r="K285" s="13">
        <f>J285*F285/E285</f>
        <v>2485.9202720462204</v>
      </c>
      <c r="L285" s="49">
        <f>K285*G285/F285+55.84</f>
        <v>2541.7602720462205</v>
      </c>
      <c r="M285" s="10">
        <v>4.13</v>
      </c>
      <c r="N285" s="50">
        <v>1348101</v>
      </c>
      <c r="O285" s="50">
        <v>911992</v>
      </c>
      <c r="P285" s="48">
        <f t="shared" si="36"/>
        <v>436109</v>
      </c>
    </row>
    <row r="286" spans="1:16" ht="15.95" customHeight="1" x14ac:dyDescent="0.25">
      <c r="A286" s="20" t="s">
        <v>483</v>
      </c>
      <c r="B286" s="8" t="s">
        <v>604</v>
      </c>
      <c r="C286" s="9" t="s">
        <v>605</v>
      </c>
      <c r="D286" s="12">
        <v>39.64</v>
      </c>
      <c r="E286" s="12">
        <v>37.04</v>
      </c>
      <c r="F286" s="12">
        <v>37.04</v>
      </c>
      <c r="G286" s="12">
        <v>37.04</v>
      </c>
      <c r="H286" s="10">
        <v>0.65</v>
      </c>
      <c r="I286" s="13">
        <v>4097.5868</v>
      </c>
      <c r="J286" s="13">
        <f t="shared" si="39"/>
        <v>3828.8247999999994</v>
      </c>
      <c r="K286" s="13">
        <f>J286*F286/E286</f>
        <v>3828.8247999999994</v>
      </c>
      <c r="L286" s="49">
        <f>K286*G286/F286</f>
        <v>3828.8247999999994</v>
      </c>
      <c r="M286" s="10">
        <v>0.65</v>
      </c>
      <c r="N286" s="50">
        <v>115397</v>
      </c>
      <c r="O286" s="50">
        <v>76607</v>
      </c>
      <c r="P286" s="48">
        <f t="shared" si="36"/>
        <v>38790</v>
      </c>
    </row>
    <row r="287" spans="1:16" ht="15.95" customHeight="1" x14ac:dyDescent="0.25">
      <c r="A287" s="15" t="s">
        <v>486</v>
      </c>
      <c r="B287" s="8" t="s">
        <v>1069</v>
      </c>
      <c r="C287" s="9">
        <v>24117</v>
      </c>
      <c r="D287" s="12">
        <v>32.07</v>
      </c>
      <c r="E287" s="12">
        <v>32.07</v>
      </c>
      <c r="F287" s="12">
        <v>27.32</v>
      </c>
      <c r="G287" s="12">
        <v>27.32</v>
      </c>
      <c r="H287" s="10">
        <v>9.67</v>
      </c>
      <c r="I287" s="13">
        <v>4524</v>
      </c>
      <c r="J287" s="13">
        <f t="shared" si="39"/>
        <v>4524</v>
      </c>
      <c r="K287" s="13">
        <f t="shared" si="39"/>
        <v>3853.9345182413472</v>
      </c>
      <c r="L287" s="49">
        <f>K287*G287/F287</f>
        <v>3853.9345182413472</v>
      </c>
      <c r="M287" s="10">
        <v>9.67</v>
      </c>
      <c r="N287" s="50">
        <v>3102155</v>
      </c>
      <c r="O287" s="50">
        <v>1646745</v>
      </c>
      <c r="P287" s="48">
        <f t="shared" si="36"/>
        <v>1455410</v>
      </c>
    </row>
    <row r="288" spans="1:16" ht="15.95" customHeight="1" x14ac:dyDescent="0.25">
      <c r="A288" s="15" t="s">
        <v>1067</v>
      </c>
      <c r="B288" s="8" t="s">
        <v>608</v>
      </c>
      <c r="C288" s="9" t="s">
        <v>609</v>
      </c>
      <c r="D288" s="12">
        <v>9.4499999999999993</v>
      </c>
      <c r="E288" s="12">
        <v>9.4499999999999993</v>
      </c>
      <c r="F288" s="12">
        <v>7.4</v>
      </c>
      <c r="G288" s="12">
        <v>7.4</v>
      </c>
      <c r="H288" s="10">
        <v>7.37</v>
      </c>
      <c r="I288" s="13">
        <v>1047</v>
      </c>
      <c r="J288" s="13">
        <f t="shared" si="39"/>
        <v>1047</v>
      </c>
      <c r="K288" s="13">
        <f>J288*F288/E288+27.085</f>
        <v>846.95801587301594</v>
      </c>
      <c r="L288" s="49">
        <f>K288*G288/F288+25.274+473.507</f>
        <v>1345.7390158730159</v>
      </c>
      <c r="M288" s="10">
        <v>7.37</v>
      </c>
      <c r="N288" s="50">
        <v>2445265</v>
      </c>
      <c r="O288" s="50">
        <v>1227183</v>
      </c>
      <c r="P288" s="48">
        <f t="shared" si="36"/>
        <v>1218082</v>
      </c>
    </row>
    <row r="289" spans="1:16" ht="15.95" customHeight="1" x14ac:dyDescent="0.25">
      <c r="A289" s="20" t="s">
        <v>489</v>
      </c>
      <c r="B289" s="8" t="s">
        <v>611</v>
      </c>
      <c r="C289" s="9" t="s">
        <v>612</v>
      </c>
      <c r="D289" s="12">
        <v>11.17</v>
      </c>
      <c r="E289" s="12">
        <v>10.58</v>
      </c>
      <c r="F289" s="12">
        <v>7.08</v>
      </c>
      <c r="G289" s="12">
        <v>7.08</v>
      </c>
      <c r="H289" s="10">
        <v>1.44</v>
      </c>
      <c r="I289" s="13">
        <v>2702.4193500000001</v>
      </c>
      <c r="J289" s="13">
        <f>I289*E289/D289+0.00001</f>
        <v>2559.6774247717103</v>
      </c>
      <c r="K289" s="13">
        <f t="shared" ref="K289:L297" si="40">J289*F289/E289</f>
        <v>1712.9032294313527</v>
      </c>
      <c r="L289" s="49">
        <f t="shared" si="40"/>
        <v>1712.9032294313529</v>
      </c>
      <c r="M289" s="10">
        <v>1.44</v>
      </c>
      <c r="N289" s="50">
        <v>1108310</v>
      </c>
      <c r="O289" s="50">
        <v>510023</v>
      </c>
      <c r="P289" s="48">
        <f t="shared" si="36"/>
        <v>598287</v>
      </c>
    </row>
    <row r="290" spans="1:16" ht="15.95" customHeight="1" x14ac:dyDescent="0.25">
      <c r="A290" s="15" t="s">
        <v>492</v>
      </c>
      <c r="B290" s="8" t="s">
        <v>614</v>
      </c>
      <c r="C290" s="9">
        <v>25037</v>
      </c>
      <c r="D290" s="12">
        <v>25.01</v>
      </c>
      <c r="E290" s="12">
        <v>18.86</v>
      </c>
      <c r="F290" s="12">
        <f>20.95-2.09</f>
        <v>18.86</v>
      </c>
      <c r="G290" s="12">
        <f>17.91-2.09</f>
        <v>15.82</v>
      </c>
      <c r="H290" s="10">
        <v>1.39</v>
      </c>
      <c r="I290" s="13">
        <v>2362.7454499999999</v>
      </c>
      <c r="J290" s="13">
        <f>I290*E290/D290</f>
        <v>1781.742470491803</v>
      </c>
      <c r="K290" s="13">
        <f t="shared" si="40"/>
        <v>1781.7424704918028</v>
      </c>
      <c r="L290" s="49">
        <f t="shared" si="40"/>
        <v>1494.547501759296</v>
      </c>
      <c r="M290" s="10">
        <v>1.39</v>
      </c>
      <c r="N290" s="50">
        <v>380338.17083333334</v>
      </c>
      <c r="O290" s="50">
        <v>301290</v>
      </c>
      <c r="P290" s="48">
        <f t="shared" si="36"/>
        <v>79048.170833333337</v>
      </c>
    </row>
    <row r="291" spans="1:16" ht="15.95" customHeight="1" x14ac:dyDescent="0.25">
      <c r="A291" s="15" t="s">
        <v>494</v>
      </c>
      <c r="B291" s="8" t="s">
        <v>616</v>
      </c>
      <c r="C291" s="9">
        <v>25036</v>
      </c>
      <c r="D291" s="12">
        <v>29.3</v>
      </c>
      <c r="E291" s="12">
        <v>29.3</v>
      </c>
      <c r="F291" s="12">
        <v>29.3</v>
      </c>
      <c r="G291" s="12">
        <v>26.54</v>
      </c>
      <c r="H291" s="10">
        <v>12.33</v>
      </c>
      <c r="I291" s="13">
        <v>2577</v>
      </c>
      <c r="J291" s="13">
        <f>I291*E291/D291</f>
        <v>2577</v>
      </c>
      <c r="K291" s="13">
        <f t="shared" si="40"/>
        <v>2577</v>
      </c>
      <c r="L291" s="49">
        <f t="shared" si="40"/>
        <v>2334.2518771331056</v>
      </c>
      <c r="M291" s="10">
        <v>12.33</v>
      </c>
      <c r="N291" s="50">
        <v>2217806</v>
      </c>
      <c r="O291" s="50">
        <v>1576004</v>
      </c>
      <c r="P291" s="48">
        <f t="shared" si="36"/>
        <v>641802</v>
      </c>
    </row>
    <row r="292" spans="1:16" ht="15.95" customHeight="1" x14ac:dyDescent="0.25">
      <c r="A292" s="20" t="s">
        <v>497</v>
      </c>
      <c r="B292" s="8" t="s">
        <v>619</v>
      </c>
      <c r="C292" s="9">
        <v>24786</v>
      </c>
      <c r="D292" s="12">
        <v>25.76</v>
      </c>
      <c r="E292" s="12">
        <v>25.76</v>
      </c>
      <c r="F292" s="12">
        <v>25.76</v>
      </c>
      <c r="G292" s="12">
        <v>25.51</v>
      </c>
      <c r="H292" s="10">
        <v>22.98</v>
      </c>
      <c r="I292" s="13">
        <v>2660.7502300000001</v>
      </c>
      <c r="J292" s="13">
        <f>I292*E292/D292</f>
        <v>2660.7502300000001</v>
      </c>
      <c r="K292" s="13">
        <f t="shared" si="40"/>
        <v>2660.7502300000001</v>
      </c>
      <c r="L292" s="49">
        <f t="shared" si="40"/>
        <v>2634.9277316498446</v>
      </c>
      <c r="M292" s="10">
        <v>22.98</v>
      </c>
      <c r="N292" s="50">
        <v>10219498</v>
      </c>
      <c r="O292" s="50">
        <v>4570643</v>
      </c>
      <c r="P292" s="48">
        <f t="shared" si="36"/>
        <v>5648855</v>
      </c>
    </row>
    <row r="293" spans="1:16" ht="15.95" customHeight="1" x14ac:dyDescent="0.25">
      <c r="A293" s="15" t="s">
        <v>499</v>
      </c>
      <c r="B293" s="8" t="s">
        <v>621</v>
      </c>
      <c r="C293" s="9">
        <v>24798</v>
      </c>
      <c r="D293" s="12">
        <v>24.63</v>
      </c>
      <c r="E293" s="12">
        <v>24.63</v>
      </c>
      <c r="F293" s="12">
        <v>24.63</v>
      </c>
      <c r="G293" s="12">
        <v>24.63</v>
      </c>
      <c r="H293" s="10">
        <v>17.78</v>
      </c>
      <c r="I293" s="13">
        <v>1363</v>
      </c>
      <c r="J293" s="13">
        <f>I293*E293/D293</f>
        <v>1362.9999999999998</v>
      </c>
      <c r="K293" s="13">
        <f>J293*F293/E293+78.557+78.557</f>
        <v>1520.1139999999998</v>
      </c>
      <c r="L293" s="49">
        <f t="shared" si="40"/>
        <v>1520.1139999999998</v>
      </c>
      <c r="M293" s="10">
        <v>17.78</v>
      </c>
      <c r="N293" s="50">
        <v>1489006</v>
      </c>
      <c r="O293" s="50">
        <v>1429190</v>
      </c>
      <c r="P293" s="48">
        <f t="shared" si="36"/>
        <v>59816</v>
      </c>
    </row>
    <row r="294" spans="1:16" ht="15.95" customHeight="1" x14ac:dyDescent="0.25">
      <c r="A294" s="15" t="s">
        <v>501</v>
      </c>
      <c r="B294" s="8" t="s">
        <v>623</v>
      </c>
      <c r="C294" s="9">
        <v>24518</v>
      </c>
      <c r="D294" s="12">
        <v>33.28</v>
      </c>
      <c r="E294" s="12">
        <v>32.08</v>
      </c>
      <c r="F294" s="12">
        <v>32.08</v>
      </c>
      <c r="G294" s="12">
        <v>32.08</v>
      </c>
      <c r="H294" s="10">
        <v>5.38</v>
      </c>
      <c r="I294" s="13">
        <v>4739.3160399999997</v>
      </c>
      <c r="J294" s="13">
        <f>I294*E294/D294</f>
        <v>4568.4272404807689</v>
      </c>
      <c r="K294" s="13">
        <f t="shared" ref="K294:K305" si="41">J294*F294/E294</f>
        <v>4568.4272404807689</v>
      </c>
      <c r="L294" s="49">
        <f t="shared" si="40"/>
        <v>4568.4272404807689</v>
      </c>
      <c r="M294" s="10">
        <v>5.38</v>
      </c>
      <c r="N294" s="50">
        <v>4835651</v>
      </c>
      <c r="O294" s="50">
        <v>1714647</v>
      </c>
      <c r="P294" s="48">
        <f t="shared" si="36"/>
        <v>3121004</v>
      </c>
    </row>
    <row r="295" spans="1:16" ht="15.95" customHeight="1" x14ac:dyDescent="0.25">
      <c r="A295" s="20" t="s">
        <v>504</v>
      </c>
      <c r="B295" s="8" t="s">
        <v>926</v>
      </c>
      <c r="C295" s="9" t="s">
        <v>927</v>
      </c>
      <c r="D295" s="12">
        <v>0</v>
      </c>
      <c r="E295" s="12">
        <v>96.25</v>
      </c>
      <c r="F295" s="12">
        <v>96.25</v>
      </c>
      <c r="G295" s="12">
        <v>29.84</v>
      </c>
      <c r="H295" s="10">
        <v>14.01</v>
      </c>
      <c r="I295" s="13">
        <v>0</v>
      </c>
      <c r="J295" s="13">
        <v>462074</v>
      </c>
      <c r="K295" s="13">
        <f t="shared" si="41"/>
        <v>462074</v>
      </c>
      <c r="L295" s="49">
        <f t="shared" si="40"/>
        <v>143254.94192207791</v>
      </c>
      <c r="M295" s="10">
        <v>14.01</v>
      </c>
      <c r="N295" s="50">
        <v>69438746</v>
      </c>
      <c r="O295" s="50">
        <v>23194118</v>
      </c>
      <c r="P295" s="48">
        <f t="shared" si="36"/>
        <v>46244628</v>
      </c>
    </row>
    <row r="296" spans="1:16" ht="15.95" customHeight="1" x14ac:dyDescent="0.25">
      <c r="A296" s="15" t="s">
        <v>506</v>
      </c>
      <c r="B296" s="8" t="s">
        <v>625</v>
      </c>
      <c r="C296" s="9" t="s">
        <v>626</v>
      </c>
      <c r="D296" s="12">
        <v>26.04</v>
      </c>
      <c r="E296" s="12">
        <v>24.24</v>
      </c>
      <c r="F296" s="12">
        <v>24.24</v>
      </c>
      <c r="G296" s="12">
        <v>24.24</v>
      </c>
      <c r="H296" s="10">
        <v>14.57</v>
      </c>
      <c r="I296" s="13">
        <v>31033.764490000001</v>
      </c>
      <c r="J296" s="13">
        <f t="shared" ref="J296:J301" si="42">I296*E296/D296</f>
        <v>28888.573396221196</v>
      </c>
      <c r="K296" s="13">
        <f t="shared" si="41"/>
        <v>28888.573396221196</v>
      </c>
      <c r="L296" s="49">
        <f t="shared" si="40"/>
        <v>28888.573396221196</v>
      </c>
      <c r="M296" s="10">
        <v>10.77</v>
      </c>
      <c r="N296" s="50">
        <v>13861711</v>
      </c>
      <c r="O296" s="50">
        <v>7369956</v>
      </c>
      <c r="P296" s="48">
        <f t="shared" si="36"/>
        <v>6491755</v>
      </c>
    </row>
    <row r="297" spans="1:16" ht="15.95" customHeight="1" x14ac:dyDescent="0.25">
      <c r="A297" s="15" t="s">
        <v>508</v>
      </c>
      <c r="B297" s="8" t="s">
        <v>628</v>
      </c>
      <c r="C297" s="9">
        <v>24658</v>
      </c>
      <c r="D297" s="12">
        <v>26.91</v>
      </c>
      <c r="E297" s="12">
        <f>25.5-1.45</f>
        <v>24.05</v>
      </c>
      <c r="F297" s="12">
        <f>25.5-1.45</f>
        <v>24.05</v>
      </c>
      <c r="G297" s="12">
        <f>24.03-1.45-1.28</f>
        <v>21.3</v>
      </c>
      <c r="H297" s="10">
        <v>7.55</v>
      </c>
      <c r="I297" s="13">
        <v>8554.6615199999997</v>
      </c>
      <c r="J297" s="13">
        <f t="shared" si="42"/>
        <v>7645.4704405797102</v>
      </c>
      <c r="K297" s="13">
        <f t="shared" si="41"/>
        <v>7645.4704405797102</v>
      </c>
      <c r="L297" s="49">
        <f t="shared" si="40"/>
        <v>6771.2482488294308</v>
      </c>
      <c r="M297" s="10">
        <v>7.55</v>
      </c>
      <c r="N297" s="50">
        <v>11125798</v>
      </c>
      <c r="O297" s="50">
        <v>3864703</v>
      </c>
      <c r="P297" s="48">
        <f t="shared" si="36"/>
        <v>7261095</v>
      </c>
    </row>
    <row r="298" spans="1:16" ht="15.95" customHeight="1" x14ac:dyDescent="0.25">
      <c r="A298" s="20" t="s">
        <v>1068</v>
      </c>
      <c r="B298" s="8" t="s">
        <v>631</v>
      </c>
      <c r="C298" s="9">
        <v>24672</v>
      </c>
      <c r="D298" s="12">
        <v>36.39</v>
      </c>
      <c r="E298" s="12">
        <v>35.01</v>
      </c>
      <c r="F298" s="12">
        <v>34.01</v>
      </c>
      <c r="G298" s="12">
        <v>34.01</v>
      </c>
      <c r="H298" s="10">
        <v>17.86</v>
      </c>
      <c r="I298" s="13">
        <v>7642.2499200000002</v>
      </c>
      <c r="J298" s="13">
        <f t="shared" si="42"/>
        <v>7352.4366501566356</v>
      </c>
      <c r="K298" s="13">
        <f t="shared" si="41"/>
        <v>7142.4270343281114</v>
      </c>
      <c r="L298" s="49">
        <f>K298*G298/F298+299.894</f>
        <v>7442.3210343281116</v>
      </c>
      <c r="M298" s="19">
        <v>17.86</v>
      </c>
      <c r="N298" s="50">
        <v>45241117</v>
      </c>
      <c r="O298" s="50">
        <v>16750977</v>
      </c>
      <c r="P298" s="48">
        <f t="shared" si="36"/>
        <v>28490140</v>
      </c>
    </row>
    <row r="299" spans="1:16" ht="15.95" customHeight="1" x14ac:dyDescent="0.25">
      <c r="A299" s="15" t="s">
        <v>510</v>
      </c>
      <c r="B299" s="8" t="s">
        <v>633</v>
      </c>
      <c r="C299" s="9">
        <v>24673</v>
      </c>
      <c r="D299" s="12">
        <v>60.76</v>
      </c>
      <c r="E299" s="12">
        <v>59.7</v>
      </c>
      <c r="F299" s="12">
        <v>59.41</v>
      </c>
      <c r="G299" s="12">
        <v>59.41</v>
      </c>
      <c r="H299" s="10">
        <v>24.37</v>
      </c>
      <c r="I299" s="13">
        <v>12396.32</v>
      </c>
      <c r="J299" s="13">
        <f t="shared" si="42"/>
        <v>12180.057669519421</v>
      </c>
      <c r="K299" s="13">
        <f t="shared" si="41"/>
        <v>12120.891560236996</v>
      </c>
      <c r="L299" s="49">
        <f>K299*G299/F299</f>
        <v>12120.891560236996</v>
      </c>
      <c r="M299" s="10">
        <v>24.37</v>
      </c>
      <c r="N299" s="50">
        <v>10625914</v>
      </c>
      <c r="O299" s="50">
        <v>8418594</v>
      </c>
      <c r="P299" s="48">
        <f t="shared" si="36"/>
        <v>2207320</v>
      </c>
    </row>
    <row r="300" spans="1:16" ht="15.95" customHeight="1" x14ac:dyDescent="0.25">
      <c r="A300" s="15" t="s">
        <v>511</v>
      </c>
      <c r="B300" s="8" t="s">
        <v>635</v>
      </c>
      <c r="C300" s="9">
        <v>24703</v>
      </c>
      <c r="D300" s="12">
        <v>37.14</v>
      </c>
      <c r="E300" s="12">
        <v>35.06</v>
      </c>
      <c r="F300" s="12">
        <v>30.31</v>
      </c>
      <c r="G300" s="12">
        <v>27.5</v>
      </c>
      <c r="H300" s="10">
        <v>26.95</v>
      </c>
      <c r="I300" s="13">
        <v>6158.2317300000004</v>
      </c>
      <c r="J300" s="13">
        <f t="shared" si="42"/>
        <v>5813.3442233117939</v>
      </c>
      <c r="K300" s="13">
        <f t="shared" si="41"/>
        <v>5025.740542172859</v>
      </c>
      <c r="L300" s="49">
        <f>K300*G300/F300</f>
        <v>4559.8107855411945</v>
      </c>
      <c r="M300" s="10">
        <v>26.95</v>
      </c>
      <c r="N300" s="50">
        <v>10907826</v>
      </c>
      <c r="O300" s="50">
        <v>6089221</v>
      </c>
      <c r="P300" s="48">
        <f t="shared" si="36"/>
        <v>4818605</v>
      </c>
    </row>
    <row r="301" spans="1:16" ht="15.95" customHeight="1" x14ac:dyDescent="0.25">
      <c r="A301" s="20" t="s">
        <v>513</v>
      </c>
      <c r="B301" s="8" t="s">
        <v>1058</v>
      </c>
      <c r="C301" s="9" t="s">
        <v>1057</v>
      </c>
      <c r="D301" s="12">
        <v>87.52</v>
      </c>
      <c r="E301" s="12">
        <v>87.52</v>
      </c>
      <c r="F301" s="12">
        <v>87.52</v>
      </c>
      <c r="G301" s="12">
        <v>87.52</v>
      </c>
      <c r="H301" s="14">
        <v>33.29</v>
      </c>
      <c r="I301" s="13">
        <v>36601.980730000003</v>
      </c>
      <c r="J301" s="13">
        <f t="shared" si="42"/>
        <v>36601.980730000003</v>
      </c>
      <c r="K301" s="13">
        <f t="shared" si="41"/>
        <v>36601.980730000003</v>
      </c>
      <c r="L301" s="49">
        <f>K301*G301/F301</f>
        <v>36601.980730000003</v>
      </c>
      <c r="M301" s="14">
        <v>33.29</v>
      </c>
      <c r="N301" s="50">
        <v>139781737</v>
      </c>
      <c r="O301" s="50">
        <v>20954378</v>
      </c>
      <c r="P301" s="48">
        <f t="shared" si="36"/>
        <v>118827359</v>
      </c>
    </row>
    <row r="302" spans="1:16" ht="15.95" customHeight="1" x14ac:dyDescent="0.25">
      <c r="A302" s="15" t="s">
        <v>514</v>
      </c>
      <c r="B302" s="8" t="s">
        <v>638</v>
      </c>
      <c r="C302" s="9" t="s">
        <v>639</v>
      </c>
      <c r="D302" s="12">
        <v>18.29</v>
      </c>
      <c r="E302" s="12">
        <v>15.22</v>
      </c>
      <c r="F302" s="12">
        <v>15.22</v>
      </c>
      <c r="G302" s="12">
        <v>15.22</v>
      </c>
      <c r="H302" s="10">
        <v>7.82</v>
      </c>
      <c r="I302" s="13">
        <v>769.82236999999998</v>
      </c>
      <c r="J302" s="13">
        <f>I302*E302/D302-0.00001</f>
        <v>640.60668608529261</v>
      </c>
      <c r="K302" s="13">
        <f t="shared" si="41"/>
        <v>640.60668608529261</v>
      </c>
      <c r="L302" s="49">
        <f>K302*G302/F302</f>
        <v>640.60668608529261</v>
      </c>
      <c r="M302" s="10">
        <v>7.82</v>
      </c>
      <c r="N302" s="50">
        <v>700392</v>
      </c>
      <c r="O302" s="50">
        <v>485502</v>
      </c>
      <c r="P302" s="48">
        <f t="shared" si="36"/>
        <v>214890</v>
      </c>
    </row>
    <row r="303" spans="1:16" ht="15.95" customHeight="1" x14ac:dyDescent="0.25">
      <c r="A303" s="15" t="s">
        <v>516</v>
      </c>
      <c r="B303" s="8" t="s">
        <v>641</v>
      </c>
      <c r="C303" s="9">
        <v>23979</v>
      </c>
      <c r="D303" s="12">
        <f>16.18+3.65</f>
        <v>19.829999999999998</v>
      </c>
      <c r="E303" s="12">
        <f>16.18+3.65</f>
        <v>19.829999999999998</v>
      </c>
      <c r="F303" s="12">
        <v>10</v>
      </c>
      <c r="G303" s="12">
        <v>10</v>
      </c>
      <c r="H303" s="10">
        <v>6.35</v>
      </c>
      <c r="I303" s="13">
        <v>2555.3492000000001</v>
      </c>
      <c r="J303" s="13">
        <f t="shared" ref="J303:J326" si="43">I303*E303/D303</f>
        <v>2555.3492000000001</v>
      </c>
      <c r="K303" s="13">
        <f t="shared" si="41"/>
        <v>1288.6279374684823</v>
      </c>
      <c r="L303" s="49">
        <f>K303*G303/F303</f>
        <v>1288.6279374684823</v>
      </c>
      <c r="M303" s="10">
        <v>6.35</v>
      </c>
      <c r="N303" s="50">
        <v>2387398</v>
      </c>
      <c r="O303" s="50">
        <v>1112264</v>
      </c>
      <c r="P303" s="48">
        <f t="shared" si="36"/>
        <v>1275134</v>
      </c>
    </row>
    <row r="304" spans="1:16" ht="15.95" customHeight="1" x14ac:dyDescent="0.25">
      <c r="A304" s="20" t="s">
        <v>518</v>
      </c>
      <c r="B304" s="8" t="s">
        <v>645</v>
      </c>
      <c r="C304" s="9">
        <v>23966</v>
      </c>
      <c r="D304" s="12">
        <v>20.68</v>
      </c>
      <c r="E304" s="12">
        <v>20.68</v>
      </c>
      <c r="F304" s="12">
        <v>20.68</v>
      </c>
      <c r="G304" s="12">
        <v>9.32</v>
      </c>
      <c r="H304" s="10">
        <v>2.35</v>
      </c>
      <c r="I304" s="13">
        <v>2719.51404</v>
      </c>
      <c r="J304" s="13">
        <f t="shared" si="43"/>
        <v>2719.51404</v>
      </c>
      <c r="K304" s="13">
        <f t="shared" si="41"/>
        <v>2719.51404</v>
      </c>
      <c r="L304" s="49">
        <f>K304*G304/F304+54.784</f>
        <v>1280.4063816634432</v>
      </c>
      <c r="M304" s="10">
        <v>2.35</v>
      </c>
      <c r="N304" s="50">
        <v>1204675</v>
      </c>
      <c r="O304" s="50">
        <v>560823</v>
      </c>
      <c r="P304" s="48">
        <f t="shared" si="36"/>
        <v>643852</v>
      </c>
    </row>
    <row r="305" spans="1:16" ht="15.95" customHeight="1" x14ac:dyDescent="0.25">
      <c r="A305" s="15" t="s">
        <v>519</v>
      </c>
      <c r="B305" s="8" t="s">
        <v>647</v>
      </c>
      <c r="C305" s="9">
        <v>23967</v>
      </c>
      <c r="D305" s="12">
        <v>13.02</v>
      </c>
      <c r="E305" s="12">
        <v>5.51</v>
      </c>
      <c r="F305" s="12">
        <v>5.51</v>
      </c>
      <c r="G305" s="12">
        <v>5.51</v>
      </c>
      <c r="H305" s="10">
        <v>3.42</v>
      </c>
      <c r="I305" s="13">
        <v>4341.4489999999996</v>
      </c>
      <c r="J305" s="13">
        <f t="shared" si="43"/>
        <v>1837.279876344086</v>
      </c>
      <c r="K305" s="13">
        <f t="shared" si="41"/>
        <v>1837.279876344086</v>
      </c>
      <c r="L305" s="49">
        <f>K305*G305/F305</f>
        <v>1837.279876344086</v>
      </c>
      <c r="M305" s="10">
        <v>3.42</v>
      </c>
      <c r="N305" s="50">
        <v>1600948</v>
      </c>
      <c r="O305" s="50">
        <v>1055679</v>
      </c>
      <c r="P305" s="48">
        <f t="shared" si="36"/>
        <v>545269</v>
      </c>
    </row>
    <row r="306" spans="1:16" ht="15.95" customHeight="1" x14ac:dyDescent="0.25">
      <c r="A306" s="15" t="s">
        <v>521</v>
      </c>
      <c r="B306" s="8" t="s">
        <v>649</v>
      </c>
      <c r="C306" s="9" t="s">
        <v>650</v>
      </c>
      <c r="D306" s="12">
        <v>1.95</v>
      </c>
      <c r="E306" s="12">
        <v>1.95</v>
      </c>
      <c r="F306" s="12">
        <v>1.95</v>
      </c>
      <c r="G306" s="12">
        <v>1.95</v>
      </c>
      <c r="H306" s="10">
        <v>1.95</v>
      </c>
      <c r="I306" s="11">
        <v>108.036</v>
      </c>
      <c r="J306" s="13">
        <f t="shared" si="43"/>
        <v>108.036</v>
      </c>
      <c r="K306" s="13">
        <f>J306*F306/E306+4.836</f>
        <v>112.872</v>
      </c>
      <c r="L306" s="49">
        <f>K306*G306/F306</f>
        <v>112.872</v>
      </c>
      <c r="M306" s="10">
        <v>1.95</v>
      </c>
      <c r="N306" s="50">
        <v>213995</v>
      </c>
      <c r="O306" s="50">
        <v>158071</v>
      </c>
      <c r="P306" s="48">
        <f t="shared" si="36"/>
        <v>55924</v>
      </c>
    </row>
    <row r="307" spans="1:16" ht="15.95" customHeight="1" x14ac:dyDescent="0.25">
      <c r="A307" s="20" t="s">
        <v>522</v>
      </c>
      <c r="B307" s="8" t="s">
        <v>652</v>
      </c>
      <c r="C307" s="9">
        <v>25051</v>
      </c>
      <c r="D307" s="12">
        <v>16.04</v>
      </c>
      <c r="E307" s="12">
        <v>16.04</v>
      </c>
      <c r="F307" s="12">
        <v>12.72</v>
      </c>
      <c r="G307" s="12">
        <v>12.72</v>
      </c>
      <c r="H307" s="10">
        <v>0.25</v>
      </c>
      <c r="I307" s="13">
        <v>1845.2030099999999</v>
      </c>
      <c r="J307" s="13">
        <f t="shared" si="43"/>
        <v>1845.2030099999999</v>
      </c>
      <c r="K307" s="13">
        <f>J307*F307/E307</f>
        <v>1463.2781974563593</v>
      </c>
      <c r="L307" s="49">
        <f>K307*G307/F307+495.09</f>
        <v>1958.3681974563594</v>
      </c>
      <c r="M307" s="10">
        <v>0.25</v>
      </c>
      <c r="N307" s="50">
        <v>59753.448275862087</v>
      </c>
      <c r="O307" s="50">
        <v>38044</v>
      </c>
      <c r="P307" s="48">
        <f t="shared" si="36"/>
        <v>21709.448275862087</v>
      </c>
    </row>
    <row r="308" spans="1:16" ht="15.95" customHeight="1" x14ac:dyDescent="0.25">
      <c r="A308" s="15" t="s">
        <v>524</v>
      </c>
      <c r="B308" s="8" t="s">
        <v>655</v>
      </c>
      <c r="C308" s="9">
        <v>25048</v>
      </c>
      <c r="D308" s="12">
        <v>37.31</v>
      </c>
      <c r="E308" s="12">
        <v>37.31</v>
      </c>
      <c r="F308" s="12">
        <v>37.31</v>
      </c>
      <c r="G308" s="12">
        <v>37.31</v>
      </c>
      <c r="H308" s="10">
        <v>7.14</v>
      </c>
      <c r="I308" s="13">
        <v>7498.6242300000004</v>
      </c>
      <c r="J308" s="13">
        <f t="shared" si="43"/>
        <v>7498.6242300000004</v>
      </c>
      <c r="K308" s="13">
        <f>J308*F308/E308+85.237</f>
        <v>7583.8612300000004</v>
      </c>
      <c r="L308" s="49">
        <f>K308*G308/F308+477.051</f>
        <v>8060.9122300000008</v>
      </c>
      <c r="M308" s="10">
        <v>7.14</v>
      </c>
      <c r="N308" s="50">
        <v>2097906</v>
      </c>
      <c r="O308" s="50">
        <v>1353024</v>
      </c>
      <c r="P308" s="48">
        <f t="shared" si="36"/>
        <v>744882</v>
      </c>
    </row>
    <row r="309" spans="1:16" ht="15.95" customHeight="1" x14ac:dyDescent="0.25">
      <c r="A309" s="15" t="s">
        <v>526</v>
      </c>
      <c r="B309" s="8" t="s">
        <v>657</v>
      </c>
      <c r="C309" s="9">
        <v>24530</v>
      </c>
      <c r="D309" s="12">
        <v>39.15</v>
      </c>
      <c r="E309" s="12">
        <v>39.15</v>
      </c>
      <c r="F309" s="12">
        <v>37.53</v>
      </c>
      <c r="G309" s="12">
        <v>35.28</v>
      </c>
      <c r="H309" s="10">
        <v>12.79</v>
      </c>
      <c r="I309" s="13">
        <v>20392.87</v>
      </c>
      <c r="J309" s="13">
        <f t="shared" si="43"/>
        <v>20392.87</v>
      </c>
      <c r="K309" s="13">
        <f>J309*F309/E309</f>
        <v>19549.027103448276</v>
      </c>
      <c r="L309" s="49">
        <f>K309*G309/F309+155.689</f>
        <v>18532.712080459769</v>
      </c>
      <c r="M309" s="10">
        <v>12.79</v>
      </c>
      <c r="N309" s="50">
        <v>9436266</v>
      </c>
      <c r="O309" s="50">
        <v>8775403</v>
      </c>
      <c r="P309" s="48">
        <f t="shared" si="36"/>
        <v>660863</v>
      </c>
    </row>
    <row r="310" spans="1:16" ht="15.95" customHeight="1" x14ac:dyDescent="0.25">
      <c r="A310" s="20" t="s">
        <v>528</v>
      </c>
      <c r="B310" s="8" t="s">
        <v>659</v>
      </c>
      <c r="C310" s="9">
        <v>24525</v>
      </c>
      <c r="D310" s="12">
        <v>44.32</v>
      </c>
      <c r="E310" s="12">
        <v>44.32</v>
      </c>
      <c r="F310" s="12">
        <v>43.93</v>
      </c>
      <c r="G310" s="12">
        <v>43.93</v>
      </c>
      <c r="H310" s="10">
        <v>26.13</v>
      </c>
      <c r="I310" s="13">
        <v>8260.1667400000006</v>
      </c>
      <c r="J310" s="13">
        <f t="shared" si="43"/>
        <v>8260.1667400000006</v>
      </c>
      <c r="K310" s="13">
        <f>J310*F310/E310</f>
        <v>8187.4802546976534</v>
      </c>
      <c r="L310" s="49">
        <f>K310*G310/F310</f>
        <v>8187.4802546976534</v>
      </c>
      <c r="M310" s="10">
        <v>26.13</v>
      </c>
      <c r="N310" s="50">
        <v>8253770</v>
      </c>
      <c r="O310" s="50">
        <v>6958070</v>
      </c>
      <c r="P310" s="48">
        <f t="shared" ref="P310:P369" si="44">N310-O310</f>
        <v>1295700</v>
      </c>
    </row>
    <row r="311" spans="1:16" ht="15.95" customHeight="1" x14ac:dyDescent="0.25">
      <c r="A311" s="15" t="s">
        <v>530</v>
      </c>
      <c r="B311" s="8" t="s">
        <v>661</v>
      </c>
      <c r="C311" s="9">
        <v>24526</v>
      </c>
      <c r="D311" s="12">
        <v>29.4</v>
      </c>
      <c r="E311" s="12">
        <v>29.4</v>
      </c>
      <c r="F311" s="12">
        <v>29.4</v>
      </c>
      <c r="G311" s="12">
        <v>29.4</v>
      </c>
      <c r="H311" s="10">
        <v>5.4</v>
      </c>
      <c r="I311" s="13">
        <v>3113.2</v>
      </c>
      <c r="J311" s="13">
        <f t="shared" si="43"/>
        <v>3113.2</v>
      </c>
      <c r="K311" s="13">
        <f>J311*F311/E311+21.794</f>
        <v>3134.9939999999997</v>
      </c>
      <c r="L311" s="49">
        <f>K311*G311/F311</f>
        <v>3134.9939999999997</v>
      </c>
      <c r="M311" s="10">
        <v>5.4</v>
      </c>
      <c r="N311" s="50">
        <v>1989963.4691943172</v>
      </c>
      <c r="O311" s="50">
        <v>193122</v>
      </c>
      <c r="P311" s="48">
        <f t="shared" si="44"/>
        <v>1796841.4691943172</v>
      </c>
    </row>
    <row r="312" spans="1:16" ht="15.95" customHeight="1" x14ac:dyDescent="0.25">
      <c r="A312" s="15" t="s">
        <v>532</v>
      </c>
      <c r="B312" s="8" t="s">
        <v>663</v>
      </c>
      <c r="C312" s="9">
        <v>24527</v>
      </c>
      <c r="D312" s="12">
        <v>33.36</v>
      </c>
      <c r="E312" s="12">
        <v>33.36</v>
      </c>
      <c r="F312" s="12">
        <v>25.11</v>
      </c>
      <c r="G312" s="12">
        <v>25.11</v>
      </c>
      <c r="H312" s="10">
        <v>11.72</v>
      </c>
      <c r="I312" s="13">
        <v>7585.3280000000004</v>
      </c>
      <c r="J312" s="13">
        <f t="shared" si="43"/>
        <v>7585.3280000000004</v>
      </c>
      <c r="K312" s="13">
        <f>J312*F312/E312</f>
        <v>5709.46001438849</v>
      </c>
      <c r="L312" s="49">
        <f>K312*G312/F312</f>
        <v>5709.46001438849</v>
      </c>
      <c r="M312" s="10">
        <v>11.72</v>
      </c>
      <c r="N312" s="50">
        <v>44182955</v>
      </c>
      <c r="O312" s="50">
        <v>13958573</v>
      </c>
      <c r="P312" s="48">
        <f t="shared" si="44"/>
        <v>30224382</v>
      </c>
    </row>
    <row r="313" spans="1:16" ht="15.95" customHeight="1" x14ac:dyDescent="0.25">
      <c r="A313" s="20" t="s">
        <v>1040</v>
      </c>
      <c r="B313" s="8" t="s">
        <v>665</v>
      </c>
      <c r="C313" s="9">
        <v>24601</v>
      </c>
      <c r="D313" s="12">
        <v>29.34</v>
      </c>
      <c r="E313" s="12">
        <v>25.88</v>
      </c>
      <c r="F313" s="12">
        <v>25.88</v>
      </c>
      <c r="G313" s="12">
        <v>25.88</v>
      </c>
      <c r="H313" s="10">
        <v>22.5</v>
      </c>
      <c r="I313" s="13">
        <v>2644.7558100000001</v>
      </c>
      <c r="J313" s="13">
        <f t="shared" si="43"/>
        <v>2332.8657247034762</v>
      </c>
      <c r="K313" s="13">
        <f>J313*F313/E313</f>
        <v>2332.8657247034762</v>
      </c>
      <c r="L313" s="49">
        <f>K313*G313/F313</f>
        <v>2332.8657247034762</v>
      </c>
      <c r="M313" s="10">
        <v>8.3800000000000008</v>
      </c>
      <c r="N313" s="50">
        <v>9129343</v>
      </c>
      <c r="O313" s="50">
        <v>2706941</v>
      </c>
      <c r="P313" s="48">
        <f t="shared" si="44"/>
        <v>6422402</v>
      </c>
    </row>
    <row r="314" spans="1:16" ht="15.95" customHeight="1" x14ac:dyDescent="0.25">
      <c r="A314" s="15" t="s">
        <v>535</v>
      </c>
      <c r="B314" s="8" t="s">
        <v>667</v>
      </c>
      <c r="C314" s="9">
        <v>24600</v>
      </c>
      <c r="D314" s="12">
        <v>35.94</v>
      </c>
      <c r="E314" s="12">
        <v>31.64</v>
      </c>
      <c r="F314" s="12">
        <v>27.24</v>
      </c>
      <c r="G314" s="12">
        <v>24.78</v>
      </c>
      <c r="H314" s="10">
        <v>19.309999999999999</v>
      </c>
      <c r="I314" s="13">
        <v>6900.0309999999999</v>
      </c>
      <c r="J314" s="13">
        <f t="shared" si="43"/>
        <v>6074.4847200890381</v>
      </c>
      <c r="K314" s="13">
        <f>J314*F314/E314</f>
        <v>5229.7396894824715</v>
      </c>
      <c r="L314" s="49">
        <f>K314*G314/F314+381.346+599.257</f>
        <v>5738.0534223706181</v>
      </c>
      <c r="M314" s="10">
        <v>19.309999999999999</v>
      </c>
      <c r="N314" s="50">
        <v>58230655</v>
      </c>
      <c r="O314" s="50">
        <v>16768537</v>
      </c>
      <c r="P314" s="48">
        <f t="shared" si="44"/>
        <v>41462118</v>
      </c>
    </row>
    <row r="315" spans="1:16" ht="15.95" customHeight="1" x14ac:dyDescent="0.25">
      <c r="A315" s="15" t="s">
        <v>537</v>
      </c>
      <c r="B315" s="8" t="s">
        <v>669</v>
      </c>
      <c r="C315" s="9">
        <v>24592</v>
      </c>
      <c r="D315" s="12">
        <v>30.5</v>
      </c>
      <c r="E315" s="12">
        <v>30.5</v>
      </c>
      <c r="F315" s="12">
        <v>20.6</v>
      </c>
      <c r="G315" s="12">
        <v>20.6</v>
      </c>
      <c r="H315" s="10">
        <v>20.350000000000001</v>
      </c>
      <c r="I315" s="13">
        <v>1752</v>
      </c>
      <c r="J315" s="13">
        <f t="shared" si="43"/>
        <v>1752</v>
      </c>
      <c r="K315" s="13">
        <f>J315*F315/E315+154.55</f>
        <v>1337.8680327868854</v>
      </c>
      <c r="L315" s="49">
        <f>K315*G315/F315+148.014</f>
        <v>1485.8820327868852</v>
      </c>
      <c r="M315" s="10">
        <v>20.350000000000001</v>
      </c>
      <c r="N315" s="50">
        <v>1563898</v>
      </c>
      <c r="O315" s="50">
        <v>1271429</v>
      </c>
      <c r="P315" s="48">
        <f t="shared" si="44"/>
        <v>292469</v>
      </c>
    </row>
    <row r="316" spans="1:16" ht="15.95" customHeight="1" x14ac:dyDescent="0.25">
      <c r="A316" s="20" t="s">
        <v>539</v>
      </c>
      <c r="B316" s="8" t="s">
        <v>671</v>
      </c>
      <c r="C316" s="9">
        <v>24599</v>
      </c>
      <c r="D316" s="12">
        <v>30.53</v>
      </c>
      <c r="E316" s="12">
        <v>30.53</v>
      </c>
      <c r="F316" s="12">
        <v>28.97</v>
      </c>
      <c r="G316" s="12">
        <v>28.73</v>
      </c>
      <c r="H316" s="10">
        <v>11.89</v>
      </c>
      <c r="I316" s="13">
        <v>5216.0450000000001</v>
      </c>
      <c r="J316" s="13">
        <f t="shared" si="43"/>
        <v>5216.0450000000001</v>
      </c>
      <c r="K316" s="13">
        <f>J316*F316/E316</f>
        <v>4949.5192810350472</v>
      </c>
      <c r="L316" s="49">
        <f>K316*G316/F316</f>
        <v>4908.5153242712086</v>
      </c>
      <c r="M316" s="10">
        <v>11.89</v>
      </c>
      <c r="N316" s="50">
        <v>4467272.2478565862</v>
      </c>
      <c r="O316" s="50">
        <v>2877259</v>
      </c>
      <c r="P316" s="48">
        <f t="shared" si="44"/>
        <v>1590013.2478565862</v>
      </c>
    </row>
    <row r="317" spans="1:16" ht="15.95" customHeight="1" x14ac:dyDescent="0.25">
      <c r="A317" s="15" t="s">
        <v>540</v>
      </c>
      <c r="B317" s="8" t="s">
        <v>673</v>
      </c>
      <c r="C317" s="9">
        <v>24593</v>
      </c>
      <c r="D317" s="12">
        <v>36.049999999999997</v>
      </c>
      <c r="E317" s="12">
        <v>36.049999999999997</v>
      </c>
      <c r="F317" s="12">
        <v>36.049999999999997</v>
      </c>
      <c r="G317" s="12">
        <v>36.049999999999997</v>
      </c>
      <c r="H317" s="10">
        <v>13.35</v>
      </c>
      <c r="I317" s="13">
        <v>20320.850999999999</v>
      </c>
      <c r="J317" s="13">
        <f t="shared" si="43"/>
        <v>20320.850999999999</v>
      </c>
      <c r="K317" s="13">
        <f>J317*F317/E317</f>
        <v>20320.850999999999</v>
      </c>
      <c r="L317" s="49">
        <f>K317*G317/F317</f>
        <v>20320.850999999999</v>
      </c>
      <c r="M317" s="10">
        <v>13.35</v>
      </c>
      <c r="N317" s="50">
        <v>15779539</v>
      </c>
      <c r="O317" s="50">
        <v>9784366</v>
      </c>
      <c r="P317" s="48">
        <f t="shared" si="44"/>
        <v>5995173</v>
      </c>
    </row>
    <row r="318" spans="1:16" ht="15.95" customHeight="1" x14ac:dyDescent="0.25">
      <c r="A318" s="15" t="s">
        <v>937</v>
      </c>
      <c r="B318" s="8" t="s">
        <v>675</v>
      </c>
      <c r="C318" s="9">
        <v>24598</v>
      </c>
      <c r="D318" s="12">
        <v>47.97</v>
      </c>
      <c r="E318" s="12">
        <v>41.04</v>
      </c>
      <c r="F318" s="12">
        <v>41.04</v>
      </c>
      <c r="G318" s="12">
        <v>41.04</v>
      </c>
      <c r="H318" s="10">
        <v>16.03</v>
      </c>
      <c r="I318" s="13">
        <v>7058</v>
      </c>
      <c r="J318" s="13">
        <f t="shared" si="43"/>
        <v>6038.3639774859294</v>
      </c>
      <c r="K318" s="13">
        <f>J318*F318/E318</f>
        <v>6038.3639774859294</v>
      </c>
      <c r="L318" s="49">
        <f>K318*G318/F318+799.619</f>
        <v>6837.982977485929</v>
      </c>
      <c r="M318" s="10">
        <v>16.03</v>
      </c>
      <c r="N318" s="50">
        <v>6551732</v>
      </c>
      <c r="O318" s="50">
        <v>3910973</v>
      </c>
      <c r="P318" s="48">
        <f t="shared" si="44"/>
        <v>2640759</v>
      </c>
    </row>
    <row r="319" spans="1:16" ht="15.95" customHeight="1" x14ac:dyDescent="0.25">
      <c r="A319" s="20" t="s">
        <v>542</v>
      </c>
      <c r="B319" s="8" t="s">
        <v>677</v>
      </c>
      <c r="C319" s="9">
        <v>24597</v>
      </c>
      <c r="D319" s="12">
        <v>23.08</v>
      </c>
      <c r="E319" s="12">
        <v>23.08</v>
      </c>
      <c r="F319" s="12">
        <v>21.2</v>
      </c>
      <c r="G319" s="12">
        <v>21.2</v>
      </c>
      <c r="H319" s="10">
        <v>7.55</v>
      </c>
      <c r="I319" s="13">
        <v>11650.449000000001</v>
      </c>
      <c r="J319" s="13">
        <f t="shared" si="43"/>
        <v>11650.449000000001</v>
      </c>
      <c r="K319" s="13">
        <f>J319*F319/E319+183.16</f>
        <v>10884.612287694974</v>
      </c>
      <c r="L319" s="49">
        <f>K319*G319/F319</f>
        <v>10884.612287694974</v>
      </c>
      <c r="M319" s="10">
        <v>7.55</v>
      </c>
      <c r="N319" s="50">
        <v>6781591</v>
      </c>
      <c r="O319" s="50">
        <v>4136955</v>
      </c>
      <c r="P319" s="48">
        <f t="shared" si="44"/>
        <v>2644636</v>
      </c>
    </row>
    <row r="320" spans="1:16" ht="15.95" customHeight="1" x14ac:dyDescent="0.25">
      <c r="A320" s="15" t="s">
        <v>543</v>
      </c>
      <c r="B320" s="8" t="s">
        <v>679</v>
      </c>
      <c r="C320" s="9">
        <v>24756</v>
      </c>
      <c r="D320" s="12">
        <v>14.68</v>
      </c>
      <c r="E320" s="12">
        <v>14.68</v>
      </c>
      <c r="F320" s="12">
        <v>14.68</v>
      </c>
      <c r="G320" s="12">
        <v>14.68</v>
      </c>
      <c r="H320" s="10">
        <v>5.86</v>
      </c>
      <c r="I320" s="13">
        <v>4563.3</v>
      </c>
      <c r="J320" s="13">
        <f t="shared" si="43"/>
        <v>4563.3</v>
      </c>
      <c r="K320" s="13">
        <f>J320*F320/E320</f>
        <v>4563.3</v>
      </c>
      <c r="L320" s="49">
        <f>K320*G320/F320</f>
        <v>4563.3</v>
      </c>
      <c r="M320" s="10">
        <v>5.86</v>
      </c>
      <c r="N320" s="50">
        <v>3075473</v>
      </c>
      <c r="O320" s="50">
        <v>1882127</v>
      </c>
      <c r="P320" s="48">
        <f t="shared" si="44"/>
        <v>1193346</v>
      </c>
    </row>
    <row r="321" spans="1:16" ht="15.95" customHeight="1" x14ac:dyDescent="0.25">
      <c r="A321" s="15" t="s">
        <v>546</v>
      </c>
      <c r="B321" s="8" t="s">
        <v>681</v>
      </c>
      <c r="C321" s="9" t="s">
        <v>682</v>
      </c>
      <c r="D321" s="12">
        <v>95.2</v>
      </c>
      <c r="E321" s="12">
        <v>35.18</v>
      </c>
      <c r="F321" s="12">
        <v>22.61</v>
      </c>
      <c r="G321" s="12">
        <v>22.61</v>
      </c>
      <c r="H321" s="10">
        <v>5.49</v>
      </c>
      <c r="I321" s="11">
        <v>27535</v>
      </c>
      <c r="J321" s="13">
        <f t="shared" si="43"/>
        <v>10175.223739495799</v>
      </c>
      <c r="K321" s="13">
        <f>J321*F321/E321</f>
        <v>6539.5625000000009</v>
      </c>
      <c r="L321" s="49">
        <f>K321*G321/F321</f>
        <v>6539.5625000000009</v>
      </c>
      <c r="M321" s="19">
        <v>5.49</v>
      </c>
      <c r="N321" s="50">
        <v>3320224</v>
      </c>
      <c r="O321" s="50">
        <v>2146280</v>
      </c>
      <c r="P321" s="48">
        <f t="shared" si="44"/>
        <v>1173944</v>
      </c>
    </row>
    <row r="322" spans="1:16" ht="15.95" customHeight="1" x14ac:dyDescent="0.25">
      <c r="A322" s="20" t="s">
        <v>548</v>
      </c>
      <c r="B322" s="8" t="s">
        <v>684</v>
      </c>
      <c r="C322" s="9">
        <v>24755</v>
      </c>
      <c r="D322" s="59">
        <v>31.28</v>
      </c>
      <c r="E322" s="59">
        <v>29.33</v>
      </c>
      <c r="F322" s="12">
        <v>29.324999999999999</v>
      </c>
      <c r="G322" s="12">
        <v>29.324999999999999</v>
      </c>
      <c r="H322" s="10">
        <v>27.91</v>
      </c>
      <c r="I322" s="13">
        <v>6844.7209999999995</v>
      </c>
      <c r="J322" s="13">
        <f t="shared" si="43"/>
        <v>6418.0200425191806</v>
      </c>
      <c r="K322" s="13">
        <f>6418.02004+375.742</f>
        <v>6793.7620400000005</v>
      </c>
      <c r="L322" s="49">
        <f>K322*G322/F322+75.046</f>
        <v>6868.8080400000008</v>
      </c>
      <c r="M322" s="10">
        <v>27.91</v>
      </c>
      <c r="N322" s="50">
        <v>15880890</v>
      </c>
      <c r="O322" s="50">
        <v>8179714</v>
      </c>
      <c r="P322" s="48">
        <f t="shared" si="44"/>
        <v>7701176</v>
      </c>
    </row>
    <row r="323" spans="1:16" ht="15.95" customHeight="1" x14ac:dyDescent="0.25">
      <c r="A323" s="15" t="s">
        <v>550</v>
      </c>
      <c r="B323" s="8" t="s">
        <v>686</v>
      </c>
      <c r="C323" s="9">
        <v>24027</v>
      </c>
      <c r="D323" s="12">
        <v>19.8</v>
      </c>
      <c r="E323" s="12">
        <v>19.8</v>
      </c>
      <c r="F323" s="12">
        <v>19.8</v>
      </c>
      <c r="G323" s="12">
        <v>19.8</v>
      </c>
      <c r="H323" s="10">
        <v>15.65</v>
      </c>
      <c r="I323" s="13">
        <v>1602</v>
      </c>
      <c r="J323" s="13">
        <f t="shared" si="43"/>
        <v>1602</v>
      </c>
      <c r="K323" s="13">
        <f>J323*F323/E323</f>
        <v>1602</v>
      </c>
      <c r="L323" s="49">
        <f>K323*G323/F323</f>
        <v>1602</v>
      </c>
      <c r="M323" s="10">
        <v>15.65</v>
      </c>
      <c r="N323" s="50">
        <v>1615698</v>
      </c>
      <c r="O323" s="50">
        <v>1615698</v>
      </c>
      <c r="P323" s="48">
        <f t="shared" si="44"/>
        <v>0</v>
      </c>
    </row>
    <row r="324" spans="1:16" ht="15.95" customHeight="1" x14ac:dyDescent="0.25">
      <c r="A324" s="15" t="s">
        <v>551</v>
      </c>
      <c r="B324" s="8" t="s">
        <v>688</v>
      </c>
      <c r="C324" s="9">
        <v>24013</v>
      </c>
      <c r="D324" s="12">
        <v>18.260000000000002</v>
      </c>
      <c r="E324" s="12">
        <v>13.76</v>
      </c>
      <c r="F324" s="12">
        <v>13.76</v>
      </c>
      <c r="G324" s="12">
        <v>13.76</v>
      </c>
      <c r="H324" s="10">
        <v>3.62</v>
      </c>
      <c r="I324" s="13">
        <v>2144</v>
      </c>
      <c r="J324" s="13">
        <f t="shared" si="43"/>
        <v>1615.6319824753557</v>
      </c>
      <c r="K324" s="13">
        <f>J324*F324/E324</f>
        <v>1615.6319824753557</v>
      </c>
      <c r="L324" s="49">
        <f>K324*G324/F324</f>
        <v>1615.6319824753557</v>
      </c>
      <c r="M324" s="10">
        <v>3.62</v>
      </c>
      <c r="N324" s="50">
        <v>599390</v>
      </c>
      <c r="O324" s="50">
        <v>582010</v>
      </c>
      <c r="P324" s="48">
        <f t="shared" si="44"/>
        <v>17380</v>
      </c>
    </row>
    <row r="325" spans="1:16" ht="15.95" customHeight="1" x14ac:dyDescent="0.25">
      <c r="A325" s="20" t="s">
        <v>552</v>
      </c>
      <c r="B325" s="8" t="s">
        <v>691</v>
      </c>
      <c r="C325" s="9">
        <v>24022</v>
      </c>
      <c r="D325" s="12">
        <f>25.28</f>
        <v>25.28</v>
      </c>
      <c r="E325" s="12">
        <f>29.51-4.23</f>
        <v>25.28</v>
      </c>
      <c r="F325" s="12">
        <f>27.76-2.48</f>
        <v>25.28</v>
      </c>
      <c r="G325" s="12">
        <f>27.76-2.48</f>
        <v>25.28</v>
      </c>
      <c r="H325" s="10">
        <v>11.35</v>
      </c>
      <c r="I325" s="13">
        <v>7612</v>
      </c>
      <c r="J325" s="13">
        <f t="shared" si="43"/>
        <v>7612</v>
      </c>
      <c r="K325" s="13">
        <f>J325*F325/E325+231.024</f>
        <v>7843.0240000000003</v>
      </c>
      <c r="L325" s="49">
        <f>K325*G325/F325+338.268</f>
        <v>8181.2920000000004</v>
      </c>
      <c r="M325" s="10">
        <v>11.35</v>
      </c>
      <c r="N325" s="50">
        <v>23195217</v>
      </c>
      <c r="O325" s="50">
        <v>4548050</v>
      </c>
      <c r="P325" s="48">
        <f t="shared" si="44"/>
        <v>18647167</v>
      </c>
    </row>
    <row r="326" spans="1:16" ht="15.95" customHeight="1" x14ac:dyDescent="0.25">
      <c r="A326" s="15" t="s">
        <v>554</v>
      </c>
      <c r="B326" s="8" t="s">
        <v>693</v>
      </c>
      <c r="C326" s="9">
        <v>24025</v>
      </c>
      <c r="D326" s="12">
        <v>29.67</v>
      </c>
      <c r="E326" s="12">
        <v>29.67</v>
      </c>
      <c r="F326" s="12">
        <v>18.21</v>
      </c>
      <c r="G326" s="12">
        <v>18.21</v>
      </c>
      <c r="H326" s="10">
        <v>4.22</v>
      </c>
      <c r="I326" s="13">
        <v>6400.8212199999998</v>
      </c>
      <c r="J326" s="13">
        <f t="shared" si="43"/>
        <v>6400.8212199999998</v>
      </c>
      <c r="K326" s="13">
        <f>J326*F326/E326</f>
        <v>3928.512113791709</v>
      </c>
      <c r="L326" s="49">
        <f>K326*G326/F326</f>
        <v>3928.5121137917095</v>
      </c>
      <c r="M326" s="10">
        <v>4.22</v>
      </c>
      <c r="N326" s="50">
        <v>1355119</v>
      </c>
      <c r="O326" s="50">
        <v>1114675</v>
      </c>
      <c r="P326" s="48">
        <f t="shared" si="44"/>
        <v>240444</v>
      </c>
    </row>
    <row r="327" spans="1:16" ht="15.95" customHeight="1" x14ac:dyDescent="0.25">
      <c r="A327" s="15" t="s">
        <v>938</v>
      </c>
      <c r="B327" s="8" t="s">
        <v>1012</v>
      </c>
      <c r="C327" s="9">
        <v>24300</v>
      </c>
      <c r="D327" s="12">
        <v>43.77</v>
      </c>
      <c r="E327" s="12">
        <v>39.409999999999997</v>
      </c>
      <c r="F327" s="12">
        <v>38.24</v>
      </c>
      <c r="G327" s="12">
        <v>38.24</v>
      </c>
      <c r="H327" s="14">
        <v>20.83</v>
      </c>
      <c r="I327" s="13">
        <v>14326</v>
      </c>
      <c r="J327" s="13">
        <f t="shared" ref="J327:L337" si="45">I327*E327/D327</f>
        <v>12898.964130683113</v>
      </c>
      <c r="K327" s="13">
        <f t="shared" si="45"/>
        <v>12516.021018962758</v>
      </c>
      <c r="L327" s="49">
        <f t="shared" si="45"/>
        <v>12516.021018962758</v>
      </c>
      <c r="M327" s="14">
        <v>20.83</v>
      </c>
      <c r="N327" s="50">
        <v>8513913</v>
      </c>
      <c r="O327" s="50">
        <v>8441335</v>
      </c>
      <c r="P327" s="48">
        <f t="shared" si="44"/>
        <v>72578</v>
      </c>
    </row>
    <row r="328" spans="1:16" ht="15.95" customHeight="1" x14ac:dyDescent="0.25">
      <c r="A328" s="20" t="s">
        <v>556</v>
      </c>
      <c r="B328" s="8" t="s">
        <v>974</v>
      </c>
      <c r="C328" s="9">
        <v>24347</v>
      </c>
      <c r="D328" s="12">
        <v>26.64</v>
      </c>
      <c r="E328" s="12">
        <v>1.7</v>
      </c>
      <c r="F328" s="12">
        <v>1.7</v>
      </c>
      <c r="G328" s="12">
        <v>0.36</v>
      </c>
      <c r="H328" s="10">
        <v>0.36</v>
      </c>
      <c r="I328" s="13">
        <v>9755</v>
      </c>
      <c r="J328" s="13">
        <f t="shared" si="45"/>
        <v>622.5037537537537</v>
      </c>
      <c r="K328" s="13">
        <f t="shared" si="45"/>
        <v>622.5037537537537</v>
      </c>
      <c r="L328" s="49">
        <f t="shared" si="45"/>
        <v>131.82432432432432</v>
      </c>
      <c r="M328" s="10">
        <v>0.36</v>
      </c>
      <c r="N328" s="50">
        <v>132933</v>
      </c>
      <c r="O328" s="50">
        <v>89410</v>
      </c>
      <c r="P328" s="48">
        <f t="shared" si="44"/>
        <v>43523</v>
      </c>
    </row>
    <row r="329" spans="1:16" ht="15.95" customHeight="1" x14ac:dyDescent="0.25">
      <c r="A329" s="15" t="s">
        <v>558</v>
      </c>
      <c r="B329" s="8" t="s">
        <v>975</v>
      </c>
      <c r="C329" s="9">
        <v>24348</v>
      </c>
      <c r="D329" s="12">
        <v>25.54</v>
      </c>
      <c r="E329" s="12">
        <v>24.14</v>
      </c>
      <c r="F329" s="12">
        <v>24.14</v>
      </c>
      <c r="G329" s="12">
        <v>24.14</v>
      </c>
      <c r="H329" s="10">
        <v>7.86</v>
      </c>
      <c r="I329" s="13">
        <v>3535</v>
      </c>
      <c r="J329" s="13">
        <f t="shared" si="45"/>
        <v>3341.2255285826159</v>
      </c>
      <c r="K329" s="13">
        <f t="shared" si="45"/>
        <v>3341.2255285826159</v>
      </c>
      <c r="L329" s="49">
        <f t="shared" si="45"/>
        <v>3341.2255285826159</v>
      </c>
      <c r="M329" s="10">
        <v>7.86</v>
      </c>
      <c r="N329" s="50">
        <v>5590498</v>
      </c>
      <c r="O329" s="50">
        <v>2160366</v>
      </c>
      <c r="P329" s="48">
        <f t="shared" si="44"/>
        <v>3430132</v>
      </c>
    </row>
    <row r="330" spans="1:16" ht="15.95" customHeight="1" x14ac:dyDescent="0.25">
      <c r="A330" s="15" t="s">
        <v>559</v>
      </c>
      <c r="B330" s="8" t="s">
        <v>976</v>
      </c>
      <c r="C330" s="9" t="s">
        <v>696</v>
      </c>
      <c r="D330" s="12">
        <v>37.89</v>
      </c>
      <c r="E330" s="12">
        <v>37.89</v>
      </c>
      <c r="F330" s="12">
        <v>32.22</v>
      </c>
      <c r="G330" s="12">
        <v>30.54</v>
      </c>
      <c r="H330" s="10">
        <v>29.5</v>
      </c>
      <c r="I330" s="13">
        <v>4489.1319999999996</v>
      </c>
      <c r="J330" s="13">
        <f t="shared" si="45"/>
        <v>4489.1319999999996</v>
      </c>
      <c r="K330" s="13">
        <f t="shared" si="45"/>
        <v>3817.3616532066499</v>
      </c>
      <c r="L330" s="49">
        <f t="shared" si="45"/>
        <v>3618.3185874901023</v>
      </c>
      <c r="M330" s="10">
        <v>29.5</v>
      </c>
      <c r="N330" s="50">
        <v>5074207</v>
      </c>
      <c r="O330" s="50">
        <v>2685104</v>
      </c>
      <c r="P330" s="48">
        <f t="shared" si="44"/>
        <v>2389103</v>
      </c>
    </row>
    <row r="331" spans="1:16" ht="15.95" customHeight="1" x14ac:dyDescent="0.25">
      <c r="A331" s="20" t="s">
        <v>561</v>
      </c>
      <c r="B331" s="8" t="s">
        <v>977</v>
      </c>
      <c r="C331" s="9" t="s">
        <v>698</v>
      </c>
      <c r="D331" s="12">
        <v>32.17</v>
      </c>
      <c r="E331" s="12">
        <v>28.73</v>
      </c>
      <c r="F331" s="12">
        <v>24.51</v>
      </c>
      <c r="G331" s="12">
        <v>22.77</v>
      </c>
      <c r="H331" s="10">
        <v>22.77</v>
      </c>
      <c r="I331" s="13">
        <v>3399</v>
      </c>
      <c r="J331" s="13">
        <f t="shared" si="45"/>
        <v>3035.5383898041655</v>
      </c>
      <c r="K331" s="13">
        <f t="shared" si="45"/>
        <v>2589.6639726453218</v>
      </c>
      <c r="L331" s="49">
        <f t="shared" si="45"/>
        <v>2405.8200186509171</v>
      </c>
      <c r="M331" s="10">
        <v>22.77</v>
      </c>
      <c r="N331" s="50">
        <v>14227098</v>
      </c>
      <c r="O331" s="50">
        <v>3255417</v>
      </c>
      <c r="P331" s="48">
        <f t="shared" si="44"/>
        <v>10971681</v>
      </c>
    </row>
    <row r="332" spans="1:16" ht="15.95" customHeight="1" x14ac:dyDescent="0.25">
      <c r="A332" s="15" t="s">
        <v>563</v>
      </c>
      <c r="B332" s="8" t="s">
        <v>978</v>
      </c>
      <c r="C332" s="9">
        <v>24296</v>
      </c>
      <c r="D332" s="12">
        <v>13.75</v>
      </c>
      <c r="E332" s="12">
        <v>13.75</v>
      </c>
      <c r="F332" s="12">
        <v>11.24</v>
      </c>
      <c r="G332" s="12">
        <v>11.24</v>
      </c>
      <c r="H332" s="10">
        <v>7.83</v>
      </c>
      <c r="I332" s="13">
        <v>1052</v>
      </c>
      <c r="J332" s="13">
        <f t="shared" si="45"/>
        <v>1052</v>
      </c>
      <c r="K332" s="13">
        <f t="shared" si="45"/>
        <v>859.96218181818176</v>
      </c>
      <c r="L332" s="49">
        <f t="shared" si="45"/>
        <v>859.96218181818165</v>
      </c>
      <c r="M332" s="10">
        <v>7.83</v>
      </c>
      <c r="N332" s="50">
        <v>795022.68149466196</v>
      </c>
      <c r="O332" s="50">
        <v>474061</v>
      </c>
      <c r="P332" s="48">
        <f t="shared" si="44"/>
        <v>320961.68149466196</v>
      </c>
    </row>
    <row r="333" spans="1:16" ht="15.95" customHeight="1" x14ac:dyDescent="0.25">
      <c r="A333" s="15" t="s">
        <v>565</v>
      </c>
      <c r="B333" s="8" t="s">
        <v>701</v>
      </c>
      <c r="C333" s="9">
        <v>24733</v>
      </c>
      <c r="D333" s="12">
        <v>40.24</v>
      </c>
      <c r="E333" s="12">
        <v>40.24</v>
      </c>
      <c r="F333" s="12">
        <v>39.299999999999997</v>
      </c>
      <c r="G333" s="12">
        <v>39.299999999999997</v>
      </c>
      <c r="H333" s="10">
        <v>8.76</v>
      </c>
      <c r="I333" s="13">
        <v>15268</v>
      </c>
      <c r="J333" s="13">
        <f t="shared" si="45"/>
        <v>15268</v>
      </c>
      <c r="K333" s="13">
        <f t="shared" si="45"/>
        <v>14911.341948310137</v>
      </c>
      <c r="L333" s="49">
        <f t="shared" si="45"/>
        <v>14911.341948310139</v>
      </c>
      <c r="M333" s="10">
        <v>8.76</v>
      </c>
      <c r="N333" s="50">
        <v>4003168</v>
      </c>
      <c r="O333" s="50">
        <v>1940454</v>
      </c>
      <c r="P333" s="48">
        <f t="shared" si="44"/>
        <v>2062714</v>
      </c>
    </row>
    <row r="334" spans="1:16" ht="15.95" customHeight="1" x14ac:dyDescent="0.25">
      <c r="A334" s="20" t="s">
        <v>567</v>
      </c>
      <c r="B334" s="8" t="s">
        <v>951</v>
      </c>
      <c r="C334" s="9" t="s">
        <v>952</v>
      </c>
      <c r="D334" s="12">
        <v>98.86</v>
      </c>
      <c r="E334" s="12">
        <v>98.86</v>
      </c>
      <c r="F334" s="12">
        <v>98.86</v>
      </c>
      <c r="G334" s="12">
        <v>92.36</v>
      </c>
      <c r="H334" s="10">
        <v>19.68</v>
      </c>
      <c r="I334" s="13">
        <v>60276.745000000003</v>
      </c>
      <c r="J334" s="13">
        <f t="shared" si="45"/>
        <v>60276.745000000003</v>
      </c>
      <c r="K334" s="13">
        <f t="shared" si="45"/>
        <v>60276.745000000003</v>
      </c>
      <c r="L334" s="49">
        <f t="shared" si="45"/>
        <v>56313.576453570706</v>
      </c>
      <c r="M334" s="19">
        <v>17.989999999999998</v>
      </c>
      <c r="N334" s="50">
        <v>52458582</v>
      </c>
      <c r="O334" s="50">
        <v>5020155</v>
      </c>
      <c r="P334" s="48">
        <f t="shared" si="44"/>
        <v>47438427</v>
      </c>
    </row>
    <row r="335" spans="1:16" ht="15.95" customHeight="1" x14ac:dyDescent="0.25">
      <c r="A335" s="15" t="s">
        <v>568</v>
      </c>
      <c r="B335" s="8" t="s">
        <v>1070</v>
      </c>
      <c r="C335" s="9">
        <v>24292</v>
      </c>
      <c r="D335" s="12">
        <v>47.67</v>
      </c>
      <c r="E335" s="12">
        <v>47.67</v>
      </c>
      <c r="F335" s="12">
        <v>46.28</v>
      </c>
      <c r="G335" s="12">
        <v>46.28</v>
      </c>
      <c r="H335" s="10">
        <v>46.26</v>
      </c>
      <c r="I335" s="13">
        <v>12611.231</v>
      </c>
      <c r="J335" s="13" t="e">
        <f>'[1]TH-Nullára leírt'!I645*'[1]TH-Nullára leírt'!E645/'[1]TH-Nullára leírt'!D645</f>
        <v>#REF!</v>
      </c>
      <c r="K335" s="13" t="e">
        <f>'[1]TH-Nullára leírt'!J645*'[1]TH-Nullára leírt'!F645/'[1]TH-Nullára leírt'!E645</f>
        <v>#REF!</v>
      </c>
      <c r="L335" s="49" t="e">
        <f>'[1]TH-Nullára leírt'!K645*'[1]TH-Nullára leírt'!G645/'[1]TH-Nullára leírt'!F645</f>
        <v>#REF!</v>
      </c>
      <c r="M335" s="10">
        <v>46.26</v>
      </c>
      <c r="N335" s="50">
        <v>18150142</v>
      </c>
      <c r="O335" s="50">
        <v>14972033</v>
      </c>
      <c r="P335" s="48">
        <f t="shared" si="44"/>
        <v>3178109</v>
      </c>
    </row>
    <row r="336" spans="1:16" ht="15.95" customHeight="1" x14ac:dyDescent="0.25">
      <c r="A336" s="15" t="s">
        <v>569</v>
      </c>
      <c r="B336" s="8" t="s">
        <v>705</v>
      </c>
      <c r="C336" s="9">
        <v>24302</v>
      </c>
      <c r="D336" s="12">
        <v>9.64</v>
      </c>
      <c r="E336" s="12">
        <v>8.34</v>
      </c>
      <c r="F336" s="12">
        <v>8.34</v>
      </c>
      <c r="G336" s="12">
        <v>8.34</v>
      </c>
      <c r="H336" s="10">
        <v>6.88</v>
      </c>
      <c r="I336" s="13">
        <v>3254.3620000000001</v>
      </c>
      <c r="J336" s="13">
        <f t="shared" si="45"/>
        <v>2815.4957551867219</v>
      </c>
      <c r="K336" s="13">
        <f>J336*F336/E336</f>
        <v>2815.4957551867219</v>
      </c>
      <c r="L336" s="49">
        <f>K336*G336/F336+67.346</f>
        <v>2882.8417551867219</v>
      </c>
      <c r="M336" s="10">
        <v>6.88</v>
      </c>
      <c r="N336" s="50">
        <v>12128152</v>
      </c>
      <c r="O336" s="50">
        <v>3288461</v>
      </c>
      <c r="P336" s="48">
        <f t="shared" si="44"/>
        <v>8839691</v>
      </c>
    </row>
    <row r="337" spans="1:16" ht="15.95" customHeight="1" x14ac:dyDescent="0.25">
      <c r="A337" s="20" t="s">
        <v>571</v>
      </c>
      <c r="B337" s="8" t="s">
        <v>707</v>
      </c>
      <c r="C337" s="9">
        <v>24293</v>
      </c>
      <c r="D337" s="12">
        <v>37.31</v>
      </c>
      <c r="E337" s="12">
        <v>32.909999999999997</v>
      </c>
      <c r="F337" s="12">
        <v>29.51</v>
      </c>
      <c r="G337" s="12">
        <v>29.51</v>
      </c>
      <c r="H337" s="10">
        <v>24.86</v>
      </c>
      <c r="I337" s="13">
        <v>7814</v>
      </c>
      <c r="J337" s="13">
        <f t="shared" si="45"/>
        <v>6892.4883409273634</v>
      </c>
      <c r="K337" s="13">
        <f>J337*F337/E337</f>
        <v>6180.4111498257826</v>
      </c>
      <c r="L337" s="49">
        <f>K337*G337/F337</f>
        <v>6180.4111498257826</v>
      </c>
      <c r="M337" s="10">
        <v>24.86</v>
      </c>
      <c r="N337" s="50">
        <v>7944498</v>
      </c>
      <c r="O337" s="50">
        <v>6276547</v>
      </c>
      <c r="P337" s="48">
        <f t="shared" si="44"/>
        <v>1667951</v>
      </c>
    </row>
    <row r="338" spans="1:16" ht="15.95" customHeight="1" x14ac:dyDescent="0.25">
      <c r="A338" s="15" t="s">
        <v>573</v>
      </c>
      <c r="B338" s="8" t="s">
        <v>710</v>
      </c>
      <c r="C338" s="9">
        <v>24299</v>
      </c>
      <c r="D338" s="12">
        <v>35.85</v>
      </c>
      <c r="E338" s="12">
        <v>31.98</v>
      </c>
      <c r="F338" s="12">
        <v>29.66</v>
      </c>
      <c r="G338" s="12">
        <v>5.56</v>
      </c>
      <c r="H338" s="10">
        <v>5.56</v>
      </c>
      <c r="I338" s="13">
        <v>14667</v>
      </c>
      <c r="J338" s="13">
        <f t="shared" ref="J338:L340" si="46">I338*E338/D338</f>
        <v>13083.700418410042</v>
      </c>
      <c r="K338" s="13">
        <f t="shared" si="46"/>
        <v>12134.53891213389</v>
      </c>
      <c r="L338" s="49">
        <f t="shared" si="46"/>
        <v>2274.7146443514644</v>
      </c>
      <c r="M338" s="10">
        <v>5.56</v>
      </c>
      <c r="N338" s="50">
        <v>2886320</v>
      </c>
      <c r="O338" s="50">
        <v>2761615</v>
      </c>
      <c r="P338" s="48">
        <f t="shared" si="44"/>
        <v>124705</v>
      </c>
    </row>
    <row r="339" spans="1:16" ht="15.95" customHeight="1" x14ac:dyDescent="0.25">
      <c r="A339" s="15" t="s">
        <v>575</v>
      </c>
      <c r="B339" s="8" t="s">
        <v>713</v>
      </c>
      <c r="C339" s="9" t="s">
        <v>714</v>
      </c>
      <c r="D339" s="12">
        <v>30.21</v>
      </c>
      <c r="E339" s="12">
        <v>29.76</v>
      </c>
      <c r="F339" s="12">
        <v>14.22</v>
      </c>
      <c r="G339" s="12">
        <v>11.96</v>
      </c>
      <c r="H339" s="10">
        <v>7.57</v>
      </c>
      <c r="I339" s="13">
        <v>5447</v>
      </c>
      <c r="J339" s="13">
        <f t="shared" si="46"/>
        <v>5365.8629592850048</v>
      </c>
      <c r="K339" s="13">
        <f t="shared" si="46"/>
        <v>2563.9304865938429</v>
      </c>
      <c r="L339" s="49">
        <f t="shared" si="46"/>
        <v>2156.4422376696457</v>
      </c>
      <c r="M339" s="10">
        <v>7.57</v>
      </c>
      <c r="N339" s="50">
        <v>38122131</v>
      </c>
      <c r="O339" s="50">
        <v>6274969</v>
      </c>
      <c r="P339" s="48">
        <f t="shared" si="44"/>
        <v>31847162</v>
      </c>
    </row>
    <row r="340" spans="1:16" ht="15.95" customHeight="1" x14ac:dyDescent="0.25">
      <c r="A340" s="20" t="s">
        <v>577</v>
      </c>
      <c r="B340" s="8" t="s">
        <v>717</v>
      </c>
      <c r="C340" s="9" t="s">
        <v>718</v>
      </c>
      <c r="D340" s="12">
        <v>31.44</v>
      </c>
      <c r="E340" s="12">
        <v>27.49</v>
      </c>
      <c r="F340" s="12">
        <v>27.49</v>
      </c>
      <c r="G340" s="12">
        <v>27.49</v>
      </c>
      <c r="H340" s="10">
        <v>2.41</v>
      </c>
      <c r="I340" s="13">
        <v>3768</v>
      </c>
      <c r="J340" s="13">
        <f t="shared" si="46"/>
        <v>3294.6030534351139</v>
      </c>
      <c r="K340" s="13">
        <f t="shared" si="46"/>
        <v>3294.6030534351139</v>
      </c>
      <c r="L340" s="49">
        <f t="shared" si="46"/>
        <v>3294.6030534351139</v>
      </c>
      <c r="M340" s="10">
        <v>2.41</v>
      </c>
      <c r="N340" s="50">
        <v>299026.34765234764</v>
      </c>
      <c r="O340" s="50">
        <v>298989</v>
      </c>
      <c r="P340" s="48">
        <f t="shared" si="44"/>
        <v>37.347652347641997</v>
      </c>
    </row>
    <row r="341" spans="1:16" ht="15.95" customHeight="1" x14ac:dyDescent="0.25">
      <c r="A341" s="15" t="s">
        <v>579</v>
      </c>
      <c r="B341" s="8" t="s">
        <v>720</v>
      </c>
      <c r="C341" s="9" t="s">
        <v>721</v>
      </c>
      <c r="D341" s="12">
        <v>16.149999999999999</v>
      </c>
      <c r="E341" s="12">
        <v>16.149999999999999</v>
      </c>
      <c r="F341" s="12">
        <v>16.149999999999999</v>
      </c>
      <c r="G341" s="12">
        <v>16.149999999999999</v>
      </c>
      <c r="H341" s="10">
        <v>1.88</v>
      </c>
      <c r="I341" s="13">
        <v>6277</v>
      </c>
      <c r="J341" s="13">
        <f>I341*E341/D341</f>
        <v>6277</v>
      </c>
      <c r="K341" s="13">
        <f>J341*F341/E341</f>
        <v>6277</v>
      </c>
      <c r="L341" s="49">
        <f>K341*G341/F341+45.812</f>
        <v>6322.8119999999999</v>
      </c>
      <c r="M341" s="10">
        <v>1.88</v>
      </c>
      <c r="N341" s="50">
        <v>1683879</v>
      </c>
      <c r="O341" s="50">
        <v>249919</v>
      </c>
      <c r="P341" s="48">
        <f t="shared" si="44"/>
        <v>1433960</v>
      </c>
    </row>
    <row r="342" spans="1:16" ht="15.95" customHeight="1" x14ac:dyDescent="0.25">
      <c r="A342" s="15" t="s">
        <v>581</v>
      </c>
      <c r="B342" s="8" t="s">
        <v>1026</v>
      </c>
      <c r="C342" s="9" t="s">
        <v>1027</v>
      </c>
      <c r="D342" s="12"/>
      <c r="E342" s="12"/>
      <c r="F342" s="12"/>
      <c r="G342" s="12"/>
      <c r="H342" s="10">
        <v>11.7</v>
      </c>
      <c r="I342" s="13"/>
      <c r="J342" s="13"/>
      <c r="K342" s="13"/>
      <c r="L342" s="49"/>
      <c r="M342" s="10">
        <v>0</v>
      </c>
      <c r="N342" s="50">
        <v>0</v>
      </c>
      <c r="O342" s="50">
        <v>0</v>
      </c>
      <c r="P342" s="48">
        <f t="shared" si="44"/>
        <v>0</v>
      </c>
    </row>
    <row r="343" spans="1:16" ht="15.95" customHeight="1" x14ac:dyDescent="0.25">
      <c r="A343" s="20" t="s">
        <v>582</v>
      </c>
      <c r="B343" s="8" t="s">
        <v>723</v>
      </c>
      <c r="C343" s="9">
        <v>24772</v>
      </c>
      <c r="D343" s="12">
        <v>57.16</v>
      </c>
      <c r="E343" s="12">
        <v>57.16</v>
      </c>
      <c r="F343" s="12">
        <v>53.46</v>
      </c>
      <c r="G343" s="12">
        <v>53.46</v>
      </c>
      <c r="H343" s="10">
        <v>53.48</v>
      </c>
      <c r="I343" s="13">
        <v>4847.9806099999996</v>
      </c>
      <c r="J343" s="13">
        <f>I343*E343/D343</f>
        <v>4847.9806099999996</v>
      </c>
      <c r="K343" s="13">
        <f>J343*F343/E343</f>
        <v>4534.1680092827155</v>
      </c>
      <c r="L343" s="49">
        <f>K343*G343/F343</f>
        <v>4534.1680092827155</v>
      </c>
      <c r="M343" s="10">
        <v>53.48</v>
      </c>
      <c r="N343" s="50">
        <v>7102606</v>
      </c>
      <c r="O343" s="50">
        <v>5954813</v>
      </c>
      <c r="P343" s="48">
        <f t="shared" si="44"/>
        <v>1147793</v>
      </c>
    </row>
    <row r="344" spans="1:16" ht="15.95" customHeight="1" x14ac:dyDescent="0.25">
      <c r="A344" s="15" t="s">
        <v>583</v>
      </c>
      <c r="B344" s="8" t="s">
        <v>725</v>
      </c>
      <c r="C344" s="9">
        <v>24179</v>
      </c>
      <c r="D344" s="12">
        <v>8.89</v>
      </c>
      <c r="E344" s="12">
        <v>3.6</v>
      </c>
      <c r="F344" s="12">
        <v>3.6</v>
      </c>
      <c r="G344" s="12">
        <v>3.6</v>
      </c>
      <c r="H344" s="10">
        <v>3.6</v>
      </c>
      <c r="I344" s="13">
        <v>693.75599999999997</v>
      </c>
      <c r="J344" s="13">
        <f t="shared" ref="J344:L350" si="47">I344*E344/D344</f>
        <v>280.93606299212598</v>
      </c>
      <c r="K344" s="13">
        <f t="shared" si="47"/>
        <v>280.93606299212598</v>
      </c>
      <c r="L344" s="49">
        <f>K344*G344/F344+39.072+33.915+34.404+0.609</f>
        <v>388.93606299212598</v>
      </c>
      <c r="M344" s="10">
        <v>3.6</v>
      </c>
      <c r="N344" s="50">
        <v>496328</v>
      </c>
      <c r="O344" s="50">
        <v>404996</v>
      </c>
      <c r="P344" s="48">
        <f t="shared" si="44"/>
        <v>91332</v>
      </c>
    </row>
    <row r="345" spans="1:16" ht="15.95" customHeight="1" x14ac:dyDescent="0.25">
      <c r="A345" s="15" t="s">
        <v>585</v>
      </c>
      <c r="B345" s="8" t="s">
        <v>727</v>
      </c>
      <c r="C345" s="9">
        <v>24180</v>
      </c>
      <c r="D345" s="12">
        <v>20.74</v>
      </c>
      <c r="E345" s="12">
        <v>20.74</v>
      </c>
      <c r="F345" s="12">
        <v>20.74</v>
      </c>
      <c r="G345" s="12">
        <v>20.74</v>
      </c>
      <c r="H345" s="10">
        <v>34.19</v>
      </c>
      <c r="I345" s="13">
        <v>1858.3779999999999</v>
      </c>
      <c r="J345" s="13">
        <f t="shared" si="47"/>
        <v>1858.3779999999999</v>
      </c>
      <c r="K345" s="13">
        <f t="shared" si="47"/>
        <v>1858.3779999999999</v>
      </c>
      <c r="L345" s="49">
        <f>K345*G345/F345+196.545</f>
        <v>2054.9229999999998</v>
      </c>
      <c r="M345" s="10">
        <v>34.19</v>
      </c>
      <c r="N345" s="50">
        <v>4164453</v>
      </c>
      <c r="O345" s="50">
        <v>2660416</v>
      </c>
      <c r="P345" s="48">
        <f t="shared" si="44"/>
        <v>1504037</v>
      </c>
    </row>
    <row r="346" spans="1:16" ht="15.95" customHeight="1" x14ac:dyDescent="0.25">
      <c r="A346" s="20" t="s">
        <v>586</v>
      </c>
      <c r="B346" s="8" t="s">
        <v>730</v>
      </c>
      <c r="C346" s="9">
        <v>24205</v>
      </c>
      <c r="D346" s="12">
        <v>19.46</v>
      </c>
      <c r="E346" s="12">
        <v>19.46</v>
      </c>
      <c r="F346" s="12">
        <v>19.46</v>
      </c>
      <c r="G346" s="12">
        <v>19.46</v>
      </c>
      <c r="H346" s="10">
        <v>19.46</v>
      </c>
      <c r="I346" s="13">
        <f>2079+9859.5</f>
        <v>11938.5</v>
      </c>
      <c r="J346" s="13">
        <f t="shared" si="47"/>
        <v>11938.5</v>
      </c>
      <c r="K346" s="13">
        <f t="shared" si="47"/>
        <v>11938.5</v>
      </c>
      <c r="L346" s="49">
        <f t="shared" si="47"/>
        <v>11938.5</v>
      </c>
      <c r="M346" s="10">
        <v>19.46</v>
      </c>
      <c r="N346" s="50">
        <v>12511113</v>
      </c>
      <c r="O346" s="50">
        <v>6135299</v>
      </c>
      <c r="P346" s="48">
        <f t="shared" si="44"/>
        <v>6375814</v>
      </c>
    </row>
    <row r="347" spans="1:16" ht="15.95" customHeight="1" x14ac:dyDescent="0.25">
      <c r="A347" s="15" t="s">
        <v>587</v>
      </c>
      <c r="B347" s="8" t="s">
        <v>733</v>
      </c>
      <c r="C347" s="9">
        <v>24206</v>
      </c>
      <c r="D347" s="12">
        <v>23.28</v>
      </c>
      <c r="E347" s="12">
        <v>23.28</v>
      </c>
      <c r="F347" s="12">
        <v>14.25</v>
      </c>
      <c r="G347" s="12">
        <v>14.25</v>
      </c>
      <c r="H347" s="10">
        <v>14.25</v>
      </c>
      <c r="I347" s="13">
        <v>1598</v>
      </c>
      <c r="J347" s="13">
        <f t="shared" si="47"/>
        <v>1598</v>
      </c>
      <c r="K347" s="13">
        <f t="shared" si="47"/>
        <v>978.15721649484533</v>
      </c>
      <c r="L347" s="49">
        <f t="shared" si="47"/>
        <v>978.15721649484522</v>
      </c>
      <c r="M347" s="10">
        <v>14.25</v>
      </c>
      <c r="N347" s="50">
        <v>1871880</v>
      </c>
      <c r="O347" s="50">
        <v>1275920</v>
      </c>
      <c r="P347" s="48">
        <f t="shared" si="44"/>
        <v>595960</v>
      </c>
    </row>
    <row r="348" spans="1:16" ht="15.95" customHeight="1" x14ac:dyDescent="0.25">
      <c r="A348" s="15" t="s">
        <v>588</v>
      </c>
      <c r="B348" s="8" t="s">
        <v>735</v>
      </c>
      <c r="C348" s="9" t="s">
        <v>736</v>
      </c>
      <c r="D348" s="12">
        <v>100</v>
      </c>
      <c r="E348" s="12">
        <v>27.88</v>
      </c>
      <c r="F348" s="12">
        <v>27.88</v>
      </c>
      <c r="G348" s="12">
        <v>26.5</v>
      </c>
      <c r="H348" s="10">
        <v>22.68</v>
      </c>
      <c r="I348" s="11">
        <v>13945</v>
      </c>
      <c r="J348" s="13">
        <f t="shared" si="47"/>
        <v>3887.866</v>
      </c>
      <c r="K348" s="13">
        <f t="shared" si="47"/>
        <v>3887.866</v>
      </c>
      <c r="L348" s="49">
        <f t="shared" si="47"/>
        <v>3695.4249999999997</v>
      </c>
      <c r="M348" s="10">
        <v>22.68</v>
      </c>
      <c r="N348" s="50">
        <v>27533791</v>
      </c>
      <c r="O348" s="50">
        <v>4338881</v>
      </c>
      <c r="P348" s="48">
        <f t="shared" si="44"/>
        <v>23194910</v>
      </c>
    </row>
    <row r="349" spans="1:16" ht="15.95" customHeight="1" x14ac:dyDescent="0.25">
      <c r="A349" s="20" t="s">
        <v>591</v>
      </c>
      <c r="B349" s="8" t="s">
        <v>738</v>
      </c>
      <c r="C349" s="9">
        <v>24392</v>
      </c>
      <c r="D349" s="12">
        <v>21.73</v>
      </c>
      <c r="E349" s="12">
        <v>19.64</v>
      </c>
      <c r="F349" s="12">
        <v>17.23</v>
      </c>
      <c r="G349" s="12">
        <v>17.23</v>
      </c>
      <c r="H349" s="10">
        <v>13.48</v>
      </c>
      <c r="I349" s="13">
        <v>2398</v>
      </c>
      <c r="J349" s="13">
        <f t="shared" si="47"/>
        <v>2167.3594109526002</v>
      </c>
      <c r="K349" s="13">
        <f t="shared" si="47"/>
        <v>1901.4054302807178</v>
      </c>
      <c r="L349" s="49">
        <f t="shared" si="47"/>
        <v>1901.4054302807178</v>
      </c>
      <c r="M349" s="10">
        <v>13.48</v>
      </c>
      <c r="N349" s="50">
        <v>3377426</v>
      </c>
      <c r="O349" s="50">
        <v>1895877</v>
      </c>
      <c r="P349" s="48">
        <f t="shared" si="44"/>
        <v>1481549</v>
      </c>
    </row>
    <row r="350" spans="1:16" ht="15.95" customHeight="1" x14ac:dyDescent="0.25">
      <c r="A350" s="15" t="s">
        <v>593</v>
      </c>
      <c r="B350" s="8" t="s">
        <v>1013</v>
      </c>
      <c r="C350" s="9">
        <v>24391</v>
      </c>
      <c r="D350" s="59">
        <v>16.899999999999999</v>
      </c>
      <c r="E350" s="59">
        <v>12.98</v>
      </c>
      <c r="F350" s="12">
        <v>12.976000000000001</v>
      </c>
      <c r="G350" s="12">
        <v>12.976000000000001</v>
      </c>
      <c r="H350" s="14">
        <v>12.6</v>
      </c>
      <c r="I350" s="13">
        <v>1458</v>
      </c>
      <c r="J350" s="13">
        <f>I350*E350/D350</f>
        <v>1119.8130177514795</v>
      </c>
      <c r="K350" s="13">
        <v>1119.8130200000001</v>
      </c>
      <c r="L350" s="49">
        <f t="shared" si="47"/>
        <v>1119.8130200000001</v>
      </c>
      <c r="M350" s="14">
        <v>12.6</v>
      </c>
      <c r="N350" s="50">
        <v>1384410</v>
      </c>
      <c r="O350" s="50">
        <v>1383619</v>
      </c>
      <c r="P350" s="48">
        <f t="shared" si="44"/>
        <v>791</v>
      </c>
    </row>
    <row r="351" spans="1:16" ht="15.95" customHeight="1" x14ac:dyDescent="0.25">
      <c r="A351" s="15" t="s">
        <v>595</v>
      </c>
      <c r="B351" s="8" t="s">
        <v>741</v>
      </c>
      <c r="C351" s="9">
        <v>24326</v>
      </c>
      <c r="D351" s="12">
        <v>18.260000000000002</v>
      </c>
      <c r="E351" s="12">
        <v>12.39</v>
      </c>
      <c r="F351" s="12">
        <v>11.21</v>
      </c>
      <c r="G351" s="12">
        <v>7.23</v>
      </c>
      <c r="H351" s="10">
        <v>3.25</v>
      </c>
      <c r="I351" s="13">
        <v>1870.1649</v>
      </c>
      <c r="J351" s="13">
        <f>I351*E351/D351</f>
        <v>1268.9673116648412</v>
      </c>
      <c r="K351" s="13">
        <f>J351*F351/E351</f>
        <v>1148.1132819824754</v>
      </c>
      <c r="L351" s="49">
        <f>K351*G351/F351+17.402+6.43+20.257</f>
        <v>784.57597847754653</v>
      </c>
      <c r="M351" s="10">
        <v>3.25</v>
      </c>
      <c r="N351" s="50">
        <v>507552</v>
      </c>
      <c r="O351" s="50">
        <v>422815</v>
      </c>
      <c r="P351" s="48">
        <f t="shared" si="44"/>
        <v>84737</v>
      </c>
    </row>
    <row r="352" spans="1:16" ht="15.95" customHeight="1" x14ac:dyDescent="0.25">
      <c r="A352" s="20" t="s">
        <v>597</v>
      </c>
      <c r="B352" s="8" t="s">
        <v>743</v>
      </c>
      <c r="C352" s="9">
        <v>24335</v>
      </c>
      <c r="D352" s="12">
        <v>28.53</v>
      </c>
      <c r="E352" s="12">
        <v>28.53</v>
      </c>
      <c r="F352" s="12">
        <v>28.53</v>
      </c>
      <c r="G352" s="12">
        <v>17.920000000000002</v>
      </c>
      <c r="H352" s="10">
        <v>4.45</v>
      </c>
      <c r="I352" s="13">
        <v>2231</v>
      </c>
      <c r="J352" s="13">
        <f>I352*E352/D352</f>
        <v>2231</v>
      </c>
      <c r="K352" s="13">
        <f>J352*F352/E352</f>
        <v>2231</v>
      </c>
      <c r="L352" s="49">
        <f>K352*G352/F352+185.445+917.952</f>
        <v>2504.7121069050122</v>
      </c>
      <c r="M352" s="10">
        <v>4.45</v>
      </c>
      <c r="N352" s="50">
        <v>1012162</v>
      </c>
      <c r="O352" s="50">
        <v>582786</v>
      </c>
      <c r="P352" s="48">
        <f t="shared" si="44"/>
        <v>429376</v>
      </c>
    </row>
    <row r="353" spans="1:16" ht="15.95" customHeight="1" x14ac:dyDescent="0.25">
      <c r="A353" s="15" t="s">
        <v>598</v>
      </c>
      <c r="B353" s="8" t="s">
        <v>745</v>
      </c>
      <c r="C353" s="9">
        <v>24377</v>
      </c>
      <c r="D353" s="12">
        <v>49.13</v>
      </c>
      <c r="E353" s="12">
        <v>49.13</v>
      </c>
      <c r="F353" s="12">
        <v>49.13</v>
      </c>
      <c r="G353" s="12">
        <v>6.29</v>
      </c>
      <c r="H353" s="10">
        <v>1.85</v>
      </c>
      <c r="I353" s="13">
        <v>10410.65</v>
      </c>
      <c r="J353" s="13">
        <f>I353*E353/D353</f>
        <v>10410.65</v>
      </c>
      <c r="K353" s="13">
        <f>J353*F353/E353</f>
        <v>10410.65</v>
      </c>
      <c r="L353" s="49">
        <f>K353*G353/F353+1080.86</f>
        <v>2413.7113840830448</v>
      </c>
      <c r="M353" s="10">
        <v>1.85</v>
      </c>
      <c r="N353" s="50">
        <v>724795</v>
      </c>
      <c r="O353" s="50">
        <v>508133</v>
      </c>
      <c r="P353" s="48">
        <f t="shared" si="44"/>
        <v>216662</v>
      </c>
    </row>
    <row r="354" spans="1:16" ht="15.95" customHeight="1" x14ac:dyDescent="0.25">
      <c r="A354" s="15" t="s">
        <v>600</v>
      </c>
      <c r="B354" s="8" t="s">
        <v>997</v>
      </c>
      <c r="C354" s="9" t="s">
        <v>998</v>
      </c>
      <c r="D354" s="12"/>
      <c r="E354" s="12"/>
      <c r="F354" s="12"/>
      <c r="G354" s="12"/>
      <c r="H354" s="10">
        <v>17.38</v>
      </c>
      <c r="I354" s="13"/>
      <c r="J354" s="13"/>
      <c r="K354" s="13"/>
      <c r="L354" s="49"/>
      <c r="M354" s="10">
        <v>17.38</v>
      </c>
      <c r="N354" s="50">
        <v>40317248</v>
      </c>
      <c r="O354" s="50">
        <v>7831781</v>
      </c>
      <c r="P354" s="48">
        <f t="shared" si="44"/>
        <v>32485467</v>
      </c>
    </row>
    <row r="355" spans="1:16" ht="15.95" customHeight="1" x14ac:dyDescent="0.25">
      <c r="A355" s="20" t="s">
        <v>602</v>
      </c>
      <c r="B355" s="8" t="s">
        <v>748</v>
      </c>
      <c r="C355" s="9">
        <v>24351</v>
      </c>
      <c r="D355" s="12">
        <v>44.52</v>
      </c>
      <c r="E355" s="12">
        <v>37.200000000000003</v>
      </c>
      <c r="F355" s="12">
        <v>37.200000000000003</v>
      </c>
      <c r="G355" s="12">
        <v>32.54</v>
      </c>
      <c r="H355" s="10">
        <v>29.6</v>
      </c>
      <c r="I355" s="13">
        <v>12360.18124</v>
      </c>
      <c r="J355" s="13">
        <f>I355*E355/D355+0.00001</f>
        <v>10327.914253665767</v>
      </c>
      <c r="K355" s="13">
        <f>J355*F355/E355</f>
        <v>10327.914253665767</v>
      </c>
      <c r="L355" s="49">
        <f>K355*G355/F355+242.304</f>
        <v>9276.4526509216139</v>
      </c>
      <c r="M355" s="10">
        <v>29.6</v>
      </c>
      <c r="N355" s="50">
        <v>14922936</v>
      </c>
      <c r="O355" s="50">
        <v>7696022</v>
      </c>
      <c r="P355" s="48">
        <f t="shared" si="44"/>
        <v>7226914</v>
      </c>
    </row>
    <row r="356" spans="1:16" ht="15.95" customHeight="1" x14ac:dyDescent="0.25">
      <c r="A356" s="15" t="s">
        <v>603</v>
      </c>
      <c r="B356" s="8" t="s">
        <v>750</v>
      </c>
      <c r="C356" s="9">
        <v>24533</v>
      </c>
      <c r="D356" s="12">
        <v>71.099999999999994</v>
      </c>
      <c r="E356" s="12">
        <v>71.099999999999994</v>
      </c>
      <c r="F356" s="12">
        <v>71.099999999999994</v>
      </c>
      <c r="G356" s="12">
        <v>71.099999999999994</v>
      </c>
      <c r="H356" s="10">
        <v>47.79</v>
      </c>
      <c r="I356" s="13">
        <v>19199.645</v>
      </c>
      <c r="J356" s="13">
        <f t="shared" ref="J356:L369" si="48">I356*E356/D356</f>
        <v>19199.645</v>
      </c>
      <c r="K356" s="13">
        <f>J356*F356/E356+51.991</f>
        <v>19251.636000000002</v>
      </c>
      <c r="L356" s="49">
        <f>K356*G356/F356+500.558</f>
        <v>19752.194000000003</v>
      </c>
      <c r="M356" s="10">
        <v>47.79</v>
      </c>
      <c r="N356" s="50">
        <v>67822648</v>
      </c>
      <c r="O356" s="50">
        <v>25401908</v>
      </c>
      <c r="P356" s="48">
        <f t="shared" si="44"/>
        <v>42420740</v>
      </c>
    </row>
    <row r="357" spans="1:16" ht="15.95" customHeight="1" x14ac:dyDescent="0.25">
      <c r="A357" s="15" t="s">
        <v>606</v>
      </c>
      <c r="B357" s="8" t="s">
        <v>752</v>
      </c>
      <c r="C357" s="9" t="s">
        <v>753</v>
      </c>
      <c r="D357" s="12">
        <v>100</v>
      </c>
      <c r="E357" s="12">
        <v>79.34</v>
      </c>
      <c r="F357" s="12">
        <v>75.319999999999993</v>
      </c>
      <c r="G357" s="12">
        <v>75.319999999999993</v>
      </c>
      <c r="H357" s="10">
        <v>62.1</v>
      </c>
      <c r="I357" s="11">
        <v>12881</v>
      </c>
      <c r="J357" s="13">
        <f t="shared" si="48"/>
        <v>10219.785400000001</v>
      </c>
      <c r="K357" s="13">
        <f>J357*F357/E357</f>
        <v>9701.9691999999995</v>
      </c>
      <c r="L357" s="49">
        <f>K357*G357/F357</f>
        <v>9701.9691999999995</v>
      </c>
      <c r="M357" s="10">
        <v>62.1</v>
      </c>
      <c r="N357" s="50">
        <v>267589566.15400413</v>
      </c>
      <c r="O357" s="50">
        <v>63476995</v>
      </c>
      <c r="P357" s="48">
        <f t="shared" si="44"/>
        <v>204112571.15400413</v>
      </c>
    </row>
    <row r="358" spans="1:16" ht="15.95" customHeight="1" x14ac:dyDescent="0.25">
      <c r="A358" s="20" t="s">
        <v>607</v>
      </c>
      <c r="B358" s="8" t="s">
        <v>755</v>
      </c>
      <c r="C358" s="9">
        <v>24535</v>
      </c>
      <c r="D358" s="12">
        <v>34.15</v>
      </c>
      <c r="E358" s="12">
        <v>34.15</v>
      </c>
      <c r="F358" s="12">
        <v>34.15</v>
      </c>
      <c r="G358" s="12">
        <v>33.44</v>
      </c>
      <c r="H358" s="10">
        <v>5.33</v>
      </c>
      <c r="I358" s="13">
        <v>3110.826</v>
      </c>
      <c r="J358" s="13">
        <f t="shared" si="48"/>
        <v>3110.826</v>
      </c>
      <c r="K358" s="13">
        <f>J358*F358/E358+298.872</f>
        <v>3409.6979999999999</v>
      </c>
      <c r="L358" s="49">
        <f>K358*G358/F358</f>
        <v>3338.8082319180085</v>
      </c>
      <c r="M358" s="10">
        <v>5.33</v>
      </c>
      <c r="N358" s="50">
        <v>646998</v>
      </c>
      <c r="O358" s="50">
        <v>325850</v>
      </c>
      <c r="P358" s="48">
        <f t="shared" si="44"/>
        <v>321148</v>
      </c>
    </row>
    <row r="359" spans="1:16" ht="15.95" customHeight="1" x14ac:dyDescent="0.25">
      <c r="A359" s="15" t="s">
        <v>610</v>
      </c>
      <c r="B359" s="8" t="s">
        <v>757</v>
      </c>
      <c r="C359" s="9">
        <v>24536</v>
      </c>
      <c r="D359" s="12">
        <v>9.74</v>
      </c>
      <c r="E359" s="12">
        <v>9.74</v>
      </c>
      <c r="F359" s="12">
        <v>9.74</v>
      </c>
      <c r="G359" s="12">
        <v>9.74</v>
      </c>
      <c r="H359" s="10">
        <v>3.06</v>
      </c>
      <c r="I359" s="13">
        <v>908</v>
      </c>
      <c r="J359" s="13">
        <f t="shared" si="48"/>
        <v>908</v>
      </c>
      <c r="K359" s="13">
        <f t="shared" si="48"/>
        <v>908</v>
      </c>
      <c r="L359" s="49">
        <f>K359*G359/F359+32.467</f>
        <v>940.46699999999998</v>
      </c>
      <c r="M359" s="10">
        <v>3.06</v>
      </c>
      <c r="N359" s="50">
        <v>460751</v>
      </c>
      <c r="O359" s="50">
        <v>295619</v>
      </c>
      <c r="P359" s="48">
        <f t="shared" si="44"/>
        <v>165132</v>
      </c>
    </row>
    <row r="360" spans="1:16" ht="15.95" customHeight="1" x14ac:dyDescent="0.25">
      <c r="A360" s="15" t="s">
        <v>613</v>
      </c>
      <c r="B360" s="8" t="s">
        <v>759</v>
      </c>
      <c r="C360" s="9">
        <v>24537</v>
      </c>
      <c r="D360" s="12">
        <v>17.23</v>
      </c>
      <c r="E360" s="12">
        <v>17.23</v>
      </c>
      <c r="F360" s="12">
        <v>12.23</v>
      </c>
      <c r="G360" s="12">
        <v>12.23</v>
      </c>
      <c r="H360" s="10">
        <v>7.46</v>
      </c>
      <c r="I360" s="13">
        <v>1543</v>
      </c>
      <c r="J360" s="13">
        <f t="shared" si="48"/>
        <v>1543</v>
      </c>
      <c r="K360" s="13">
        <f t="shared" si="48"/>
        <v>1095.2344747533371</v>
      </c>
      <c r="L360" s="49">
        <f>K360*G360/F360</f>
        <v>1095.2344747533371</v>
      </c>
      <c r="M360" s="10">
        <v>7.46</v>
      </c>
      <c r="N360" s="50">
        <v>12858298</v>
      </c>
      <c r="O360" s="50">
        <v>2960203</v>
      </c>
      <c r="P360" s="48">
        <f t="shared" si="44"/>
        <v>9898095</v>
      </c>
    </row>
    <row r="361" spans="1:16" ht="15.95" customHeight="1" x14ac:dyDescent="0.25">
      <c r="A361" s="20" t="s">
        <v>615</v>
      </c>
      <c r="B361" s="8" t="s">
        <v>762</v>
      </c>
      <c r="C361" s="9" t="s">
        <v>763</v>
      </c>
      <c r="D361" s="12">
        <v>93.28</v>
      </c>
      <c r="E361" s="12">
        <v>93.28</v>
      </c>
      <c r="F361" s="12">
        <v>93.28</v>
      </c>
      <c r="G361" s="12">
        <v>93.28</v>
      </c>
      <c r="H361" s="10">
        <v>23.7</v>
      </c>
      <c r="I361" s="13">
        <v>18454.503400000001</v>
      </c>
      <c r="J361" s="13">
        <f t="shared" si="48"/>
        <v>18454.503400000001</v>
      </c>
      <c r="K361" s="13">
        <f t="shared" si="48"/>
        <v>18454.503400000001</v>
      </c>
      <c r="L361" s="49">
        <f>K361*G361/F361+932.093</f>
        <v>19386.596400000002</v>
      </c>
      <c r="M361" s="10">
        <v>23.7</v>
      </c>
      <c r="N361" s="50">
        <v>5774079</v>
      </c>
      <c r="O361" s="50">
        <v>5148286</v>
      </c>
      <c r="P361" s="48">
        <f t="shared" si="44"/>
        <v>625793</v>
      </c>
    </row>
    <row r="362" spans="1:16" ht="15.95" customHeight="1" x14ac:dyDescent="0.25">
      <c r="A362" s="15" t="s">
        <v>617</v>
      </c>
      <c r="B362" s="8" t="s">
        <v>959</v>
      </c>
      <c r="C362" s="9" t="s">
        <v>960</v>
      </c>
      <c r="D362" s="12">
        <v>100</v>
      </c>
      <c r="E362" s="12">
        <v>100</v>
      </c>
      <c r="F362" s="12">
        <v>100</v>
      </c>
      <c r="G362" s="12">
        <v>50.35</v>
      </c>
      <c r="H362" s="10">
        <v>13.31</v>
      </c>
      <c r="I362" s="13">
        <v>11700.183000000001</v>
      </c>
      <c r="J362" s="13">
        <f t="shared" si="48"/>
        <v>11700.183000000001</v>
      </c>
      <c r="K362" s="13">
        <f t="shared" si="48"/>
        <v>11700.183000000001</v>
      </c>
      <c r="L362" s="49">
        <f t="shared" si="48"/>
        <v>5891.0421405000006</v>
      </c>
      <c r="M362" s="19">
        <v>13.31</v>
      </c>
      <c r="N362" s="50">
        <v>12973989</v>
      </c>
      <c r="O362" s="50">
        <v>3668288</v>
      </c>
      <c r="P362" s="48">
        <f t="shared" si="44"/>
        <v>9305701</v>
      </c>
    </row>
    <row r="363" spans="1:16" ht="15.95" customHeight="1" x14ac:dyDescent="0.25">
      <c r="A363" s="15" t="s">
        <v>618</v>
      </c>
      <c r="B363" s="8" t="s">
        <v>767</v>
      </c>
      <c r="C363" s="9">
        <v>24608</v>
      </c>
      <c r="D363" s="12">
        <v>63.36</v>
      </c>
      <c r="E363" s="12">
        <v>63.36</v>
      </c>
      <c r="F363" s="12">
        <v>63.36</v>
      </c>
      <c r="G363" s="12">
        <v>63.36</v>
      </c>
      <c r="H363" s="10">
        <v>63.36</v>
      </c>
      <c r="I363" s="13">
        <v>14256.24661</v>
      </c>
      <c r="J363" s="13">
        <f t="shared" si="48"/>
        <v>14256.24661</v>
      </c>
      <c r="K363" s="13">
        <f t="shared" si="48"/>
        <v>14256.24661</v>
      </c>
      <c r="L363" s="49">
        <f t="shared" si="48"/>
        <v>14256.24661</v>
      </c>
      <c r="M363" s="10">
        <v>64.95</v>
      </c>
      <c r="N363" s="50">
        <v>85329750</v>
      </c>
      <c r="O363" s="50">
        <v>39295915</v>
      </c>
      <c r="P363" s="48">
        <f t="shared" si="44"/>
        <v>46033835</v>
      </c>
    </row>
    <row r="364" spans="1:16" ht="15.95" customHeight="1" x14ac:dyDescent="0.25">
      <c r="A364" s="20" t="s">
        <v>620</v>
      </c>
      <c r="B364" s="8" t="s">
        <v>769</v>
      </c>
      <c r="C364" s="9">
        <v>24252</v>
      </c>
      <c r="D364" s="12">
        <v>29.12</v>
      </c>
      <c r="E364" s="12">
        <v>29.12</v>
      </c>
      <c r="F364" s="12">
        <v>29.12</v>
      </c>
      <c r="G364" s="12">
        <v>29.12</v>
      </c>
      <c r="H364" s="10">
        <v>20.94</v>
      </c>
      <c r="I364" s="13">
        <v>12785</v>
      </c>
      <c r="J364" s="13">
        <f t="shared" si="48"/>
        <v>12785</v>
      </c>
      <c r="K364" s="13">
        <f t="shared" si="48"/>
        <v>12785</v>
      </c>
      <c r="L364" s="49">
        <f t="shared" si="48"/>
        <v>12785</v>
      </c>
      <c r="M364" s="10">
        <v>20.94</v>
      </c>
      <c r="N364" s="50">
        <v>24319399.102097906</v>
      </c>
      <c r="O364" s="50">
        <v>16298222</v>
      </c>
      <c r="P364" s="48">
        <f t="shared" si="44"/>
        <v>8021177.1020979062</v>
      </c>
    </row>
    <row r="365" spans="1:16" ht="15.95" customHeight="1" x14ac:dyDescent="0.25">
      <c r="A365" s="15" t="s">
        <v>1049</v>
      </c>
      <c r="B365" s="8" t="s">
        <v>771</v>
      </c>
      <c r="C365" s="9">
        <v>24266</v>
      </c>
      <c r="D365" s="12">
        <v>27.45</v>
      </c>
      <c r="E365" s="12">
        <v>26.44</v>
      </c>
      <c r="F365" s="12">
        <v>26.44</v>
      </c>
      <c r="G365" s="12">
        <v>26.44</v>
      </c>
      <c r="H365" s="10">
        <v>24.26</v>
      </c>
      <c r="I365" s="13">
        <v>8880.0643</v>
      </c>
      <c r="J365" s="13">
        <f>I365*E365/D365+0.00001</f>
        <v>8553.3297036976328</v>
      </c>
      <c r="K365" s="13">
        <f t="shared" si="48"/>
        <v>8553.3297036976328</v>
      </c>
      <c r="L365" s="49">
        <f t="shared" si="48"/>
        <v>8553.3297036976328</v>
      </c>
      <c r="M365" s="10">
        <v>24.26</v>
      </c>
      <c r="N365" s="50">
        <v>46578002.506391756</v>
      </c>
      <c r="O365" s="50">
        <v>21323271</v>
      </c>
      <c r="P365" s="48">
        <f t="shared" si="44"/>
        <v>25254731.506391756</v>
      </c>
    </row>
    <row r="366" spans="1:16" ht="15.95" customHeight="1" x14ac:dyDescent="0.25">
      <c r="A366" s="15" t="s">
        <v>622</v>
      </c>
      <c r="B366" s="8" t="s">
        <v>773</v>
      </c>
      <c r="C366" s="9">
        <v>24249</v>
      </c>
      <c r="D366" s="12">
        <v>49.8</v>
      </c>
      <c r="E366" s="12">
        <f>49.8</f>
        <v>49.8</v>
      </c>
      <c r="F366" s="12">
        <v>47.04</v>
      </c>
      <c r="G366" s="12">
        <v>47.04</v>
      </c>
      <c r="H366" s="10">
        <v>34.71</v>
      </c>
      <c r="I366" s="13">
        <v>4939.2545499999997</v>
      </c>
      <c r="J366" s="13">
        <f t="shared" ref="J366:L379" si="49">I366*E366/D366</f>
        <v>4939.2545499999997</v>
      </c>
      <c r="K366" s="13">
        <f t="shared" si="48"/>
        <v>4665.5127315662648</v>
      </c>
      <c r="L366" s="49">
        <f t="shared" si="48"/>
        <v>4665.5127315662648</v>
      </c>
      <c r="M366" s="10">
        <v>34.71</v>
      </c>
      <c r="N366" s="50">
        <v>10580798</v>
      </c>
      <c r="O366" s="50">
        <v>5105904</v>
      </c>
      <c r="P366" s="48">
        <f t="shared" si="44"/>
        <v>5474894</v>
      </c>
    </row>
    <row r="367" spans="1:16" ht="15.95" customHeight="1" x14ac:dyDescent="0.25">
      <c r="A367" s="20" t="s">
        <v>624</v>
      </c>
      <c r="B367" s="8" t="s">
        <v>775</v>
      </c>
      <c r="C367" s="9">
        <v>24248</v>
      </c>
      <c r="D367" s="12">
        <v>17.98</v>
      </c>
      <c r="E367" s="12">
        <v>17.98</v>
      </c>
      <c r="F367" s="12">
        <v>15.8</v>
      </c>
      <c r="G367" s="12">
        <v>9.6</v>
      </c>
      <c r="H367" s="10">
        <v>9.6</v>
      </c>
      <c r="I367" s="13">
        <v>1269</v>
      </c>
      <c r="J367" s="13">
        <f t="shared" si="49"/>
        <v>1269</v>
      </c>
      <c r="K367" s="13">
        <f t="shared" si="48"/>
        <v>1115.139043381535</v>
      </c>
      <c r="L367" s="49">
        <f t="shared" si="48"/>
        <v>677.55283648498323</v>
      </c>
      <c r="M367" s="10">
        <v>9.6</v>
      </c>
      <c r="N367" s="50">
        <v>1836088</v>
      </c>
      <c r="O367" s="50">
        <v>1010248</v>
      </c>
      <c r="P367" s="48">
        <f t="shared" si="44"/>
        <v>825840</v>
      </c>
    </row>
    <row r="368" spans="1:16" ht="15.95" customHeight="1" x14ac:dyDescent="0.25">
      <c r="A368" s="15" t="s">
        <v>627</v>
      </c>
      <c r="B368" s="8" t="s">
        <v>957</v>
      </c>
      <c r="C368" s="9" t="s">
        <v>958</v>
      </c>
      <c r="D368" s="12">
        <v>100</v>
      </c>
      <c r="E368" s="12">
        <v>100</v>
      </c>
      <c r="F368" s="12">
        <v>100</v>
      </c>
      <c r="G368" s="12">
        <v>53.82</v>
      </c>
      <c r="H368" s="10">
        <v>41</v>
      </c>
      <c r="I368" s="13">
        <v>14170.982</v>
      </c>
      <c r="J368" s="13">
        <f t="shared" si="49"/>
        <v>14170.982</v>
      </c>
      <c r="K368" s="13">
        <f t="shared" si="48"/>
        <v>14170.982</v>
      </c>
      <c r="L368" s="49">
        <f t="shared" si="48"/>
        <v>7626.8225124000001</v>
      </c>
      <c r="M368" s="10">
        <v>41</v>
      </c>
      <c r="N368" s="50">
        <v>13536232</v>
      </c>
      <c r="O368" s="50">
        <v>9335906</v>
      </c>
      <c r="P368" s="48">
        <f t="shared" si="44"/>
        <v>4200326</v>
      </c>
    </row>
    <row r="369" spans="1:16" ht="15.95" customHeight="1" x14ac:dyDescent="0.25">
      <c r="A369" s="15" t="s">
        <v>629</v>
      </c>
      <c r="B369" s="8" t="s">
        <v>778</v>
      </c>
      <c r="C369" s="9">
        <v>24277</v>
      </c>
      <c r="D369" s="12">
        <v>34.39</v>
      </c>
      <c r="E369" s="12">
        <v>34.39</v>
      </c>
      <c r="F369" s="12">
        <v>34.39</v>
      </c>
      <c r="G369" s="12">
        <v>33.630000000000003</v>
      </c>
      <c r="H369" s="10">
        <v>32.54</v>
      </c>
      <c r="I369" s="13">
        <v>8954</v>
      </c>
      <c r="J369" s="13">
        <f t="shared" si="49"/>
        <v>8954</v>
      </c>
      <c r="K369" s="13">
        <f t="shared" si="48"/>
        <v>8954</v>
      </c>
      <c r="L369" s="49">
        <f t="shared" si="48"/>
        <v>8756.1215469613271</v>
      </c>
      <c r="M369" s="10">
        <v>31.02</v>
      </c>
      <c r="N369" s="50">
        <v>13187300</v>
      </c>
      <c r="O369" s="50">
        <v>10584751</v>
      </c>
      <c r="P369" s="48">
        <f t="shared" si="44"/>
        <v>2602549</v>
      </c>
    </row>
    <row r="370" spans="1:16" ht="15.95" customHeight="1" x14ac:dyDescent="0.25">
      <c r="A370" s="20" t="s">
        <v>630</v>
      </c>
      <c r="B370" s="8" t="s">
        <v>781</v>
      </c>
      <c r="C370" s="9">
        <v>24236</v>
      </c>
      <c r="D370" s="12">
        <v>39.75</v>
      </c>
      <c r="E370" s="12">
        <v>36.82</v>
      </c>
      <c r="F370" s="12">
        <v>36.119999999999997</v>
      </c>
      <c r="G370" s="12">
        <v>35.99</v>
      </c>
      <c r="H370" s="10">
        <v>11.55</v>
      </c>
      <c r="I370" s="13">
        <v>10163.85</v>
      </c>
      <c r="J370" s="13">
        <f t="shared" si="49"/>
        <v>9414.6655849056606</v>
      </c>
      <c r="K370" s="13">
        <f t="shared" si="49"/>
        <v>9235.6795471698097</v>
      </c>
      <c r="L370" s="49">
        <f t="shared" si="49"/>
        <v>9202.4392830188681</v>
      </c>
      <c r="M370" s="10">
        <v>11.55</v>
      </c>
      <c r="N370" s="50">
        <v>6406183</v>
      </c>
      <c r="O370" s="50">
        <v>4457905</v>
      </c>
      <c r="P370" s="48">
        <f t="shared" ref="P370:P430" si="50">N370-O370</f>
        <v>1948278</v>
      </c>
    </row>
    <row r="371" spans="1:16" ht="15.95" customHeight="1" x14ac:dyDescent="0.25">
      <c r="A371" s="15" t="s">
        <v>632</v>
      </c>
      <c r="B371" s="8" t="s">
        <v>788</v>
      </c>
      <c r="C371" s="9">
        <v>23845</v>
      </c>
      <c r="D371" s="12">
        <v>27.74</v>
      </c>
      <c r="E371" s="12">
        <f>29.03-4.3</f>
        <v>24.73</v>
      </c>
      <c r="F371" s="12">
        <f>26.46-4.3</f>
        <v>22.16</v>
      </c>
      <c r="G371" s="12">
        <f>26.46-4.3</f>
        <v>22.16</v>
      </c>
      <c r="H371" s="10">
        <v>20.37</v>
      </c>
      <c r="I371" s="13">
        <v>2065.19596</v>
      </c>
      <c r="J371" s="13">
        <f t="shared" si="49"/>
        <v>1841.106564196107</v>
      </c>
      <c r="K371" s="13">
        <f t="shared" si="49"/>
        <v>1649.7744222638792</v>
      </c>
      <c r="L371" s="49">
        <f t="shared" si="49"/>
        <v>1649.7744222638792</v>
      </c>
      <c r="M371" s="10">
        <v>20.37</v>
      </c>
      <c r="N371" s="50">
        <v>4163798</v>
      </c>
      <c r="O371" s="50">
        <v>2574263</v>
      </c>
      <c r="P371" s="48">
        <f t="shared" si="50"/>
        <v>1589535</v>
      </c>
    </row>
    <row r="372" spans="1:16" ht="15.95" customHeight="1" x14ac:dyDescent="0.25">
      <c r="A372" s="15" t="s">
        <v>634</v>
      </c>
      <c r="B372" s="8" t="s">
        <v>790</v>
      </c>
      <c r="C372" s="9">
        <v>24676</v>
      </c>
      <c r="D372" s="12">
        <v>42.48</v>
      </c>
      <c r="E372" s="12">
        <v>37.76</v>
      </c>
      <c r="F372" s="12">
        <v>37.76</v>
      </c>
      <c r="G372" s="12">
        <v>37.76</v>
      </c>
      <c r="H372" s="10">
        <v>25.34</v>
      </c>
      <c r="I372" s="13">
        <v>6760.1513800000002</v>
      </c>
      <c r="J372" s="13">
        <f t="shared" si="49"/>
        <v>6009.0234488888891</v>
      </c>
      <c r="K372" s="13">
        <f t="shared" si="49"/>
        <v>6009.0234488888891</v>
      </c>
      <c r="L372" s="49">
        <f>K372*G372/F372+138.598</f>
        <v>6147.6214488888891</v>
      </c>
      <c r="M372" s="10">
        <v>25.34</v>
      </c>
      <c r="N372" s="50">
        <v>7506652.1456102785</v>
      </c>
      <c r="O372" s="50">
        <v>4682426</v>
      </c>
      <c r="P372" s="48">
        <f t="shared" si="50"/>
        <v>2824226.1456102785</v>
      </c>
    </row>
    <row r="373" spans="1:16" ht="15.95" customHeight="1" x14ac:dyDescent="0.25">
      <c r="A373" s="20" t="s">
        <v>636</v>
      </c>
      <c r="B373" s="8" t="s">
        <v>792</v>
      </c>
      <c r="C373" s="9">
        <v>24675</v>
      </c>
      <c r="D373" s="12">
        <v>22.8</v>
      </c>
      <c r="E373" s="12">
        <v>22.8</v>
      </c>
      <c r="F373" s="12">
        <v>22.8</v>
      </c>
      <c r="G373" s="12">
        <v>22.8</v>
      </c>
      <c r="H373" s="10">
        <v>9.7899999999999991</v>
      </c>
      <c r="I373" s="13">
        <v>2572</v>
      </c>
      <c r="J373" s="13">
        <f t="shared" si="49"/>
        <v>2572</v>
      </c>
      <c r="K373" s="13">
        <f t="shared" si="49"/>
        <v>2572</v>
      </c>
      <c r="L373" s="49">
        <f>K373*G373/F373+1388.182+571.103+2867.692</f>
        <v>7398.9769999999999</v>
      </c>
      <c r="M373" s="10">
        <v>9.7899999999999991</v>
      </c>
      <c r="N373" s="50">
        <v>5656698</v>
      </c>
      <c r="O373" s="50">
        <v>2630211</v>
      </c>
      <c r="P373" s="48">
        <f t="shared" si="50"/>
        <v>3026487</v>
      </c>
    </row>
    <row r="374" spans="1:16" ht="15.95" customHeight="1" x14ac:dyDescent="0.25">
      <c r="A374" s="15" t="s">
        <v>637</v>
      </c>
      <c r="B374" s="8" t="s">
        <v>794</v>
      </c>
      <c r="C374" s="9">
        <v>24674</v>
      </c>
      <c r="D374" s="12">
        <v>35.630000000000003</v>
      </c>
      <c r="E374" s="12">
        <v>35.630000000000003</v>
      </c>
      <c r="F374" s="12">
        <v>35.630000000000003</v>
      </c>
      <c r="G374" s="12">
        <v>35.630000000000003</v>
      </c>
      <c r="H374" s="10">
        <v>17.8</v>
      </c>
      <c r="I374" s="13">
        <v>4609.4489999999996</v>
      </c>
      <c r="J374" s="13">
        <f t="shared" si="49"/>
        <v>4609.4489999999996</v>
      </c>
      <c r="K374" s="13">
        <f t="shared" si="49"/>
        <v>4609.4489999999996</v>
      </c>
      <c r="L374" s="49">
        <f t="shared" si="49"/>
        <v>4609.4489999999996</v>
      </c>
      <c r="M374" s="10">
        <v>16.600000000000001</v>
      </c>
      <c r="N374" s="50">
        <v>8334713</v>
      </c>
      <c r="O374" s="50">
        <v>3394558</v>
      </c>
      <c r="P374" s="48">
        <f t="shared" si="50"/>
        <v>4940155</v>
      </c>
    </row>
    <row r="375" spans="1:16" ht="15.95" customHeight="1" x14ac:dyDescent="0.25">
      <c r="A375" s="15" t="s">
        <v>640</v>
      </c>
      <c r="B375" s="8" t="s">
        <v>796</v>
      </c>
      <c r="C375" s="9">
        <v>24960</v>
      </c>
      <c r="D375" s="12">
        <v>31.507000000000001</v>
      </c>
      <c r="E375" s="12">
        <v>31.507000000000001</v>
      </c>
      <c r="F375" s="12">
        <v>24.817</v>
      </c>
      <c r="G375" s="12">
        <v>24.306999999999999</v>
      </c>
      <c r="H375" s="10">
        <v>14.72</v>
      </c>
      <c r="I375" s="13">
        <v>8401.1578599999993</v>
      </c>
      <c r="J375" s="13">
        <f t="shared" si="49"/>
        <v>8401.1578599999993</v>
      </c>
      <c r="K375" s="13">
        <f>J375*F375/E375+158.512</f>
        <v>6775.8203635896771</v>
      </c>
      <c r="L375" s="49">
        <f t="shared" si="49"/>
        <v>6636.5743473334514</v>
      </c>
      <c r="M375" s="10">
        <v>14.72</v>
      </c>
      <c r="N375" s="50">
        <v>6038012</v>
      </c>
      <c r="O375" s="50">
        <v>4578210</v>
      </c>
      <c r="P375" s="48">
        <f t="shared" si="50"/>
        <v>1459802</v>
      </c>
    </row>
    <row r="376" spans="1:16" ht="15.95" customHeight="1" x14ac:dyDescent="0.25">
      <c r="A376" s="20" t="s">
        <v>642</v>
      </c>
      <c r="B376" s="8" t="s">
        <v>799</v>
      </c>
      <c r="C376" s="9" t="s">
        <v>800</v>
      </c>
      <c r="D376" s="12">
        <v>3.52</v>
      </c>
      <c r="E376" s="12">
        <v>1.76</v>
      </c>
      <c r="F376" s="12">
        <v>1.76</v>
      </c>
      <c r="G376" s="12">
        <v>1.76</v>
      </c>
      <c r="H376" s="10">
        <v>1.76</v>
      </c>
      <c r="I376" s="13">
        <v>308</v>
      </c>
      <c r="J376" s="13">
        <f t="shared" si="49"/>
        <v>154</v>
      </c>
      <c r="K376" s="13">
        <f>J376*F376/E376</f>
        <v>154</v>
      </c>
      <c r="L376" s="49">
        <f t="shared" si="49"/>
        <v>154</v>
      </c>
      <c r="M376" s="10">
        <v>1.76</v>
      </c>
      <c r="N376" s="50">
        <v>241998</v>
      </c>
      <c r="O376" s="50">
        <v>164394</v>
      </c>
      <c r="P376" s="48">
        <f t="shared" si="50"/>
        <v>77604</v>
      </c>
    </row>
    <row r="377" spans="1:16" ht="15.95" customHeight="1" x14ac:dyDescent="0.25">
      <c r="A377" s="15" t="s">
        <v>643</v>
      </c>
      <c r="B377" s="8" t="s">
        <v>802</v>
      </c>
      <c r="C377" s="9" t="s">
        <v>803</v>
      </c>
      <c r="D377" s="12">
        <v>0.54</v>
      </c>
      <c r="E377" s="12">
        <v>0.54</v>
      </c>
      <c r="F377" s="12">
        <v>0.54</v>
      </c>
      <c r="G377" s="12">
        <v>0.54</v>
      </c>
      <c r="H377" s="10">
        <v>0.54</v>
      </c>
      <c r="I377" s="13">
        <v>49</v>
      </c>
      <c r="J377" s="13">
        <f t="shared" si="49"/>
        <v>49</v>
      </c>
      <c r="K377" s="13">
        <f>J377*F377/E377+10.485</f>
        <v>59.484999999999999</v>
      </c>
      <c r="L377" s="49">
        <f t="shared" si="49"/>
        <v>59.484999999999999</v>
      </c>
      <c r="M377" s="10">
        <v>0.54</v>
      </c>
      <c r="N377" s="50">
        <v>78621.962264150949</v>
      </c>
      <c r="O377" s="50">
        <v>58989</v>
      </c>
      <c r="P377" s="48">
        <f t="shared" si="50"/>
        <v>19632.962264150949</v>
      </c>
    </row>
    <row r="378" spans="1:16" ht="15.95" customHeight="1" x14ac:dyDescent="0.25">
      <c r="A378" s="15" t="s">
        <v>644</v>
      </c>
      <c r="B378" s="8" t="s">
        <v>807</v>
      </c>
      <c r="C378" s="9">
        <v>25038</v>
      </c>
      <c r="D378" s="12">
        <v>12.14</v>
      </c>
      <c r="E378" s="12">
        <v>12.14</v>
      </c>
      <c r="F378" s="12">
        <v>2.14</v>
      </c>
      <c r="G378" s="12">
        <v>2.14</v>
      </c>
      <c r="H378" s="10">
        <v>1.6</v>
      </c>
      <c r="I378" s="13">
        <v>1460</v>
      </c>
      <c r="J378" s="13">
        <f t="shared" si="49"/>
        <v>1460</v>
      </c>
      <c r="K378" s="13">
        <f>J378*F378/E378</f>
        <v>257.36408566721582</v>
      </c>
      <c r="L378" s="49">
        <f t="shared" si="49"/>
        <v>257.36408566721582</v>
      </c>
      <c r="M378" s="10">
        <v>1.6</v>
      </c>
      <c r="N378" s="50">
        <v>211610</v>
      </c>
      <c r="O378" s="50">
        <v>190782</v>
      </c>
      <c r="P378" s="48">
        <f t="shared" si="50"/>
        <v>20828</v>
      </c>
    </row>
    <row r="379" spans="1:16" ht="15.95" customHeight="1" x14ac:dyDescent="0.25">
      <c r="A379" s="20" t="s">
        <v>646</v>
      </c>
      <c r="B379" s="8" t="s">
        <v>809</v>
      </c>
      <c r="C379" s="9">
        <v>25047</v>
      </c>
      <c r="D379" s="12">
        <v>32.81</v>
      </c>
      <c r="E379" s="12">
        <v>24.35</v>
      </c>
      <c r="F379" s="12">
        <v>24.35</v>
      </c>
      <c r="G379" s="12">
        <v>24.35</v>
      </c>
      <c r="H379" s="10">
        <v>24.34</v>
      </c>
      <c r="I379" s="13">
        <v>7436</v>
      </c>
      <c r="J379" s="13">
        <f t="shared" si="49"/>
        <v>5518.640658335873</v>
      </c>
      <c r="K379" s="13">
        <f>J379*F379/E379</f>
        <v>5518.640658335873</v>
      </c>
      <c r="L379" s="49">
        <f t="shared" si="49"/>
        <v>5518.640658335873</v>
      </c>
      <c r="M379" s="10">
        <v>24.34</v>
      </c>
      <c r="N379" s="50">
        <v>8118371.0521560572</v>
      </c>
      <c r="O379" s="50">
        <v>7031063</v>
      </c>
      <c r="P379" s="48">
        <f t="shared" si="50"/>
        <v>1087308.0521560572</v>
      </c>
    </row>
    <row r="380" spans="1:16" ht="15.95" customHeight="1" x14ac:dyDescent="0.25">
      <c r="A380" s="15" t="s">
        <v>648</v>
      </c>
      <c r="B380" s="8" t="s">
        <v>811</v>
      </c>
      <c r="C380" s="9">
        <v>24420</v>
      </c>
      <c r="D380" s="12">
        <v>29.46</v>
      </c>
      <c r="E380" s="12">
        <v>29.46</v>
      </c>
      <c r="F380" s="12">
        <v>28.16</v>
      </c>
      <c r="G380" s="12">
        <v>28.16</v>
      </c>
      <c r="H380" s="10">
        <v>14.3</v>
      </c>
      <c r="I380" s="13">
        <v>9881.6589999999997</v>
      </c>
      <c r="J380" s="13">
        <f t="shared" ref="J380:J384" si="51">I380*E380/D380</f>
        <v>9881.6589999999997</v>
      </c>
      <c r="K380" s="13">
        <f>J380*F380/E380+453.939</f>
        <v>9899.5438010862181</v>
      </c>
      <c r="L380" s="49">
        <f>K380*G380/F380</f>
        <v>9899.5438010862181</v>
      </c>
      <c r="M380" s="10">
        <v>14.3</v>
      </c>
      <c r="N380" s="50">
        <v>9729075</v>
      </c>
      <c r="O380" s="50">
        <v>6863269</v>
      </c>
      <c r="P380" s="48">
        <f t="shared" si="50"/>
        <v>2865806</v>
      </c>
    </row>
    <row r="381" spans="1:16" ht="15.95" customHeight="1" x14ac:dyDescent="0.25">
      <c r="A381" s="15" t="s">
        <v>651</v>
      </c>
      <c r="B381" s="8" t="s">
        <v>813</v>
      </c>
      <c r="C381" s="9">
        <v>24927</v>
      </c>
      <c r="D381" s="12">
        <v>37.950000000000003</v>
      </c>
      <c r="E381" s="12">
        <v>35.840000000000003</v>
      </c>
      <c r="F381" s="12">
        <v>35.840000000000003</v>
      </c>
      <c r="G381" s="12">
        <v>30.87</v>
      </c>
      <c r="H381" s="10">
        <v>29.34</v>
      </c>
      <c r="I381" s="13">
        <v>9837.06394</v>
      </c>
      <c r="J381" s="13">
        <f t="shared" si="51"/>
        <v>9290.1283691594199</v>
      </c>
      <c r="K381" s="13">
        <f>J381*F381/E381+242.397</f>
        <v>9532.5253691594207</v>
      </c>
      <c r="L381" s="49">
        <f>K381*G381/F381</f>
        <v>8210.6322027330152</v>
      </c>
      <c r="M381" s="10">
        <v>29.34</v>
      </c>
      <c r="N381" s="50">
        <v>11433588</v>
      </c>
      <c r="O381" s="50">
        <v>10019290</v>
      </c>
      <c r="P381" s="48">
        <f t="shared" si="50"/>
        <v>1414298</v>
      </c>
    </row>
    <row r="382" spans="1:16" ht="15.95" customHeight="1" x14ac:dyDescent="0.25">
      <c r="A382" s="20" t="s">
        <v>653</v>
      </c>
      <c r="B382" s="8" t="s">
        <v>815</v>
      </c>
      <c r="C382" s="9" t="s">
        <v>816</v>
      </c>
      <c r="D382" s="12">
        <v>25.5</v>
      </c>
      <c r="E382" s="12">
        <v>22.58</v>
      </c>
      <c r="F382" s="12">
        <v>20.85</v>
      </c>
      <c r="G382" s="12">
        <v>20.85</v>
      </c>
      <c r="H382" s="10">
        <v>14.43</v>
      </c>
      <c r="I382" s="13">
        <v>27360.14013</v>
      </c>
      <c r="J382" s="13">
        <f t="shared" si="51"/>
        <v>24227.135848447055</v>
      </c>
      <c r="K382" s="13">
        <f>J382*F382/E382</f>
        <v>22370.938106294117</v>
      </c>
      <c r="L382" s="49">
        <f>K382*G382/F382</f>
        <v>22370.938106294117</v>
      </c>
      <c r="M382" s="10">
        <v>14.43</v>
      </c>
      <c r="N382" s="50">
        <v>16882751.032661568</v>
      </c>
      <c r="O382" s="50">
        <v>15171876</v>
      </c>
      <c r="P382" s="48">
        <f t="shared" si="50"/>
        <v>1710875.0326615684</v>
      </c>
    </row>
    <row r="383" spans="1:16" ht="15.95" customHeight="1" x14ac:dyDescent="0.25">
      <c r="A383" s="15" t="s">
        <v>654</v>
      </c>
      <c r="B383" s="8" t="s">
        <v>818</v>
      </c>
      <c r="C383" s="9" t="s">
        <v>819</v>
      </c>
      <c r="D383" s="12">
        <v>13.6</v>
      </c>
      <c r="E383" s="12">
        <f>17.93-8.14</f>
        <v>9.7899999999999991</v>
      </c>
      <c r="F383" s="12">
        <v>5.35</v>
      </c>
      <c r="G383" s="12">
        <v>5.35</v>
      </c>
      <c r="H383" s="10">
        <v>11.66</v>
      </c>
      <c r="I383" s="13">
        <v>3839</v>
      </c>
      <c r="J383" s="13">
        <f t="shared" si="51"/>
        <v>2763.5154411764706</v>
      </c>
      <c r="K383" s="13">
        <f>J383*F383/E383</f>
        <v>1510.1948529411766</v>
      </c>
      <c r="L383" s="49">
        <f>K383*G383/F383</f>
        <v>1510.1948529411766</v>
      </c>
      <c r="M383" s="10">
        <v>11.66</v>
      </c>
      <c r="N383" s="50">
        <v>1061690</v>
      </c>
      <c r="O383" s="50">
        <v>556222</v>
      </c>
      <c r="P383" s="48">
        <f t="shared" si="50"/>
        <v>505468</v>
      </c>
    </row>
    <row r="384" spans="1:16" ht="15.95" customHeight="1" x14ac:dyDescent="0.25">
      <c r="A384" s="15" t="s">
        <v>656</v>
      </c>
      <c r="B384" s="8" t="s">
        <v>821</v>
      </c>
      <c r="C384" s="9">
        <v>23947</v>
      </c>
      <c r="D384" s="12">
        <v>27.98</v>
      </c>
      <c r="E384" s="12">
        <v>27.98</v>
      </c>
      <c r="F384" s="12">
        <v>27.98</v>
      </c>
      <c r="G384" s="12">
        <v>22.47</v>
      </c>
      <c r="H384" s="10">
        <v>3.02</v>
      </c>
      <c r="I384" s="13">
        <v>1990</v>
      </c>
      <c r="J384" s="13">
        <f t="shared" si="51"/>
        <v>1990.0000000000002</v>
      </c>
      <c r="K384" s="13">
        <f>J384*F384/E384</f>
        <v>1990.0000000000002</v>
      </c>
      <c r="L384" s="49">
        <f>K384*G384/F384+14.122+78.772</f>
        <v>1691.0105117941387</v>
      </c>
      <c r="M384" s="10">
        <v>3.02</v>
      </c>
      <c r="N384" s="50">
        <v>541751</v>
      </c>
      <c r="O384" s="50">
        <v>101684</v>
      </c>
      <c r="P384" s="48">
        <f t="shared" si="50"/>
        <v>440067</v>
      </c>
    </row>
    <row r="385" spans="1:16" ht="15.95" customHeight="1" x14ac:dyDescent="0.25">
      <c r="A385" s="20" t="s">
        <v>658</v>
      </c>
      <c r="B385" s="8" t="s">
        <v>824</v>
      </c>
      <c r="C385" s="9">
        <v>24906</v>
      </c>
      <c r="D385" s="12">
        <v>23.35</v>
      </c>
      <c r="E385" s="12">
        <v>23.35</v>
      </c>
      <c r="F385" s="12">
        <v>23.35</v>
      </c>
      <c r="G385" s="12">
        <v>23.35</v>
      </c>
      <c r="H385" s="10">
        <v>7.6</v>
      </c>
      <c r="I385" s="13">
        <v>6248.6807399999998</v>
      </c>
      <c r="J385" s="13">
        <f>I385*E385/D385</f>
        <v>6248.6807399999998</v>
      </c>
      <c r="K385" s="13">
        <f>J385*F385/E385</f>
        <v>6248.6807399999998</v>
      </c>
      <c r="L385" s="49">
        <f>K385*G385/F385</f>
        <v>6248.6807399999998</v>
      </c>
      <c r="M385" s="10">
        <v>7.6</v>
      </c>
      <c r="N385" s="50">
        <v>2358248</v>
      </c>
      <c r="O385" s="50">
        <v>2303098</v>
      </c>
      <c r="P385" s="48">
        <f t="shared" si="50"/>
        <v>55150</v>
      </c>
    </row>
    <row r="386" spans="1:16" ht="15.95" customHeight="1" x14ac:dyDescent="0.25">
      <c r="A386" s="15" t="s">
        <v>660</v>
      </c>
      <c r="B386" s="8" t="s">
        <v>1022</v>
      </c>
      <c r="C386" s="9" t="s">
        <v>1021</v>
      </c>
      <c r="D386" s="12"/>
      <c r="E386" s="12"/>
      <c r="F386" s="12"/>
      <c r="G386" s="12"/>
      <c r="H386" s="10">
        <v>2.21</v>
      </c>
      <c r="I386" s="13"/>
      <c r="J386" s="13"/>
      <c r="K386" s="13"/>
      <c r="L386" s="49"/>
      <c r="M386" s="10">
        <v>2.21</v>
      </c>
      <c r="N386" s="50">
        <v>155134</v>
      </c>
      <c r="O386" s="50">
        <v>8680</v>
      </c>
      <c r="P386" s="48">
        <f t="shared" si="50"/>
        <v>146454</v>
      </c>
    </row>
    <row r="387" spans="1:16" ht="15.95" customHeight="1" x14ac:dyDescent="0.25">
      <c r="A387" s="15" t="s">
        <v>662</v>
      </c>
      <c r="B387" s="8" t="s">
        <v>826</v>
      </c>
      <c r="C387" s="9">
        <v>23957</v>
      </c>
      <c r="D387" s="12">
        <v>32.61</v>
      </c>
      <c r="E387" s="12">
        <v>25.16</v>
      </c>
      <c r="F387" s="12">
        <v>25.16</v>
      </c>
      <c r="G387" s="12">
        <v>25.16</v>
      </c>
      <c r="H387" s="10">
        <v>7.0000000000000007E-2</v>
      </c>
      <c r="I387" s="13">
        <v>12301.013000000001</v>
      </c>
      <c r="J387" s="13">
        <f>I387*E387/D387</f>
        <v>9490.7539736277231</v>
      </c>
      <c r="K387" s="13">
        <f>J387*F387/E387</f>
        <v>9490.7539736277231</v>
      </c>
      <c r="L387" s="49">
        <f>K387*G387/F387+50.32</f>
        <v>9541.0739736277228</v>
      </c>
      <c r="M387" s="10">
        <v>7.0000000000000007E-2</v>
      </c>
      <c r="N387" s="50">
        <v>252951</v>
      </c>
      <c r="O387" s="50">
        <v>63330</v>
      </c>
      <c r="P387" s="48">
        <f t="shared" si="50"/>
        <v>189621</v>
      </c>
    </row>
    <row r="388" spans="1:16" ht="15.95" customHeight="1" x14ac:dyDescent="0.25">
      <c r="A388" s="20" t="s">
        <v>664</v>
      </c>
      <c r="B388" s="8" t="s">
        <v>827</v>
      </c>
      <c r="C388" s="9">
        <v>24035</v>
      </c>
      <c r="D388" s="12">
        <v>43.33</v>
      </c>
      <c r="E388" s="12">
        <v>23.69</v>
      </c>
      <c r="F388" s="12">
        <v>23.69</v>
      </c>
      <c r="G388" s="12">
        <v>23.69</v>
      </c>
      <c r="H388" s="10">
        <v>23.69</v>
      </c>
      <c r="I388" s="13">
        <v>3162.3731699999998</v>
      </c>
      <c r="J388" s="13">
        <f t="shared" ref="J388:K394" si="52">I388*E388/D388</f>
        <v>1728.9780844057234</v>
      </c>
      <c r="K388" s="13">
        <f>J388*F388/E388+2196.608</f>
        <v>3925.5860844057233</v>
      </c>
      <c r="L388" s="49">
        <f>K388*G388/F388</f>
        <v>3925.5860844057233</v>
      </c>
      <c r="M388" s="10">
        <v>23.69</v>
      </c>
      <c r="N388" s="50">
        <v>3925598</v>
      </c>
      <c r="O388" s="50">
        <v>2112775</v>
      </c>
      <c r="P388" s="48">
        <f t="shared" si="50"/>
        <v>1812823</v>
      </c>
    </row>
    <row r="389" spans="1:16" ht="15.95" customHeight="1" x14ac:dyDescent="0.25">
      <c r="A389" s="15" t="s">
        <v>666</v>
      </c>
      <c r="B389" s="8" t="s">
        <v>828</v>
      </c>
      <c r="C389" s="9">
        <v>24045</v>
      </c>
      <c r="D389" s="12">
        <v>52.01</v>
      </c>
      <c r="E389" s="12">
        <v>52.01</v>
      </c>
      <c r="F389" s="12">
        <v>52.01</v>
      </c>
      <c r="G389" s="12">
        <v>52.01</v>
      </c>
      <c r="H389" s="10">
        <v>24.19</v>
      </c>
      <c r="I389" s="13">
        <v>1982</v>
      </c>
      <c r="J389" s="13">
        <f t="shared" si="52"/>
        <v>1982</v>
      </c>
      <c r="K389" s="13">
        <f t="shared" si="52"/>
        <v>1982</v>
      </c>
      <c r="L389" s="49">
        <f>K389*G389/F389</f>
        <v>1982</v>
      </c>
      <c r="M389" s="10">
        <v>24.19</v>
      </c>
      <c r="N389" s="50">
        <v>6276913.3655606415</v>
      </c>
      <c r="O389" s="50">
        <v>1900785</v>
      </c>
      <c r="P389" s="48">
        <f t="shared" si="50"/>
        <v>4376128.3655606415</v>
      </c>
    </row>
    <row r="390" spans="1:16" ht="15.95" customHeight="1" x14ac:dyDescent="0.25">
      <c r="A390" s="15" t="s">
        <v>668</v>
      </c>
      <c r="B390" s="8" t="s">
        <v>829</v>
      </c>
      <c r="C390" s="9" t="s">
        <v>830</v>
      </c>
      <c r="D390" s="12">
        <v>8.94</v>
      </c>
      <c r="E390" s="12">
        <v>8.94</v>
      </c>
      <c r="F390" s="12">
        <v>8.02</v>
      </c>
      <c r="G390" s="12">
        <v>8.02</v>
      </c>
      <c r="H390" s="10">
        <v>0.75</v>
      </c>
      <c r="I390" s="13">
        <v>1010.70485</v>
      </c>
      <c r="J390" s="13">
        <f t="shared" si="52"/>
        <v>1010.70485</v>
      </c>
      <c r="K390" s="13">
        <f t="shared" si="52"/>
        <v>906.69495492170017</v>
      </c>
      <c r="L390" s="49">
        <f>K390*G390/F390</f>
        <v>906.69495492170017</v>
      </c>
      <c r="M390" s="10">
        <v>0.75</v>
      </c>
      <c r="N390" s="50">
        <v>149127</v>
      </c>
      <c r="O390" s="50">
        <v>96103</v>
      </c>
      <c r="P390" s="48">
        <f t="shared" si="50"/>
        <v>53024</v>
      </c>
    </row>
    <row r="391" spans="1:16" ht="15.95" customHeight="1" x14ac:dyDescent="0.25">
      <c r="A391" s="20" t="s">
        <v>670</v>
      </c>
      <c r="B391" s="8" t="s">
        <v>831</v>
      </c>
      <c r="C391" s="9">
        <v>24371</v>
      </c>
      <c r="D391" s="12">
        <v>38.57</v>
      </c>
      <c r="E391" s="12">
        <v>38.340000000000003</v>
      </c>
      <c r="F391" s="12">
        <v>38.57</v>
      </c>
      <c r="G391" s="12">
        <v>38.57</v>
      </c>
      <c r="H391" s="10">
        <v>4.1500000000000004</v>
      </c>
      <c r="I391" s="13">
        <v>4600</v>
      </c>
      <c r="J391" s="13">
        <f t="shared" si="52"/>
        <v>4572.5693544205351</v>
      </c>
      <c r="K391" s="13">
        <f t="shared" si="52"/>
        <v>4600</v>
      </c>
      <c r="L391" s="49">
        <f>K391*G391/F391</f>
        <v>4600</v>
      </c>
      <c r="M391" s="10">
        <v>4.1500000000000004</v>
      </c>
      <c r="N391" s="50">
        <v>7324098</v>
      </c>
      <c r="O391" s="50">
        <v>1765295</v>
      </c>
      <c r="P391" s="48">
        <f t="shared" si="50"/>
        <v>5558803</v>
      </c>
    </row>
    <row r="392" spans="1:16" ht="15.95" customHeight="1" x14ac:dyDescent="0.25">
      <c r="A392" s="15" t="s">
        <v>672</v>
      </c>
      <c r="B392" s="8" t="s">
        <v>832</v>
      </c>
      <c r="C392" s="9">
        <v>24373</v>
      </c>
      <c r="D392" s="12">
        <v>29</v>
      </c>
      <c r="E392" s="12">
        <v>14.98</v>
      </c>
      <c r="F392" s="12">
        <v>14.98</v>
      </c>
      <c r="G392" s="12">
        <v>14.98</v>
      </c>
      <c r="H392" s="10">
        <v>12.56</v>
      </c>
      <c r="I392" s="13">
        <v>3496.922</v>
      </c>
      <c r="J392" s="13">
        <f t="shared" si="52"/>
        <v>1806.3410882758621</v>
      </c>
      <c r="K392" s="13">
        <f t="shared" si="52"/>
        <v>1806.3410882758621</v>
      </c>
      <c r="L392" s="49">
        <f>K392*G392/F392+57.554</f>
        <v>1863.8950882758622</v>
      </c>
      <c r="M392" s="10">
        <v>12.56</v>
      </c>
      <c r="N392" s="50">
        <v>4323306</v>
      </c>
      <c r="O392" s="50">
        <v>2230181</v>
      </c>
      <c r="P392" s="48">
        <f t="shared" si="50"/>
        <v>2093125</v>
      </c>
    </row>
    <row r="393" spans="1:16" ht="15.95" customHeight="1" x14ac:dyDescent="0.25">
      <c r="A393" s="15" t="s">
        <v>674</v>
      </c>
      <c r="B393" s="8" t="s">
        <v>833</v>
      </c>
      <c r="C393" s="9">
        <v>24680</v>
      </c>
      <c r="D393" s="59">
        <v>3.64</v>
      </c>
      <c r="E393" s="59">
        <v>3.64</v>
      </c>
      <c r="F393" s="12">
        <v>3.26</v>
      </c>
      <c r="G393" s="12">
        <v>3.26</v>
      </c>
      <c r="H393" s="10">
        <v>14.24</v>
      </c>
      <c r="I393" s="13">
        <v>3746.6171599999998</v>
      </c>
      <c r="J393" s="13">
        <f t="shared" si="52"/>
        <v>3746.6171599999998</v>
      </c>
      <c r="K393" s="13">
        <f t="shared" si="52"/>
        <v>3355.4867971428566</v>
      </c>
      <c r="L393" s="49">
        <f>K393*G393/F393</f>
        <v>3355.4867971428571</v>
      </c>
      <c r="M393" s="10">
        <v>14.24</v>
      </c>
      <c r="N393" s="50">
        <v>5451917</v>
      </c>
      <c r="O393" s="50">
        <v>2754868</v>
      </c>
      <c r="P393" s="48">
        <f t="shared" si="50"/>
        <v>2697049</v>
      </c>
    </row>
    <row r="394" spans="1:16" ht="15.95" customHeight="1" x14ac:dyDescent="0.25">
      <c r="A394" s="20" t="s">
        <v>676</v>
      </c>
      <c r="B394" s="8" t="s">
        <v>834</v>
      </c>
      <c r="C394" s="9">
        <v>24668</v>
      </c>
      <c r="D394" s="12">
        <v>12.98</v>
      </c>
      <c r="E394" s="12">
        <v>12.98</v>
      </c>
      <c r="F394" s="12">
        <v>10.99</v>
      </c>
      <c r="G394" s="12">
        <v>10.99</v>
      </c>
      <c r="H394" s="10">
        <v>7.66</v>
      </c>
      <c r="I394" s="13">
        <v>1428.0869600000001</v>
      </c>
      <c r="J394" s="13">
        <f t="shared" si="52"/>
        <v>1428.0869600000001</v>
      </c>
      <c r="K394" s="13">
        <f t="shared" si="52"/>
        <v>1209.1429653620955</v>
      </c>
      <c r="L394" s="49">
        <f>K394*G394/F394+8.806</f>
        <v>1217.9489653620956</v>
      </c>
      <c r="M394" s="10">
        <v>7.66</v>
      </c>
      <c r="N394" s="50">
        <v>1831339</v>
      </c>
      <c r="O394" s="50">
        <v>1012994</v>
      </c>
      <c r="P394" s="48">
        <f t="shared" si="50"/>
        <v>818345</v>
      </c>
    </row>
    <row r="395" spans="1:16" ht="15.95" customHeight="1" x14ac:dyDescent="0.25">
      <c r="A395" s="15" t="s">
        <v>678</v>
      </c>
      <c r="B395" s="8" t="s">
        <v>970</v>
      </c>
      <c r="C395" s="9" t="s">
        <v>971</v>
      </c>
      <c r="D395" s="12"/>
      <c r="E395" s="12"/>
      <c r="F395" s="12"/>
      <c r="G395" s="12"/>
      <c r="H395" s="10">
        <v>4.99</v>
      </c>
      <c r="I395" s="13"/>
      <c r="J395" s="13"/>
      <c r="K395" s="13"/>
      <c r="L395" s="49"/>
      <c r="M395" s="10">
        <v>4.99</v>
      </c>
      <c r="N395" s="50">
        <v>315998</v>
      </c>
      <c r="O395" s="50">
        <v>34654</v>
      </c>
      <c r="P395" s="48">
        <f t="shared" si="50"/>
        <v>281344</v>
      </c>
    </row>
    <row r="396" spans="1:16" ht="15.95" customHeight="1" x14ac:dyDescent="0.25">
      <c r="A396" s="15" t="s">
        <v>680</v>
      </c>
      <c r="B396" s="8" t="s">
        <v>835</v>
      </c>
      <c r="C396" s="9">
        <v>24671</v>
      </c>
      <c r="D396" s="12">
        <v>51.02</v>
      </c>
      <c r="E396" s="12">
        <v>48.14</v>
      </c>
      <c r="F396" s="12">
        <v>48.14</v>
      </c>
      <c r="G396" s="12">
        <v>48.14</v>
      </c>
      <c r="H396" s="10">
        <v>8.41</v>
      </c>
      <c r="I396" s="13">
        <v>15850.277330000001</v>
      </c>
      <c r="J396" s="13">
        <f>I396*E396/D396</f>
        <v>14955.553717487261</v>
      </c>
      <c r="K396" s="13">
        <f>J396*F396/E396</f>
        <v>14955.553717487261</v>
      </c>
      <c r="L396" s="49">
        <f>K396*G396/F396+274.982</f>
        <v>15230.535717487261</v>
      </c>
      <c r="M396" s="10">
        <v>8.41</v>
      </c>
      <c r="N396" s="50">
        <v>4102078</v>
      </c>
      <c r="O396" s="50">
        <v>2390061</v>
      </c>
      <c r="P396" s="48">
        <f t="shared" si="50"/>
        <v>1712017</v>
      </c>
    </row>
    <row r="397" spans="1:16" ht="15.95" customHeight="1" x14ac:dyDescent="0.25">
      <c r="A397" s="20" t="s">
        <v>683</v>
      </c>
      <c r="B397" s="8" t="s">
        <v>836</v>
      </c>
      <c r="C397" s="9">
        <v>24190</v>
      </c>
      <c r="D397" s="12">
        <v>17.68</v>
      </c>
      <c r="E397" s="12">
        <v>17.68</v>
      </c>
      <c r="F397" s="12">
        <v>17.68</v>
      </c>
      <c r="G397" s="12">
        <v>6.51</v>
      </c>
      <c r="H397" s="10">
        <v>6.51</v>
      </c>
      <c r="I397" s="13">
        <v>2199</v>
      </c>
      <c r="J397" s="13">
        <f t="shared" ref="J397:J402" si="53">I397*E397/D397</f>
        <v>2199</v>
      </c>
      <c r="K397" s="13">
        <f>J397*F397/E397+645.051+80.538</f>
        <v>2924.5889999999999</v>
      </c>
      <c r="L397" s="49">
        <f>K397*G397/F397+123.051</f>
        <v>1199.9217234162895</v>
      </c>
      <c r="M397" s="10">
        <v>6.51</v>
      </c>
      <c r="N397" s="50">
        <v>1892167</v>
      </c>
      <c r="O397" s="50">
        <v>976163</v>
      </c>
      <c r="P397" s="48">
        <f t="shared" si="50"/>
        <v>916004</v>
      </c>
    </row>
    <row r="398" spans="1:16" ht="15.95" customHeight="1" x14ac:dyDescent="0.25">
      <c r="A398" s="15" t="s">
        <v>685</v>
      </c>
      <c r="B398" s="8" t="s">
        <v>837</v>
      </c>
      <c r="C398" s="9">
        <v>24191</v>
      </c>
      <c r="D398" s="12">
        <v>25.38</v>
      </c>
      <c r="E398" s="12">
        <v>25.38</v>
      </c>
      <c r="F398" s="12">
        <v>25.38</v>
      </c>
      <c r="G398" s="12">
        <v>25.38</v>
      </c>
      <c r="H398" s="10">
        <v>25.38</v>
      </c>
      <c r="I398" s="13">
        <v>3191</v>
      </c>
      <c r="J398" s="13">
        <f t="shared" si="53"/>
        <v>3191</v>
      </c>
      <c r="K398" s="13">
        <f>J398*F398/E398</f>
        <v>3191</v>
      </c>
      <c r="L398" s="49">
        <f>K398*G398/F398</f>
        <v>3191</v>
      </c>
      <c r="M398" s="10">
        <v>25.38</v>
      </c>
      <c r="N398" s="50">
        <v>4503298</v>
      </c>
      <c r="O398" s="50">
        <v>4074007</v>
      </c>
      <c r="P398" s="48">
        <f t="shared" si="50"/>
        <v>429291</v>
      </c>
    </row>
    <row r="399" spans="1:16" ht="15.95" customHeight="1" x14ac:dyDescent="0.25">
      <c r="A399" s="15" t="s">
        <v>687</v>
      </c>
      <c r="B399" s="8" t="s">
        <v>838</v>
      </c>
      <c r="C399" s="9">
        <v>25013</v>
      </c>
      <c r="D399" s="12">
        <v>23.96</v>
      </c>
      <c r="E399" s="12">
        <v>23.96</v>
      </c>
      <c r="F399" s="12">
        <v>23.03</v>
      </c>
      <c r="G399" s="12">
        <v>23.03</v>
      </c>
      <c r="H399" s="10">
        <v>14.62</v>
      </c>
      <c r="I399" s="13">
        <v>9059.6103700000003</v>
      </c>
      <c r="J399" s="13">
        <f t="shared" si="53"/>
        <v>9059.6103700000003</v>
      </c>
      <c r="K399" s="13">
        <f>J399*F399/E399</f>
        <v>8707.964391531721</v>
      </c>
      <c r="L399" s="49">
        <f>K399*G399/F399+119.749+454.711</f>
        <v>9282.4243915317202</v>
      </c>
      <c r="M399" s="10">
        <v>14.62</v>
      </c>
      <c r="N399" s="50">
        <v>12816356</v>
      </c>
      <c r="O399" s="50">
        <v>8023029</v>
      </c>
      <c r="P399" s="48">
        <f t="shared" si="50"/>
        <v>4793327</v>
      </c>
    </row>
    <row r="400" spans="1:16" ht="15.95" customHeight="1" x14ac:dyDescent="0.25">
      <c r="A400" s="20" t="s">
        <v>689</v>
      </c>
      <c r="B400" s="8" t="s">
        <v>839</v>
      </c>
      <c r="C400" s="9">
        <v>25019</v>
      </c>
      <c r="D400" s="12">
        <v>38.71</v>
      </c>
      <c r="E400" s="12">
        <v>34.450000000000003</v>
      </c>
      <c r="F400" s="12">
        <v>33.700000000000003</v>
      </c>
      <c r="G400" s="12">
        <v>27.89</v>
      </c>
      <c r="H400" s="10">
        <v>9.42</v>
      </c>
      <c r="I400" s="13">
        <v>16924.460029999998</v>
      </c>
      <c r="J400" s="13">
        <f t="shared" si="53"/>
        <v>15061.938724709376</v>
      </c>
      <c r="K400" s="13">
        <f>J400*F400/E400</f>
        <v>14734.030044200465</v>
      </c>
      <c r="L400" s="49">
        <f>K400*G400/F400</f>
        <v>12193.830799191421</v>
      </c>
      <c r="M400" s="10">
        <v>9.42</v>
      </c>
      <c r="N400" s="50">
        <v>29799318.576923076</v>
      </c>
      <c r="O400" s="50">
        <v>13800266</v>
      </c>
      <c r="P400" s="48">
        <f t="shared" si="50"/>
        <v>15999052.576923076</v>
      </c>
    </row>
    <row r="401" spans="1:16" ht="15.95" customHeight="1" x14ac:dyDescent="0.25">
      <c r="A401" s="15" t="s">
        <v>690</v>
      </c>
      <c r="B401" s="8" t="s">
        <v>840</v>
      </c>
      <c r="C401" s="9">
        <v>25020</v>
      </c>
      <c r="D401" s="12">
        <v>13.37</v>
      </c>
      <c r="E401" s="12">
        <v>12.74</v>
      </c>
      <c r="F401" s="12">
        <v>12.74</v>
      </c>
      <c r="G401" s="12">
        <v>3.02</v>
      </c>
      <c r="H401" s="10">
        <v>3.02</v>
      </c>
      <c r="I401" s="13">
        <v>3268</v>
      </c>
      <c r="J401" s="13">
        <f t="shared" si="53"/>
        <v>3114.0104712041884</v>
      </c>
      <c r="K401" s="13">
        <f>J401*F401/E401</f>
        <v>3114.010471204188</v>
      </c>
      <c r="L401" s="49">
        <f>K401*G401/F401</f>
        <v>738.17202692595356</v>
      </c>
      <c r="M401" s="10">
        <v>3.02</v>
      </c>
      <c r="N401" s="50">
        <v>979487</v>
      </c>
      <c r="O401" s="50">
        <v>360894</v>
      </c>
      <c r="P401" s="48">
        <f t="shared" si="50"/>
        <v>618593</v>
      </c>
    </row>
    <row r="402" spans="1:16" ht="15.95" customHeight="1" x14ac:dyDescent="0.25">
      <c r="A402" s="15" t="s">
        <v>692</v>
      </c>
      <c r="B402" s="8" t="s">
        <v>841</v>
      </c>
      <c r="C402" s="9">
        <v>25021</v>
      </c>
      <c r="D402" s="12">
        <v>19.5</v>
      </c>
      <c r="E402" s="12">
        <v>13.93</v>
      </c>
      <c r="F402" s="12">
        <v>13.93</v>
      </c>
      <c r="G402" s="12">
        <v>13.93</v>
      </c>
      <c r="H402" s="10">
        <v>3.06</v>
      </c>
      <c r="I402" s="13">
        <v>6389.4124700000002</v>
      </c>
      <c r="J402" s="13">
        <f t="shared" si="53"/>
        <v>4564.3341388256413</v>
      </c>
      <c r="K402" s="13">
        <f>J402*F402/E402</f>
        <v>4564.3341388256413</v>
      </c>
      <c r="L402" s="49">
        <f>K402*G402/F402</f>
        <v>4564.3341388256413</v>
      </c>
      <c r="M402" s="10">
        <v>3.06</v>
      </c>
      <c r="N402" s="50">
        <v>2168852</v>
      </c>
      <c r="O402" s="50">
        <v>1672350</v>
      </c>
      <c r="P402" s="48">
        <f t="shared" si="50"/>
        <v>496502</v>
      </c>
    </row>
    <row r="403" spans="1:16" ht="15.95" customHeight="1" x14ac:dyDescent="0.25">
      <c r="A403" s="20" t="s">
        <v>1079</v>
      </c>
      <c r="B403" s="8" t="s">
        <v>1032</v>
      </c>
      <c r="C403" s="9">
        <v>25026</v>
      </c>
      <c r="D403" s="59">
        <v>34.770000000000003</v>
      </c>
      <c r="E403" s="59">
        <v>33.64</v>
      </c>
      <c r="F403" s="12">
        <v>33.640999999999998</v>
      </c>
      <c r="G403" s="12">
        <v>33.640999999999998</v>
      </c>
      <c r="H403" s="10">
        <v>14.2</v>
      </c>
      <c r="I403" s="13">
        <v>25430.938399999999</v>
      </c>
      <c r="J403" s="13" t="e">
        <f>'[1]TH-Nullára leírt'!I403*'[1]TH-Nullára leírt'!E403/'[1]TH-Nullára leírt'!D403</f>
        <v>#REF!</v>
      </c>
      <c r="K403" s="13">
        <v>24604.45119</v>
      </c>
      <c r="L403" s="49">
        <f>K403*G403/F403</f>
        <v>24604.45119</v>
      </c>
      <c r="M403" s="10">
        <v>15.01</v>
      </c>
      <c r="N403" s="50">
        <v>13670769</v>
      </c>
      <c r="O403" s="50">
        <v>1718047</v>
      </c>
      <c r="P403" s="48">
        <f t="shared" si="50"/>
        <v>11952722</v>
      </c>
    </row>
    <row r="404" spans="1:16" ht="15.95" customHeight="1" x14ac:dyDescent="0.25">
      <c r="A404" s="15" t="s">
        <v>694</v>
      </c>
      <c r="B404" s="8" t="s">
        <v>842</v>
      </c>
      <c r="C404" s="9">
        <v>25027</v>
      </c>
      <c r="D404" s="59">
        <v>19.37</v>
      </c>
      <c r="E404" s="59">
        <v>14.61</v>
      </c>
      <c r="F404" s="12">
        <v>14.436999999999999</v>
      </c>
      <c r="G404" s="12">
        <v>14.436999999999999</v>
      </c>
      <c r="H404" s="10">
        <v>6.28</v>
      </c>
      <c r="I404" s="13">
        <v>9308.9585900000002</v>
      </c>
      <c r="J404" s="13">
        <f>I404*E404/D404</f>
        <v>7021.3673205937021</v>
      </c>
      <c r="K404" s="13">
        <f>J404*F404/E404</f>
        <v>6938.2258731972124</v>
      </c>
      <c r="L404" s="49">
        <f>K404*G404/F404</f>
        <v>6938.2258731972124</v>
      </c>
      <c r="M404" s="10">
        <v>6.28</v>
      </c>
      <c r="N404" s="50">
        <v>4124664.358803987</v>
      </c>
      <c r="O404" s="50">
        <v>3823800</v>
      </c>
      <c r="P404" s="48">
        <f t="shared" si="50"/>
        <v>300864.35880398704</v>
      </c>
    </row>
    <row r="405" spans="1:16" ht="15.95" customHeight="1" x14ac:dyDescent="0.25">
      <c r="A405" s="15" t="s">
        <v>695</v>
      </c>
      <c r="B405" s="8" t="s">
        <v>843</v>
      </c>
      <c r="C405" s="9">
        <v>25028</v>
      </c>
      <c r="D405" s="12">
        <v>20.83</v>
      </c>
      <c r="E405" s="12">
        <v>19.98</v>
      </c>
      <c r="F405" s="12">
        <v>19.98</v>
      </c>
      <c r="G405" s="12">
        <v>19.98</v>
      </c>
      <c r="H405" s="10">
        <v>16.43</v>
      </c>
      <c r="I405" s="13">
        <v>10743</v>
      </c>
      <c r="J405" s="13">
        <f>I405*E405/D405</f>
        <v>10304.615458473358</v>
      </c>
      <c r="K405" s="13">
        <f>J405*F405/E405+177.902</f>
        <v>10482.517458473358</v>
      </c>
      <c r="L405" s="49">
        <f>K405*G405/F405+127.872</f>
        <v>10610.389458473357</v>
      </c>
      <c r="M405" s="10">
        <v>16.43</v>
      </c>
      <c r="N405" s="50">
        <v>12534650</v>
      </c>
      <c r="O405" s="50">
        <v>11348053</v>
      </c>
      <c r="P405" s="48">
        <f t="shared" si="50"/>
        <v>1186597</v>
      </c>
    </row>
    <row r="406" spans="1:16" ht="15.95" customHeight="1" x14ac:dyDescent="0.25">
      <c r="A406" s="20" t="s">
        <v>1071</v>
      </c>
      <c r="B406" s="8" t="s">
        <v>1036</v>
      </c>
      <c r="C406" s="9">
        <v>25031</v>
      </c>
      <c r="D406" s="12">
        <v>36.32</v>
      </c>
      <c r="E406" s="12">
        <f>33.57-3.99</f>
        <v>29.58</v>
      </c>
      <c r="F406" s="12">
        <f>33.57-3.99</f>
        <v>29.58</v>
      </c>
      <c r="G406" s="12">
        <f>24.36-3.99</f>
        <v>20.369999999999997</v>
      </c>
      <c r="H406" s="14">
        <v>16.239999999999998</v>
      </c>
      <c r="I406" s="13">
        <v>1365</v>
      </c>
      <c r="J406" s="13">
        <f>I406*E406/D406</f>
        <v>1111.693281938326</v>
      </c>
      <c r="K406" s="13">
        <f>J406*F406/E406</f>
        <v>1111.693281938326</v>
      </c>
      <c r="L406" s="49">
        <f>K406*G406/F406</f>
        <v>765.55754405286348</v>
      </c>
      <c r="M406" s="14">
        <v>16.239999999999998</v>
      </c>
      <c r="N406" s="50">
        <v>838820</v>
      </c>
      <c r="O406" s="50">
        <v>683414</v>
      </c>
      <c r="P406" s="48">
        <f t="shared" si="50"/>
        <v>155406</v>
      </c>
    </row>
    <row r="407" spans="1:16" ht="15.95" customHeight="1" x14ac:dyDescent="0.25">
      <c r="A407" s="15" t="s">
        <v>697</v>
      </c>
      <c r="B407" s="8" t="s">
        <v>1072</v>
      </c>
      <c r="C407" s="9">
        <v>25032</v>
      </c>
      <c r="D407" s="12">
        <v>23.74</v>
      </c>
      <c r="E407" s="12">
        <v>23.74</v>
      </c>
      <c r="F407" s="12">
        <v>19.64</v>
      </c>
      <c r="G407" s="12">
        <v>19.64</v>
      </c>
      <c r="H407" s="14">
        <v>5.78</v>
      </c>
      <c r="I407" s="13">
        <v>2669</v>
      </c>
      <c r="J407" s="13">
        <f>I407*E407/D407</f>
        <v>2669</v>
      </c>
      <c r="K407" s="13">
        <f>J407*F407/E407</f>
        <v>2208.0522325189559</v>
      </c>
      <c r="L407" s="49">
        <f>K407*G407/F407</f>
        <v>2208.0522325189559</v>
      </c>
      <c r="M407" s="14">
        <v>5.78</v>
      </c>
      <c r="N407" s="50">
        <v>819001</v>
      </c>
      <c r="O407" s="50">
        <v>700840</v>
      </c>
      <c r="P407" s="48">
        <f t="shared" si="50"/>
        <v>118161</v>
      </c>
    </row>
    <row r="408" spans="1:16" ht="15.95" customHeight="1" x14ac:dyDescent="0.25">
      <c r="A408" s="15" t="s">
        <v>699</v>
      </c>
      <c r="B408" s="8" t="s">
        <v>844</v>
      </c>
      <c r="C408" s="9">
        <v>25044</v>
      </c>
      <c r="D408" s="12">
        <v>26.82</v>
      </c>
      <c r="E408" s="12">
        <v>26.82</v>
      </c>
      <c r="F408" s="12">
        <v>16.79</v>
      </c>
      <c r="G408" s="12">
        <v>12.98</v>
      </c>
      <c r="H408" s="10">
        <v>12.98</v>
      </c>
      <c r="I408" s="13">
        <v>4574.1100500000002</v>
      </c>
      <c r="J408" s="13">
        <f>I408*E408/D408</f>
        <v>4574.1100500000002</v>
      </c>
      <c r="K408" s="13">
        <f>J408*F408/E408</f>
        <v>2863.5088642617447</v>
      </c>
      <c r="L408" s="49">
        <f>K408*G408/F408+131.085</f>
        <v>2344.8041815436241</v>
      </c>
      <c r="M408" s="10">
        <v>12.98</v>
      </c>
      <c r="N408" s="50">
        <v>3116290</v>
      </c>
      <c r="O408" s="50">
        <v>2333277</v>
      </c>
      <c r="P408" s="48">
        <f t="shared" si="50"/>
        <v>783013</v>
      </c>
    </row>
    <row r="409" spans="1:16" ht="15.95" customHeight="1" x14ac:dyDescent="0.25">
      <c r="A409" s="20" t="s">
        <v>700</v>
      </c>
      <c r="B409" s="8" t="s">
        <v>845</v>
      </c>
      <c r="C409" s="9">
        <v>25045</v>
      </c>
      <c r="D409" s="12">
        <v>41.83</v>
      </c>
      <c r="E409" s="12">
        <v>40.43</v>
      </c>
      <c r="F409" s="12">
        <v>35.72</v>
      </c>
      <c r="G409" s="12">
        <v>35.72</v>
      </c>
      <c r="H409" s="10">
        <v>24.65</v>
      </c>
      <c r="I409" s="13">
        <v>6461.75414</v>
      </c>
      <c r="J409" s="13">
        <f>I409*E409/D409</f>
        <v>6245.4869682094195</v>
      </c>
      <c r="K409" s="13">
        <f>J409*F409/E409</f>
        <v>5517.9024116853934</v>
      </c>
      <c r="L409" s="49">
        <f>K409*G409/F409</f>
        <v>5517.9024116853934</v>
      </c>
      <c r="M409" s="10">
        <v>24.65</v>
      </c>
      <c r="N409" s="50">
        <v>4643932</v>
      </c>
      <c r="O409" s="50">
        <v>4308607</v>
      </c>
      <c r="P409" s="48">
        <f t="shared" si="50"/>
        <v>335325</v>
      </c>
    </row>
    <row r="410" spans="1:16" ht="15.95" customHeight="1" x14ac:dyDescent="0.25">
      <c r="A410" s="15" t="s">
        <v>702</v>
      </c>
      <c r="B410" s="8" t="s">
        <v>1016</v>
      </c>
      <c r="C410" s="9" t="s">
        <v>1017</v>
      </c>
      <c r="D410" s="12"/>
      <c r="E410" s="12"/>
      <c r="F410" s="12"/>
      <c r="G410" s="12"/>
      <c r="H410" s="10">
        <v>26.3</v>
      </c>
      <c r="I410" s="13"/>
      <c r="J410" s="13"/>
      <c r="K410" s="13"/>
      <c r="L410" s="49"/>
      <c r="M410" s="10">
        <v>26.3</v>
      </c>
      <c r="N410" s="50">
        <v>27053301</v>
      </c>
      <c r="O410" s="50">
        <v>13952330</v>
      </c>
      <c r="P410" s="48">
        <f t="shared" si="50"/>
        <v>13100971</v>
      </c>
    </row>
    <row r="411" spans="1:16" ht="15.95" customHeight="1" x14ac:dyDescent="0.25">
      <c r="A411" s="15" t="s">
        <v>703</v>
      </c>
      <c r="B411" s="8" t="s">
        <v>1078</v>
      </c>
      <c r="C411" s="9" t="s">
        <v>1075</v>
      </c>
      <c r="D411" s="12"/>
      <c r="E411" s="12"/>
      <c r="F411" s="12"/>
      <c r="G411" s="12"/>
      <c r="H411" s="10">
        <v>2.13</v>
      </c>
      <c r="I411" s="13"/>
      <c r="J411" s="13"/>
      <c r="K411" s="13"/>
      <c r="L411" s="49"/>
      <c r="M411" s="10">
        <v>2.13</v>
      </c>
      <c r="N411" s="50">
        <v>6893000</v>
      </c>
      <c r="O411" s="50">
        <v>172986</v>
      </c>
      <c r="P411" s="48">
        <f t="shared" si="50"/>
        <v>6720014</v>
      </c>
    </row>
    <row r="412" spans="1:16" ht="15.95" customHeight="1" x14ac:dyDescent="0.25">
      <c r="A412" s="20" t="s">
        <v>704</v>
      </c>
      <c r="B412" s="8" t="s">
        <v>846</v>
      </c>
      <c r="C412" s="9">
        <v>24818</v>
      </c>
      <c r="D412" s="12">
        <v>75.59</v>
      </c>
      <c r="E412" s="12">
        <v>70.930000000000007</v>
      </c>
      <c r="F412" s="12">
        <v>70.930000000000007</v>
      </c>
      <c r="G412" s="12">
        <v>70.930000000000007</v>
      </c>
      <c r="H412" s="10">
        <v>14.87</v>
      </c>
      <c r="I412" s="13">
        <v>16206.725060000001</v>
      </c>
      <c r="J412" s="13">
        <f>I412*E412/D412-0.00001</f>
        <v>15207.606928825244</v>
      </c>
      <c r="K412" s="13">
        <f t="shared" ref="K412:L427" si="54">J412*F412/E412</f>
        <v>15207.606928825242</v>
      </c>
      <c r="L412" s="49">
        <f t="shared" si="54"/>
        <v>15207.606928825242</v>
      </c>
      <c r="M412" s="10">
        <v>14.87</v>
      </c>
      <c r="N412" s="50">
        <v>5010444</v>
      </c>
      <c r="O412" s="50">
        <v>2912754</v>
      </c>
      <c r="P412" s="48">
        <f t="shared" si="50"/>
        <v>2097690</v>
      </c>
    </row>
    <row r="413" spans="1:16" ht="15.95" customHeight="1" x14ac:dyDescent="0.25">
      <c r="A413" s="15" t="s">
        <v>706</v>
      </c>
      <c r="B413" s="8" t="s">
        <v>847</v>
      </c>
      <c r="C413" s="9">
        <v>24823</v>
      </c>
      <c r="D413" s="12">
        <v>42.82</v>
      </c>
      <c r="E413" s="12">
        <v>38.06</v>
      </c>
      <c r="F413" s="12">
        <v>38.06</v>
      </c>
      <c r="G413" s="12">
        <v>38.06</v>
      </c>
      <c r="H413" s="10">
        <v>22.17</v>
      </c>
      <c r="I413" s="13">
        <v>7696.8208699999996</v>
      </c>
      <c r="J413" s="13">
        <f>I413*E413/D413</f>
        <v>6841.219110513779</v>
      </c>
      <c r="K413" s="13">
        <f t="shared" si="54"/>
        <v>6841.219110513779</v>
      </c>
      <c r="L413" s="49">
        <f t="shared" si="54"/>
        <v>6841.219110513779</v>
      </c>
      <c r="M413" s="10">
        <v>22.17</v>
      </c>
      <c r="N413" s="50">
        <v>6666860</v>
      </c>
      <c r="O413" s="50">
        <v>4474333</v>
      </c>
      <c r="P413" s="48">
        <f t="shared" si="50"/>
        <v>2192527</v>
      </c>
    </row>
    <row r="414" spans="1:16" ht="15.95" customHeight="1" x14ac:dyDescent="0.25">
      <c r="A414" s="15" t="s">
        <v>708</v>
      </c>
      <c r="B414" s="8" t="s">
        <v>848</v>
      </c>
      <c r="C414" s="9" t="s">
        <v>849</v>
      </c>
      <c r="D414" s="12">
        <v>87.7</v>
      </c>
      <c r="E414" s="12">
        <f>75.7-12.3</f>
        <v>63.400000000000006</v>
      </c>
      <c r="F414" s="12">
        <v>50.66</v>
      </c>
      <c r="G414" s="12">
        <f>62.96-12.3</f>
        <v>50.66</v>
      </c>
      <c r="H414" s="10">
        <v>72.81</v>
      </c>
      <c r="I414" s="11">
        <v>57854.364000000001</v>
      </c>
      <c r="J414" s="13">
        <f>I414*E414/D414</f>
        <v>41824.021409350062</v>
      </c>
      <c r="K414" s="13">
        <f t="shared" si="54"/>
        <v>33419.636034663628</v>
      </c>
      <c r="L414" s="49">
        <f t="shared" si="54"/>
        <v>33419.636034663628</v>
      </c>
      <c r="M414" s="10">
        <v>72.81</v>
      </c>
      <c r="N414" s="50">
        <v>90773998</v>
      </c>
      <c r="O414" s="50">
        <v>34107839</v>
      </c>
      <c r="P414" s="48">
        <f t="shared" si="50"/>
        <v>56666159</v>
      </c>
    </row>
    <row r="415" spans="1:16" ht="15.95" customHeight="1" x14ac:dyDescent="0.25">
      <c r="A415" s="20" t="s">
        <v>709</v>
      </c>
      <c r="B415" s="8" t="s">
        <v>1033</v>
      </c>
      <c r="C415" s="9">
        <v>24815</v>
      </c>
      <c r="D415" s="12">
        <v>25.22</v>
      </c>
      <c r="E415" s="12">
        <v>21.51</v>
      </c>
      <c r="F415" s="12">
        <v>21.51</v>
      </c>
      <c r="G415" s="12">
        <v>21.51</v>
      </c>
      <c r="H415" s="14">
        <v>21.51</v>
      </c>
      <c r="I415" s="13">
        <v>2827.7809499999998</v>
      </c>
      <c r="J415" s="13">
        <f>I415*E415/D415</f>
        <v>2411.7988990682002</v>
      </c>
      <c r="K415" s="13">
        <f t="shared" si="54"/>
        <v>2411.7988990682002</v>
      </c>
      <c r="L415" s="49">
        <f t="shared" si="54"/>
        <v>2411.7988990682002</v>
      </c>
      <c r="M415" s="14">
        <v>21.51</v>
      </c>
      <c r="N415" s="50">
        <v>2708378</v>
      </c>
      <c r="O415" s="50">
        <v>2430659</v>
      </c>
      <c r="P415" s="48">
        <f t="shared" si="50"/>
        <v>277719</v>
      </c>
    </row>
    <row r="416" spans="1:16" ht="15.95" customHeight="1" x14ac:dyDescent="0.25">
      <c r="A416" s="15" t="s">
        <v>711</v>
      </c>
      <c r="B416" s="8" t="s">
        <v>850</v>
      </c>
      <c r="C416" s="9" t="s">
        <v>851</v>
      </c>
      <c r="D416" s="12">
        <v>67.34</v>
      </c>
      <c r="E416" s="12">
        <v>64.59</v>
      </c>
      <c r="F416" s="12">
        <v>64.59</v>
      </c>
      <c r="G416" s="12">
        <v>64.59</v>
      </c>
      <c r="H416" s="10">
        <v>42.21</v>
      </c>
      <c r="I416" s="13">
        <v>8326.2926800000005</v>
      </c>
      <c r="J416" s="13">
        <f>I416*E416/D416+0.00001</f>
        <v>7986.267372655183</v>
      </c>
      <c r="K416" s="13">
        <f t="shared" si="54"/>
        <v>7986.267372655183</v>
      </c>
      <c r="L416" s="49">
        <f t="shared" si="54"/>
        <v>7986.267372655183</v>
      </c>
      <c r="M416" s="19">
        <v>42.21</v>
      </c>
      <c r="N416" s="50">
        <v>29612081.699152544</v>
      </c>
      <c r="O416" s="50">
        <v>9157795</v>
      </c>
      <c r="P416" s="48">
        <f t="shared" si="50"/>
        <v>20454286.699152544</v>
      </c>
    </row>
    <row r="417" spans="1:16" ht="15.95" customHeight="1" x14ac:dyDescent="0.25">
      <c r="A417" s="15" t="s">
        <v>712</v>
      </c>
      <c r="B417" s="8" t="s">
        <v>1054</v>
      </c>
      <c r="C417" s="9">
        <v>24863</v>
      </c>
      <c r="D417" s="12">
        <v>11.04</v>
      </c>
      <c r="E417" s="12">
        <v>11.04</v>
      </c>
      <c r="F417" s="12">
        <v>8.7100000000000009</v>
      </c>
      <c r="G417" s="12">
        <v>8.7100000000000009</v>
      </c>
      <c r="H417" s="14">
        <v>5.32</v>
      </c>
      <c r="I417" s="13">
        <v>750</v>
      </c>
      <c r="J417" s="13">
        <f>I417*E417/D417</f>
        <v>750.00000000000011</v>
      </c>
      <c r="K417" s="13">
        <f>J417*F417/E417</f>
        <v>591.71195652173935</v>
      </c>
      <c r="L417" s="49">
        <f>K417*G417/F417</f>
        <v>591.71195652173935</v>
      </c>
      <c r="M417" s="14">
        <v>5.32</v>
      </c>
      <c r="N417" s="50">
        <v>386006</v>
      </c>
      <c r="O417" s="50">
        <v>386006</v>
      </c>
      <c r="P417" s="48">
        <f t="shared" si="50"/>
        <v>0</v>
      </c>
    </row>
    <row r="418" spans="1:16" ht="15.95" customHeight="1" x14ac:dyDescent="0.25">
      <c r="A418" s="20" t="s">
        <v>715</v>
      </c>
      <c r="B418" s="8" t="s">
        <v>852</v>
      </c>
      <c r="C418" s="9">
        <v>24410</v>
      </c>
      <c r="D418" s="12">
        <v>27.26</v>
      </c>
      <c r="E418" s="12">
        <v>27.26</v>
      </c>
      <c r="F418" s="12">
        <v>15.01</v>
      </c>
      <c r="G418" s="12">
        <v>15.01</v>
      </c>
      <c r="H418" s="10">
        <v>0.88</v>
      </c>
      <c r="I418" s="13">
        <v>1684</v>
      </c>
      <c r="J418" s="13">
        <f t="shared" ref="J418:J429" si="55">I418*E418/D418</f>
        <v>1684</v>
      </c>
      <c r="K418" s="13">
        <f t="shared" si="54"/>
        <v>927.25018341892883</v>
      </c>
      <c r="L418" s="49">
        <f t="shared" si="54"/>
        <v>927.25018341892883</v>
      </c>
      <c r="M418" s="10">
        <v>0.88</v>
      </c>
      <c r="N418" s="50">
        <v>69398</v>
      </c>
      <c r="O418" s="50">
        <v>67735</v>
      </c>
      <c r="P418" s="48">
        <f t="shared" si="50"/>
        <v>1663</v>
      </c>
    </row>
    <row r="419" spans="1:16" ht="15.95" customHeight="1" x14ac:dyDescent="0.25">
      <c r="A419" s="15" t="s">
        <v>716</v>
      </c>
      <c r="B419" s="8" t="s">
        <v>853</v>
      </c>
      <c r="C419" s="9">
        <v>24385</v>
      </c>
      <c r="D419" s="12">
        <v>38.5</v>
      </c>
      <c r="E419" s="12">
        <v>38.5</v>
      </c>
      <c r="F419" s="12">
        <v>38.5</v>
      </c>
      <c r="G419" s="12">
        <v>38.5</v>
      </c>
      <c r="H419" s="10">
        <v>6.25</v>
      </c>
      <c r="I419" s="13">
        <v>4428</v>
      </c>
      <c r="J419" s="13">
        <f t="shared" si="55"/>
        <v>4428</v>
      </c>
      <c r="K419" s="13">
        <f t="shared" si="54"/>
        <v>4428</v>
      </c>
      <c r="L419" s="49">
        <f t="shared" si="54"/>
        <v>4428</v>
      </c>
      <c r="M419" s="10">
        <v>6.25</v>
      </c>
      <c r="N419" s="50">
        <v>877413.35227272718</v>
      </c>
      <c r="O419" s="50">
        <v>829145</v>
      </c>
      <c r="P419" s="48">
        <f t="shared" si="50"/>
        <v>48268.352272727177</v>
      </c>
    </row>
    <row r="420" spans="1:16" ht="15.95" customHeight="1" x14ac:dyDescent="0.25">
      <c r="A420" s="15" t="s">
        <v>719</v>
      </c>
      <c r="B420" s="8" t="s">
        <v>854</v>
      </c>
      <c r="C420" s="9">
        <v>24386</v>
      </c>
      <c r="D420" s="12">
        <v>14.69</v>
      </c>
      <c r="E420" s="12">
        <v>12.18</v>
      </c>
      <c r="F420" s="12">
        <v>9.86</v>
      </c>
      <c r="G420" s="12">
        <v>8.99</v>
      </c>
      <c r="H420" s="10">
        <v>2.94</v>
      </c>
      <c r="I420" s="13">
        <v>5422.4167100000004</v>
      </c>
      <c r="J420" s="13">
        <f t="shared" si="55"/>
        <v>4495.9180073383259</v>
      </c>
      <c r="K420" s="13">
        <f t="shared" si="54"/>
        <v>3639.5526726072162</v>
      </c>
      <c r="L420" s="49">
        <f>K420*G420/F420+65.559</f>
        <v>3383.9746720830503</v>
      </c>
      <c r="M420" s="10">
        <v>2.94</v>
      </c>
      <c r="N420" s="50">
        <v>10720725</v>
      </c>
      <c r="O420" s="50">
        <v>3503376</v>
      </c>
      <c r="P420" s="48">
        <f t="shared" si="50"/>
        <v>7217349</v>
      </c>
    </row>
    <row r="421" spans="1:16" ht="15.95" customHeight="1" x14ac:dyDescent="0.25">
      <c r="A421" s="20" t="s">
        <v>722</v>
      </c>
      <c r="B421" s="8" t="s">
        <v>855</v>
      </c>
      <c r="C421" s="9">
        <v>24379</v>
      </c>
      <c r="D421" s="12">
        <v>41.7</v>
      </c>
      <c r="E421" s="12">
        <v>39.340000000000003</v>
      </c>
      <c r="F421" s="12">
        <v>36.409999999999997</v>
      </c>
      <c r="G421" s="12">
        <v>36.409999999999997</v>
      </c>
      <c r="H421" s="10">
        <v>6.2</v>
      </c>
      <c r="I421" s="13">
        <v>5664.1152400000001</v>
      </c>
      <c r="J421" s="13">
        <f t="shared" si="55"/>
        <v>5343.5562000383698</v>
      </c>
      <c r="K421" s="13">
        <f t="shared" si="54"/>
        <v>4945.5740021199035</v>
      </c>
      <c r="L421" s="49">
        <f>K421*G421/F421+534.582</f>
        <v>5480.1560021199039</v>
      </c>
      <c r="M421" s="10">
        <v>6.2</v>
      </c>
      <c r="N421" s="50">
        <v>1671003</v>
      </c>
      <c r="O421" s="50">
        <v>811163</v>
      </c>
      <c r="P421" s="48">
        <f t="shared" si="50"/>
        <v>859840</v>
      </c>
    </row>
    <row r="422" spans="1:16" ht="15.95" customHeight="1" x14ac:dyDescent="0.25">
      <c r="A422" s="15" t="s">
        <v>724</v>
      </c>
      <c r="B422" s="8" t="s">
        <v>856</v>
      </c>
      <c r="C422" s="9">
        <v>24388</v>
      </c>
      <c r="D422" s="12">
        <v>47.93</v>
      </c>
      <c r="E422" s="12">
        <v>46.63</v>
      </c>
      <c r="F422" s="12">
        <v>46.63</v>
      </c>
      <c r="G422" s="12">
        <v>46.63</v>
      </c>
      <c r="H422" s="10">
        <v>20.12</v>
      </c>
      <c r="I422" s="13">
        <v>21154.621999999999</v>
      </c>
      <c r="J422" s="13">
        <f t="shared" si="55"/>
        <v>20580.847566451077</v>
      </c>
      <c r="K422" s="13">
        <f t="shared" si="54"/>
        <v>20580.847566451077</v>
      </c>
      <c r="L422" s="49">
        <f>K422*G422/F422</f>
        <v>20580.847566451077</v>
      </c>
      <c r="M422" s="10">
        <v>17.3</v>
      </c>
      <c r="N422" s="50">
        <v>16265939</v>
      </c>
      <c r="O422" s="50">
        <v>9979539</v>
      </c>
      <c r="P422" s="48">
        <f t="shared" si="50"/>
        <v>6286400</v>
      </c>
    </row>
    <row r="423" spans="1:16" ht="15.95" customHeight="1" x14ac:dyDescent="0.25">
      <c r="A423" s="15" t="s">
        <v>726</v>
      </c>
      <c r="B423" s="8" t="s">
        <v>857</v>
      </c>
      <c r="C423" s="9">
        <v>24334</v>
      </c>
      <c r="D423" s="12">
        <v>14.02</v>
      </c>
      <c r="E423" s="12">
        <v>6.87</v>
      </c>
      <c r="F423" s="12">
        <v>6.87</v>
      </c>
      <c r="G423" s="12">
        <v>6.87</v>
      </c>
      <c r="H423" s="10">
        <v>5.84</v>
      </c>
      <c r="I423" s="13">
        <v>2130.0271299999999</v>
      </c>
      <c r="J423" s="13">
        <f t="shared" si="55"/>
        <v>1043.7436792510698</v>
      </c>
      <c r="K423" s="13">
        <f t="shared" si="54"/>
        <v>1043.7436792510698</v>
      </c>
      <c r="L423" s="49">
        <f>K423*G423/F423</f>
        <v>1043.7436792510698</v>
      </c>
      <c r="M423" s="10">
        <v>5.84</v>
      </c>
      <c r="N423" s="50">
        <v>1584578</v>
      </c>
      <c r="O423" s="50">
        <v>1138536</v>
      </c>
      <c r="P423" s="48">
        <f t="shared" si="50"/>
        <v>446042</v>
      </c>
    </row>
    <row r="424" spans="1:16" ht="15.95" customHeight="1" x14ac:dyDescent="0.25">
      <c r="A424" s="20" t="s">
        <v>728</v>
      </c>
      <c r="B424" s="8" t="s">
        <v>858</v>
      </c>
      <c r="C424" s="9">
        <v>24343</v>
      </c>
      <c r="D424" s="12">
        <v>43.63</v>
      </c>
      <c r="E424" s="12">
        <v>43.63</v>
      </c>
      <c r="F424" s="12">
        <v>43.63</v>
      </c>
      <c r="G424" s="12">
        <v>34.53</v>
      </c>
      <c r="H424" s="10">
        <v>10.53</v>
      </c>
      <c r="I424" s="13">
        <v>5595</v>
      </c>
      <c r="J424" s="13">
        <f t="shared" si="55"/>
        <v>5595</v>
      </c>
      <c r="K424" s="13">
        <f t="shared" si="54"/>
        <v>5595</v>
      </c>
      <c r="L424" s="49">
        <f>K424*G424/F424</f>
        <v>4428.0391932156772</v>
      </c>
      <c r="M424" s="10">
        <v>10.53</v>
      </c>
      <c r="N424" s="50">
        <v>1350327.8001737623</v>
      </c>
      <c r="O424" s="50">
        <v>745594</v>
      </c>
      <c r="P424" s="48">
        <f t="shared" si="50"/>
        <v>604733.80017376225</v>
      </c>
    </row>
    <row r="425" spans="1:16" ht="15.95" customHeight="1" x14ac:dyDescent="0.25">
      <c r="A425" s="15" t="s">
        <v>729</v>
      </c>
      <c r="B425" s="8" t="s">
        <v>859</v>
      </c>
      <c r="C425" s="9">
        <v>24346</v>
      </c>
      <c r="D425" s="12">
        <v>72.69</v>
      </c>
      <c r="E425" s="12">
        <v>72.69</v>
      </c>
      <c r="F425" s="12">
        <v>72.69</v>
      </c>
      <c r="G425" s="12">
        <v>72.69</v>
      </c>
      <c r="H425" s="10">
        <v>51.2</v>
      </c>
      <c r="I425" s="13">
        <v>6877</v>
      </c>
      <c r="J425" s="13">
        <f t="shared" si="55"/>
        <v>6877</v>
      </c>
      <c r="K425" s="13">
        <f t="shared" si="54"/>
        <v>6877</v>
      </c>
      <c r="L425" s="49">
        <f>K425*G425/F425</f>
        <v>6877</v>
      </c>
      <c r="M425" s="10">
        <v>51.2</v>
      </c>
      <c r="N425" s="50">
        <v>7319655</v>
      </c>
      <c r="O425" s="50">
        <v>4084070</v>
      </c>
      <c r="P425" s="48">
        <f t="shared" si="50"/>
        <v>3235585</v>
      </c>
    </row>
    <row r="426" spans="1:16" ht="15.95" customHeight="1" x14ac:dyDescent="0.25">
      <c r="A426" s="15" t="s">
        <v>1080</v>
      </c>
      <c r="B426" s="8" t="s">
        <v>860</v>
      </c>
      <c r="C426" s="9">
        <v>24330</v>
      </c>
      <c r="D426" s="12">
        <v>32.76</v>
      </c>
      <c r="E426" s="12">
        <v>28.67</v>
      </c>
      <c r="F426" s="12">
        <v>28.67</v>
      </c>
      <c r="G426" s="12">
        <v>28.67</v>
      </c>
      <c r="H426" s="10">
        <v>0.66</v>
      </c>
      <c r="I426" s="13">
        <v>6986</v>
      </c>
      <c r="J426" s="13">
        <f t="shared" si="55"/>
        <v>6113.8162393162402</v>
      </c>
      <c r="K426" s="13">
        <f t="shared" si="54"/>
        <v>6113.8162393162411</v>
      </c>
      <c r="L426" s="49">
        <f>K426*G426/F426</f>
        <v>6113.8162393162411</v>
      </c>
      <c r="M426" s="10">
        <v>0.66</v>
      </c>
      <c r="N426" s="50">
        <v>330853</v>
      </c>
      <c r="O426" s="50">
        <v>152611</v>
      </c>
      <c r="P426" s="48">
        <f t="shared" si="50"/>
        <v>178242</v>
      </c>
    </row>
    <row r="427" spans="1:16" ht="15.95" customHeight="1" x14ac:dyDescent="0.25">
      <c r="A427" s="20" t="s">
        <v>731</v>
      </c>
      <c r="B427" s="8" t="s">
        <v>861</v>
      </c>
      <c r="C427" s="9">
        <v>23985</v>
      </c>
      <c r="D427" s="12">
        <v>44.26</v>
      </c>
      <c r="E427" s="12">
        <f>50.2-5.94</f>
        <v>44.260000000000005</v>
      </c>
      <c r="F427" s="12">
        <v>43.12</v>
      </c>
      <c r="G427" s="12">
        <f>50.2-7.08</f>
        <v>43.120000000000005</v>
      </c>
      <c r="H427" s="10">
        <v>17.7</v>
      </c>
      <c r="I427" s="13">
        <v>12464</v>
      </c>
      <c r="J427" s="13">
        <f t="shared" si="55"/>
        <v>12464</v>
      </c>
      <c r="K427" s="13">
        <f t="shared" si="54"/>
        <v>12142.966109353816</v>
      </c>
      <c r="L427" s="49">
        <f>K427*G427/F427+566.256</f>
        <v>12709.222109353817</v>
      </c>
      <c r="M427" s="10">
        <v>17.7</v>
      </c>
      <c r="N427" s="50">
        <v>6596621.595143985</v>
      </c>
      <c r="O427" s="50">
        <v>5418300</v>
      </c>
      <c r="P427" s="48">
        <f t="shared" si="50"/>
        <v>1178321.595143985</v>
      </c>
    </row>
    <row r="428" spans="1:16" ht="15.95" customHeight="1" x14ac:dyDescent="0.25">
      <c r="A428" s="15" t="s">
        <v>732</v>
      </c>
      <c r="B428" s="8" t="s">
        <v>862</v>
      </c>
      <c r="C428" s="9">
        <v>23866</v>
      </c>
      <c r="D428" s="12">
        <v>29.58</v>
      </c>
      <c r="E428" s="12">
        <v>29.58</v>
      </c>
      <c r="F428" s="12">
        <v>29.58</v>
      </c>
      <c r="G428" s="12">
        <v>29.58</v>
      </c>
      <c r="H428" s="10">
        <v>8.4499999999999993</v>
      </c>
      <c r="I428" s="13">
        <v>3551</v>
      </c>
      <c r="J428" s="13">
        <f t="shared" si="55"/>
        <v>3550.9999999999995</v>
      </c>
      <c r="K428" s="13">
        <f>J428*F428/E428+357.781+299.042</f>
        <v>4207.8229999999994</v>
      </c>
      <c r="L428" s="49">
        <f>K428*G428/F428</f>
        <v>4207.8229999999994</v>
      </c>
      <c r="M428" s="10">
        <v>8.4499999999999993</v>
      </c>
      <c r="N428" s="50">
        <v>4673589.7171253823</v>
      </c>
      <c r="O428" s="50">
        <v>1967027</v>
      </c>
      <c r="P428" s="48">
        <f t="shared" si="50"/>
        <v>2706562.7171253823</v>
      </c>
    </row>
    <row r="429" spans="1:16" ht="15.95" customHeight="1" x14ac:dyDescent="0.25">
      <c r="A429" s="15" t="s">
        <v>734</v>
      </c>
      <c r="B429" s="8" t="s">
        <v>863</v>
      </c>
      <c r="C429" s="9">
        <v>23984</v>
      </c>
      <c r="D429" s="12">
        <v>27.65</v>
      </c>
      <c r="E429" s="12">
        <v>23.64</v>
      </c>
      <c r="F429" s="12">
        <v>17</v>
      </c>
      <c r="G429" s="12">
        <v>18.670000000000002</v>
      </c>
      <c r="H429" s="10">
        <v>1.43</v>
      </c>
      <c r="I429" s="13">
        <v>8270.5840000000007</v>
      </c>
      <c r="J429" s="13">
        <f t="shared" si="55"/>
        <v>7071.124982278483</v>
      </c>
      <c r="K429" s="13">
        <f>J429*F429/E429</f>
        <v>5084.9883544303812</v>
      </c>
      <c r="L429" s="49">
        <f>K429*G429/F429</f>
        <v>5584.5136810126605</v>
      </c>
      <c r="M429" s="10">
        <v>1.43</v>
      </c>
      <c r="N429" s="50">
        <v>1156766</v>
      </c>
      <c r="O429" s="50">
        <v>616236</v>
      </c>
      <c r="P429" s="48">
        <f t="shared" si="50"/>
        <v>540530</v>
      </c>
    </row>
    <row r="430" spans="1:16" ht="15.95" customHeight="1" x14ac:dyDescent="0.25">
      <c r="A430" s="20" t="s">
        <v>737</v>
      </c>
      <c r="B430" s="8" t="s">
        <v>864</v>
      </c>
      <c r="C430" s="9">
        <v>23880</v>
      </c>
      <c r="D430" s="12">
        <v>29.42</v>
      </c>
      <c r="E430" s="12">
        <f>27.34-2</f>
        <v>25.34</v>
      </c>
      <c r="F430" s="12">
        <f>26.09-2</f>
        <v>24.09</v>
      </c>
      <c r="G430" s="12">
        <f>26.09-2</f>
        <v>24.09</v>
      </c>
      <c r="H430" s="10">
        <v>10.49</v>
      </c>
      <c r="I430" s="13">
        <v>3878.1257799999998</v>
      </c>
      <c r="J430" s="13">
        <f>I430*E430/D430+0.00001</f>
        <v>3340.3027722433717</v>
      </c>
      <c r="K430" s="13">
        <f>J430*F430/E430</f>
        <v>3175.5285628785646</v>
      </c>
      <c r="L430" s="49">
        <f>K430*G430/F430</f>
        <v>3175.5285628785646</v>
      </c>
      <c r="M430" s="10">
        <v>10.49</v>
      </c>
      <c r="N430" s="50">
        <v>6308136</v>
      </c>
      <c r="O430" s="50">
        <v>2522568</v>
      </c>
      <c r="P430" s="48">
        <f t="shared" si="50"/>
        <v>3785568</v>
      </c>
    </row>
    <row r="431" spans="1:16" ht="15.95" customHeight="1" x14ac:dyDescent="0.25">
      <c r="A431" s="15" t="s">
        <v>739</v>
      </c>
      <c r="B431" s="8" t="s">
        <v>865</v>
      </c>
      <c r="C431" s="9">
        <v>23891</v>
      </c>
      <c r="D431" s="12">
        <v>28.6</v>
      </c>
      <c r="E431" s="12">
        <v>28.6</v>
      </c>
      <c r="F431" s="12">
        <v>10.1</v>
      </c>
      <c r="G431" s="12">
        <v>10.1</v>
      </c>
      <c r="H431" s="10">
        <v>5.5</v>
      </c>
      <c r="I431" s="13">
        <v>1679.489</v>
      </c>
      <c r="J431" s="13">
        <f>I431*E431/D431</f>
        <v>1679.489</v>
      </c>
      <c r="K431" s="13">
        <f>J431*F431/E431</f>
        <v>593.10625524475518</v>
      </c>
      <c r="L431" s="49">
        <f>K431*G431/F431+55.797</f>
        <v>648.9032552447552</v>
      </c>
      <c r="M431" s="10">
        <v>5.5</v>
      </c>
      <c r="N431" s="50">
        <v>526829</v>
      </c>
      <c r="O431" s="50">
        <v>456588</v>
      </c>
      <c r="P431" s="48">
        <f t="shared" ref="P431:P488" si="56">N431-O431</f>
        <v>70241</v>
      </c>
    </row>
    <row r="432" spans="1:16" ht="15.95" customHeight="1" x14ac:dyDescent="0.25">
      <c r="A432" s="15" t="s">
        <v>740</v>
      </c>
      <c r="B432" s="8" t="s">
        <v>1034</v>
      </c>
      <c r="C432" s="9">
        <v>23963</v>
      </c>
      <c r="D432" s="12">
        <v>14.85</v>
      </c>
      <c r="E432" s="12">
        <v>14.85</v>
      </c>
      <c r="F432" s="12">
        <v>7.74</v>
      </c>
      <c r="G432" s="12">
        <v>7.74</v>
      </c>
      <c r="H432" s="10">
        <v>2.37</v>
      </c>
      <c r="I432" s="13">
        <v>3433.2530000000002</v>
      </c>
      <c r="J432" s="13" t="e">
        <f>'[1]TH-Nullára leírt'!I440*'[1]TH-Nullára leírt'!E440/'[1]TH-Nullára leírt'!D440</f>
        <v>#REF!</v>
      </c>
      <c r="K432" s="13" t="e">
        <f>'[1]TH-Nullára leírt'!J440*'[1]TH-Nullára leírt'!F440/'[1]TH-Nullára leírt'!E440</f>
        <v>#REF!</v>
      </c>
      <c r="L432" s="49" t="e">
        <f>K432*G432/F432</f>
        <v>#REF!</v>
      </c>
      <c r="M432" s="10">
        <v>2.37</v>
      </c>
      <c r="N432" s="50">
        <v>609734</v>
      </c>
      <c r="O432" s="50">
        <v>71578</v>
      </c>
      <c r="P432" s="48">
        <f t="shared" si="56"/>
        <v>538156</v>
      </c>
    </row>
    <row r="433" spans="1:16" ht="15.95" customHeight="1" x14ac:dyDescent="0.25">
      <c r="A433" s="20" t="s">
        <v>1050</v>
      </c>
      <c r="B433" s="8" t="s">
        <v>866</v>
      </c>
      <c r="C433" s="9">
        <v>23894</v>
      </c>
      <c r="D433" s="12">
        <v>31.07</v>
      </c>
      <c r="E433" s="12">
        <v>7.83</v>
      </c>
      <c r="F433" s="12">
        <v>4.25</v>
      </c>
      <c r="G433" s="12">
        <v>4.25</v>
      </c>
      <c r="H433" s="10">
        <v>1.68</v>
      </c>
      <c r="I433" s="13">
        <v>1796.0429999999999</v>
      </c>
      <c r="J433" s="13">
        <f t="shared" ref="J433:L446" si="57">I433*E433/D433</f>
        <v>452.62364628258763</v>
      </c>
      <c r="K433" s="13">
        <f t="shared" si="57"/>
        <v>245.67694721596391</v>
      </c>
      <c r="L433" s="49">
        <f>K433*G433/F433+21.219+7.049</f>
        <v>273.94494721596385</v>
      </c>
      <c r="M433" s="10">
        <v>1.68</v>
      </c>
      <c r="N433" s="50">
        <v>171598</v>
      </c>
      <c r="O433" s="50">
        <v>147799</v>
      </c>
      <c r="P433" s="48">
        <f t="shared" si="56"/>
        <v>23799</v>
      </c>
    </row>
    <row r="434" spans="1:16" ht="15.95" customHeight="1" x14ac:dyDescent="0.25">
      <c r="A434" s="15" t="s">
        <v>742</v>
      </c>
      <c r="B434" s="8" t="s">
        <v>867</v>
      </c>
      <c r="C434" s="9" t="s">
        <v>868</v>
      </c>
      <c r="D434" s="12">
        <v>52.36</v>
      </c>
      <c r="E434" s="12">
        <v>28.27</v>
      </c>
      <c r="F434" s="12">
        <v>24.73</v>
      </c>
      <c r="G434" s="12">
        <v>24.73</v>
      </c>
      <c r="H434" s="10">
        <v>5.91</v>
      </c>
      <c r="I434" s="13">
        <v>5002.4116000000004</v>
      </c>
      <c r="J434" s="13">
        <f t="shared" si="57"/>
        <v>2700.8818932773111</v>
      </c>
      <c r="K434" s="13">
        <f t="shared" si="57"/>
        <v>2362.6745391138274</v>
      </c>
      <c r="L434" s="49">
        <f t="shared" si="57"/>
        <v>2362.6745391138274</v>
      </c>
      <c r="M434" s="10">
        <v>5.91</v>
      </c>
      <c r="N434" s="50">
        <v>1334698</v>
      </c>
      <c r="O434" s="50">
        <v>772767</v>
      </c>
      <c r="P434" s="48">
        <f t="shared" si="56"/>
        <v>561931</v>
      </c>
    </row>
    <row r="435" spans="1:16" ht="15.95" customHeight="1" x14ac:dyDescent="0.25">
      <c r="A435" s="15" t="s">
        <v>744</v>
      </c>
      <c r="B435" s="8" t="s">
        <v>869</v>
      </c>
      <c r="C435" s="9">
        <v>23899</v>
      </c>
      <c r="D435" s="12">
        <v>29.24</v>
      </c>
      <c r="E435" s="12">
        <v>16.100000000000001</v>
      </c>
      <c r="F435" s="12">
        <v>16.100000000000001</v>
      </c>
      <c r="G435" s="12">
        <v>16.100000000000001</v>
      </c>
      <c r="H435" s="10">
        <v>5.05</v>
      </c>
      <c r="I435" s="13">
        <v>2248</v>
      </c>
      <c r="J435" s="13">
        <f t="shared" si="57"/>
        <v>1237.7838577291384</v>
      </c>
      <c r="K435" s="13">
        <f t="shared" si="57"/>
        <v>1237.7838577291384</v>
      </c>
      <c r="L435" s="49">
        <f t="shared" si="57"/>
        <v>1237.7838577291384</v>
      </c>
      <c r="M435" s="10">
        <v>5.05</v>
      </c>
      <c r="N435" s="50">
        <v>944947</v>
      </c>
      <c r="O435" s="50">
        <v>414284</v>
      </c>
      <c r="P435" s="48">
        <f t="shared" si="56"/>
        <v>530663</v>
      </c>
    </row>
    <row r="436" spans="1:16" ht="15.95" customHeight="1" x14ac:dyDescent="0.25">
      <c r="A436" s="20" t="s">
        <v>953</v>
      </c>
      <c r="B436" s="8" t="s">
        <v>870</v>
      </c>
      <c r="C436" s="9" t="s">
        <v>871</v>
      </c>
      <c r="D436" s="12">
        <v>38.24</v>
      </c>
      <c r="E436" s="12">
        <v>28.68</v>
      </c>
      <c r="F436" s="12">
        <v>23.99</v>
      </c>
      <c r="G436" s="12">
        <v>21.09</v>
      </c>
      <c r="H436" s="10">
        <v>6.85</v>
      </c>
      <c r="I436" s="13">
        <v>14324.751</v>
      </c>
      <c r="J436" s="13">
        <f t="shared" si="57"/>
        <v>10743.563249999999</v>
      </c>
      <c r="K436" s="13">
        <f t="shared" si="57"/>
        <v>8986.6834856171536</v>
      </c>
      <c r="L436" s="49">
        <f t="shared" si="57"/>
        <v>7900.3399212866098</v>
      </c>
      <c r="M436" s="10">
        <v>6.85</v>
      </c>
      <c r="N436" s="50">
        <v>5458998</v>
      </c>
      <c r="O436" s="50">
        <v>3884084</v>
      </c>
      <c r="P436" s="48">
        <f t="shared" si="56"/>
        <v>1574914</v>
      </c>
    </row>
    <row r="437" spans="1:16" ht="15.95" customHeight="1" x14ac:dyDescent="0.25">
      <c r="A437" s="15" t="s">
        <v>746</v>
      </c>
      <c r="B437" s="8" t="s">
        <v>1082</v>
      </c>
      <c r="C437" s="9" t="s">
        <v>1083</v>
      </c>
      <c r="D437" s="12"/>
      <c r="E437" s="12"/>
      <c r="F437" s="12"/>
      <c r="G437" s="12"/>
      <c r="H437" s="10">
        <v>14.44</v>
      </c>
      <c r="I437" s="13"/>
      <c r="J437" s="13"/>
      <c r="K437" s="13"/>
      <c r="L437" s="49"/>
      <c r="M437" s="10">
        <v>14.44</v>
      </c>
      <c r="N437" s="50">
        <v>7344670</v>
      </c>
      <c r="O437" s="50">
        <v>1271208</v>
      </c>
      <c r="P437" s="48">
        <f t="shared" si="56"/>
        <v>6073462</v>
      </c>
    </row>
    <row r="438" spans="1:16" ht="15.95" customHeight="1" x14ac:dyDescent="0.25">
      <c r="A438" s="15" t="s">
        <v>939</v>
      </c>
      <c r="B438" s="8" t="s">
        <v>928</v>
      </c>
      <c r="C438" s="9" t="s">
        <v>929</v>
      </c>
      <c r="D438" s="12">
        <v>100</v>
      </c>
      <c r="E438" s="12">
        <v>100</v>
      </c>
      <c r="F438" s="12">
        <v>48.75</v>
      </c>
      <c r="G438" s="12">
        <v>48.75</v>
      </c>
      <c r="H438" s="10">
        <v>1.42</v>
      </c>
      <c r="I438" s="13">
        <v>8140.0709999999999</v>
      </c>
      <c r="J438" s="13">
        <f t="shared" si="57"/>
        <v>8140.0709999999999</v>
      </c>
      <c r="K438" s="13">
        <f t="shared" si="57"/>
        <v>3968.2846125000001</v>
      </c>
      <c r="L438" s="49">
        <f t="shared" si="57"/>
        <v>3968.2846125000001</v>
      </c>
      <c r="M438" s="10">
        <v>1.42</v>
      </c>
      <c r="N438" s="50">
        <v>904898</v>
      </c>
      <c r="O438" s="50">
        <v>288699</v>
      </c>
      <c r="P438" s="48">
        <f t="shared" si="56"/>
        <v>616199</v>
      </c>
    </row>
    <row r="439" spans="1:16" ht="15.95" customHeight="1" x14ac:dyDescent="0.25">
      <c r="A439" s="20" t="s">
        <v>747</v>
      </c>
      <c r="B439" s="8" t="s">
        <v>872</v>
      </c>
      <c r="C439" s="9">
        <v>23959</v>
      </c>
      <c r="D439" s="12">
        <v>9.5500000000000007</v>
      </c>
      <c r="E439" s="12">
        <v>9.5500000000000007</v>
      </c>
      <c r="F439" s="12">
        <v>9.5500000000000007</v>
      </c>
      <c r="G439" s="12">
        <v>9.5500000000000007</v>
      </c>
      <c r="H439" s="10">
        <v>3.44</v>
      </c>
      <c r="I439" s="13">
        <v>649.4</v>
      </c>
      <c r="J439" s="13">
        <f t="shared" si="57"/>
        <v>649.4</v>
      </c>
      <c r="K439" s="13">
        <f t="shared" si="57"/>
        <v>649.4</v>
      </c>
      <c r="L439" s="49">
        <f t="shared" si="57"/>
        <v>649.4</v>
      </c>
      <c r="M439" s="10">
        <v>3.44</v>
      </c>
      <c r="N439" s="50">
        <v>539951</v>
      </c>
      <c r="O439" s="50">
        <v>350342</v>
      </c>
      <c r="P439" s="48">
        <f t="shared" si="56"/>
        <v>189609</v>
      </c>
    </row>
    <row r="440" spans="1:16" ht="15.95" customHeight="1" x14ac:dyDescent="0.25">
      <c r="A440" s="15" t="s">
        <v>749</v>
      </c>
      <c r="B440" s="8" t="s">
        <v>873</v>
      </c>
      <c r="C440" s="9">
        <v>23910</v>
      </c>
      <c r="D440" s="12">
        <v>17.02</v>
      </c>
      <c r="E440" s="12">
        <v>17.02</v>
      </c>
      <c r="F440" s="12">
        <v>17.02</v>
      </c>
      <c r="G440" s="12">
        <v>17.02</v>
      </c>
      <c r="H440" s="10">
        <v>2.46</v>
      </c>
      <c r="I440" s="13">
        <v>1648.85565</v>
      </c>
      <c r="J440" s="13">
        <f t="shared" si="57"/>
        <v>1648.85565</v>
      </c>
      <c r="K440" s="13">
        <f t="shared" si="57"/>
        <v>1648.85565</v>
      </c>
      <c r="L440" s="49">
        <f>K440*G440/F440+881.95</f>
        <v>2530.8056500000002</v>
      </c>
      <c r="M440" s="10">
        <v>2.46</v>
      </c>
      <c r="N440" s="50">
        <v>627057</v>
      </c>
      <c r="O440" s="50">
        <v>396591</v>
      </c>
      <c r="P440" s="48">
        <f t="shared" si="56"/>
        <v>230466</v>
      </c>
    </row>
    <row r="441" spans="1:16" ht="15.95" customHeight="1" x14ac:dyDescent="0.25">
      <c r="A441" s="15" t="s">
        <v>751</v>
      </c>
      <c r="B441" s="8" t="s">
        <v>874</v>
      </c>
      <c r="C441" s="9">
        <v>23946</v>
      </c>
      <c r="D441" s="12">
        <f>33.34</f>
        <v>33.340000000000003</v>
      </c>
      <c r="E441" s="12">
        <f>9.56-0.61</f>
        <v>8.9500000000000011</v>
      </c>
      <c r="F441" s="12">
        <f>9.56-0.61</f>
        <v>8.9500000000000011</v>
      </c>
      <c r="G441" s="12">
        <f>10.17-0.61</f>
        <v>9.56</v>
      </c>
      <c r="H441" s="10">
        <v>4.49</v>
      </c>
      <c r="I441" s="13">
        <v>10284.873</v>
      </c>
      <c r="J441" s="13">
        <f t="shared" si="57"/>
        <v>2760.9362132573488</v>
      </c>
      <c r="K441" s="13">
        <f t="shared" si="57"/>
        <v>2760.9362132573488</v>
      </c>
      <c r="L441" s="49">
        <f>K441*G441/F441+360.324+680.87+224.096</f>
        <v>4214.4017540491905</v>
      </c>
      <c r="M441" s="10">
        <v>4.49</v>
      </c>
      <c r="N441" s="50">
        <v>2089056</v>
      </c>
      <c r="O441" s="50">
        <v>1554166</v>
      </c>
      <c r="P441" s="48">
        <f t="shared" si="56"/>
        <v>534890</v>
      </c>
    </row>
    <row r="442" spans="1:16" ht="15.95" customHeight="1" x14ac:dyDescent="0.25">
      <c r="A442" s="20" t="s">
        <v>754</v>
      </c>
      <c r="B442" s="8" t="s">
        <v>875</v>
      </c>
      <c r="C442" s="9" t="s">
        <v>876</v>
      </c>
      <c r="D442" s="12">
        <v>21.13</v>
      </c>
      <c r="E442" s="12">
        <v>19.41</v>
      </c>
      <c r="F442" s="12">
        <v>8.43</v>
      </c>
      <c r="G442" s="12">
        <v>8.43</v>
      </c>
      <c r="H442" s="10">
        <v>0.44</v>
      </c>
      <c r="I442" s="13">
        <v>8068.8842000000004</v>
      </c>
      <c r="J442" s="13">
        <f t="shared" si="57"/>
        <v>7412.0701524846208</v>
      </c>
      <c r="K442" s="13">
        <f t="shared" si="57"/>
        <v>3219.1525700899201</v>
      </c>
      <c r="L442" s="49">
        <f>K442*G442/F442</f>
        <v>3219.1525700899201</v>
      </c>
      <c r="M442" s="10">
        <v>0.44</v>
      </c>
      <c r="N442" s="50">
        <v>347235</v>
      </c>
      <c r="O442" s="50">
        <v>200996</v>
      </c>
      <c r="P442" s="48">
        <f t="shared" si="56"/>
        <v>146239</v>
      </c>
    </row>
    <row r="443" spans="1:16" ht="15.95" customHeight="1" x14ac:dyDescent="0.25">
      <c r="A443" s="15" t="s">
        <v>756</v>
      </c>
      <c r="B443" s="8" t="s">
        <v>877</v>
      </c>
      <c r="C443" s="9">
        <v>23938</v>
      </c>
      <c r="D443" s="12">
        <v>18.670000000000002</v>
      </c>
      <c r="E443" s="12">
        <v>18.670000000000002</v>
      </c>
      <c r="F443" s="12">
        <v>15.04</v>
      </c>
      <c r="G443" s="12">
        <v>15.04</v>
      </c>
      <c r="H443" s="10">
        <v>5.53</v>
      </c>
      <c r="I443" s="13">
        <v>2724.4360000000001</v>
      </c>
      <c r="J443" s="13">
        <f t="shared" si="57"/>
        <v>2724.4360000000001</v>
      </c>
      <c r="K443" s="13">
        <f t="shared" si="57"/>
        <v>2194.7250905195501</v>
      </c>
      <c r="L443" s="49">
        <f>K443*G443/F443+97.76</f>
        <v>2292.4850905195503</v>
      </c>
      <c r="M443" s="10">
        <v>5.53</v>
      </c>
      <c r="N443" s="50">
        <v>1729166</v>
      </c>
      <c r="O443" s="50">
        <v>1117969</v>
      </c>
      <c r="P443" s="48">
        <f t="shared" si="56"/>
        <v>611197</v>
      </c>
    </row>
    <row r="444" spans="1:16" ht="15.95" customHeight="1" x14ac:dyDescent="0.25">
      <c r="A444" s="15" t="s">
        <v>758</v>
      </c>
      <c r="B444" s="8" t="s">
        <v>878</v>
      </c>
      <c r="C444" s="9">
        <v>23926</v>
      </c>
      <c r="D444" s="12">
        <v>38.24</v>
      </c>
      <c r="E444" s="12">
        <v>35.25</v>
      </c>
      <c r="F444" s="12">
        <v>35.25</v>
      </c>
      <c r="G444" s="12">
        <v>35.25</v>
      </c>
      <c r="H444" s="10">
        <v>22.56</v>
      </c>
      <c r="I444" s="13">
        <v>4845</v>
      </c>
      <c r="J444" s="13">
        <f t="shared" si="57"/>
        <v>4466.1676255230122</v>
      </c>
      <c r="K444" s="13">
        <f t="shared" si="57"/>
        <v>4466.1676255230122</v>
      </c>
      <c r="L444" s="49">
        <f>K444*G444/F444+100.92</f>
        <v>4567.0876255230123</v>
      </c>
      <c r="M444" s="10">
        <v>23.88</v>
      </c>
      <c r="N444" s="50">
        <v>17777793</v>
      </c>
      <c r="O444" s="50">
        <v>7402860</v>
      </c>
      <c r="P444" s="48">
        <f t="shared" si="56"/>
        <v>10374933</v>
      </c>
    </row>
    <row r="445" spans="1:16" ht="15.95" customHeight="1" x14ac:dyDescent="0.25">
      <c r="A445" s="20" t="s">
        <v>760</v>
      </c>
      <c r="B445" s="8" t="s">
        <v>879</v>
      </c>
      <c r="C445" s="9">
        <v>23931</v>
      </c>
      <c r="D445" s="12">
        <v>25.7</v>
      </c>
      <c r="E445" s="12">
        <v>25.7</v>
      </c>
      <c r="F445" s="12">
        <v>16.850000000000001</v>
      </c>
      <c r="G445" s="12">
        <v>15.71</v>
      </c>
      <c r="H445" s="10">
        <v>7.24</v>
      </c>
      <c r="I445" s="13">
        <v>4316.0910000000003</v>
      </c>
      <c r="J445" s="13">
        <f t="shared" si="57"/>
        <v>4316.0910000000003</v>
      </c>
      <c r="K445" s="13">
        <f t="shared" si="57"/>
        <v>2829.8106361867713</v>
      </c>
      <c r="L445" s="49">
        <f>K445*G445/F445+293.62</f>
        <v>2931.9775723735411</v>
      </c>
      <c r="M445" s="10">
        <v>7.24</v>
      </c>
      <c r="N445" s="50">
        <v>2074859</v>
      </c>
      <c r="O445" s="50">
        <v>1758763</v>
      </c>
      <c r="P445" s="48">
        <f t="shared" si="56"/>
        <v>316096</v>
      </c>
    </row>
    <row r="446" spans="1:16" ht="15.95" customHeight="1" x14ac:dyDescent="0.25">
      <c r="A446" s="15" t="s">
        <v>761</v>
      </c>
      <c r="B446" s="8" t="s">
        <v>880</v>
      </c>
      <c r="C446" s="9">
        <v>24072</v>
      </c>
      <c r="D446" s="12">
        <v>40.9</v>
      </c>
      <c r="E446" s="12">
        <v>32.99</v>
      </c>
      <c r="F446" s="12">
        <v>32.99</v>
      </c>
      <c r="G446" s="12">
        <v>32.99</v>
      </c>
      <c r="H446" s="10">
        <v>27.75</v>
      </c>
      <c r="I446" s="13">
        <v>6881</v>
      </c>
      <c r="J446" s="13">
        <f t="shared" si="57"/>
        <v>5550.2246943765285</v>
      </c>
      <c r="K446" s="13">
        <f t="shared" si="57"/>
        <v>5550.2246943765285</v>
      </c>
      <c r="L446" s="49">
        <f>K446*G446/F446+356.909</f>
        <v>5907.1336943765282</v>
      </c>
      <c r="M446" s="10">
        <v>26.15</v>
      </c>
      <c r="N446" s="50">
        <v>7366347</v>
      </c>
      <c r="O446" s="50">
        <v>6224358</v>
      </c>
      <c r="P446" s="48">
        <f t="shared" si="56"/>
        <v>1141989</v>
      </c>
    </row>
    <row r="447" spans="1:16" ht="15.95" customHeight="1" x14ac:dyDescent="0.25">
      <c r="A447" s="15" t="s">
        <v>764</v>
      </c>
      <c r="B447" s="8" t="s">
        <v>881</v>
      </c>
      <c r="C447" s="9">
        <v>24073</v>
      </c>
      <c r="D447" s="12">
        <v>29.97</v>
      </c>
      <c r="E447" s="12">
        <v>26.98</v>
      </c>
      <c r="F447" s="12">
        <v>25.81</v>
      </c>
      <c r="G447" s="12">
        <v>25.81</v>
      </c>
      <c r="H447" s="10">
        <v>8.8800000000000008</v>
      </c>
      <c r="I447" s="13">
        <v>7252.7262099999998</v>
      </c>
      <c r="J447" s="13">
        <f>I447*E447/D447-0.00001</f>
        <v>6529.1475757791122</v>
      </c>
      <c r="K447" s="13">
        <f>J447*F447/E447</f>
        <v>6246.0081145611148</v>
      </c>
      <c r="L447" s="49">
        <f>K447*G447/F447</f>
        <v>6246.0081145611148</v>
      </c>
      <c r="M447" s="10">
        <v>4.08</v>
      </c>
      <c r="N447" s="50">
        <v>3433757</v>
      </c>
      <c r="O447" s="50">
        <v>999494</v>
      </c>
      <c r="P447" s="48">
        <f t="shared" si="56"/>
        <v>2434263</v>
      </c>
    </row>
    <row r="448" spans="1:16" ht="15.95" customHeight="1" x14ac:dyDescent="0.25">
      <c r="A448" s="20" t="s">
        <v>765</v>
      </c>
      <c r="B448" s="8" t="s">
        <v>882</v>
      </c>
      <c r="C448" s="9" t="s">
        <v>883</v>
      </c>
      <c r="D448" s="12">
        <v>55.35</v>
      </c>
      <c r="E448" s="12">
        <f>62.92-1.64-3.18-2.75</f>
        <v>55.35</v>
      </c>
      <c r="F448" s="12">
        <f>62.65-1.64-3.18-2.75</f>
        <v>55.08</v>
      </c>
      <c r="G448" s="12">
        <f>62.65-1.64-3.18-2.75</f>
        <v>55.08</v>
      </c>
      <c r="H448" s="10">
        <v>35.369999999999997</v>
      </c>
      <c r="I448" s="13">
        <v>15495.46243</v>
      </c>
      <c r="J448" s="13">
        <f>I448*E448/D448</f>
        <v>15495.462429999998</v>
      </c>
      <c r="K448" s="13">
        <f>J448*F448/E448</f>
        <v>15419.874808390241</v>
      </c>
      <c r="L448" s="49">
        <f>K448*G448/F448</f>
        <v>15419.874808390243</v>
      </c>
      <c r="M448" s="10">
        <v>35.369999999999997</v>
      </c>
      <c r="N448" s="50">
        <v>28266524</v>
      </c>
      <c r="O448" s="50">
        <v>13615220</v>
      </c>
      <c r="P448" s="48">
        <f t="shared" si="56"/>
        <v>14651304</v>
      </c>
    </row>
    <row r="449" spans="1:16" ht="15.95" customHeight="1" x14ac:dyDescent="0.25">
      <c r="A449" s="15" t="s">
        <v>766</v>
      </c>
      <c r="B449" s="8" t="s">
        <v>884</v>
      </c>
      <c r="C449" s="9">
        <v>24076</v>
      </c>
      <c r="D449" s="12">
        <v>45.36</v>
      </c>
      <c r="E449" s="12">
        <v>42.71</v>
      </c>
      <c r="F449" s="12">
        <v>46.8</v>
      </c>
      <c r="G449" s="12">
        <v>46.8</v>
      </c>
      <c r="H449" s="10">
        <v>24.87</v>
      </c>
      <c r="I449" s="13">
        <v>5599</v>
      </c>
      <c r="J449" s="13">
        <f t="shared" ref="J449:L453" si="58">I449*E449/D449</f>
        <v>5271.8979276895943</v>
      </c>
      <c r="K449" s="13">
        <f t="shared" si="58"/>
        <v>5776.7460317460309</v>
      </c>
      <c r="L449" s="49">
        <f t="shared" si="58"/>
        <v>5776.74603174603</v>
      </c>
      <c r="M449" s="10">
        <v>24.87</v>
      </c>
      <c r="N449" s="50">
        <v>4132367</v>
      </c>
      <c r="O449" s="50">
        <v>3664917</v>
      </c>
      <c r="P449" s="48">
        <f t="shared" si="56"/>
        <v>467450</v>
      </c>
    </row>
    <row r="450" spans="1:16" ht="15.95" customHeight="1" x14ac:dyDescent="0.25">
      <c r="A450" s="15" t="s">
        <v>768</v>
      </c>
      <c r="B450" s="8" t="s">
        <v>885</v>
      </c>
      <c r="C450" s="9">
        <v>24262</v>
      </c>
      <c r="D450" s="12">
        <v>8.0500000000000007</v>
      </c>
      <c r="E450" s="12">
        <v>8.0500000000000007</v>
      </c>
      <c r="F450" s="12">
        <v>8.0500000000000007</v>
      </c>
      <c r="G450" s="12">
        <v>8.0500000000000007</v>
      </c>
      <c r="H450" s="10">
        <v>6.57</v>
      </c>
      <c r="I450" s="13">
        <v>966.38199999999995</v>
      </c>
      <c r="J450" s="13">
        <f t="shared" si="58"/>
        <v>966.38199999999995</v>
      </c>
      <c r="K450" s="13">
        <f t="shared" si="58"/>
        <v>966.38199999999995</v>
      </c>
      <c r="L450" s="49">
        <f t="shared" si="58"/>
        <v>966.38199999999995</v>
      </c>
      <c r="M450" s="10">
        <v>6.57</v>
      </c>
      <c r="N450" s="50">
        <v>928188</v>
      </c>
      <c r="O450" s="50">
        <v>854191</v>
      </c>
      <c r="P450" s="48">
        <f t="shared" si="56"/>
        <v>73997</v>
      </c>
    </row>
    <row r="451" spans="1:16" ht="15.95" customHeight="1" x14ac:dyDescent="0.25">
      <c r="A451" s="20" t="s">
        <v>770</v>
      </c>
      <c r="B451" s="8" t="s">
        <v>886</v>
      </c>
      <c r="C451" s="9">
        <v>24264</v>
      </c>
      <c r="D451" s="12">
        <v>88.1</v>
      </c>
      <c r="E451" s="12">
        <v>82.6</v>
      </c>
      <c r="F451" s="12">
        <v>82.6</v>
      </c>
      <c r="G451" s="12">
        <v>82.6</v>
      </c>
      <c r="H451" s="10">
        <v>80.239999999999995</v>
      </c>
      <c r="I451" s="13">
        <v>6004.5772900000002</v>
      </c>
      <c r="J451" s="13">
        <f>I451*E451/D451-0.00001</f>
        <v>5629.7171767650398</v>
      </c>
      <c r="K451" s="13">
        <f t="shared" si="58"/>
        <v>5629.7171767650398</v>
      </c>
      <c r="L451" s="49">
        <f t="shared" si="58"/>
        <v>5629.7171767650398</v>
      </c>
      <c r="M451" s="10">
        <v>80.239999999999995</v>
      </c>
      <c r="N451" s="50">
        <v>71753092</v>
      </c>
      <c r="O451" s="50">
        <v>24895330</v>
      </c>
      <c r="P451" s="48">
        <f t="shared" si="56"/>
        <v>46857762</v>
      </c>
    </row>
    <row r="452" spans="1:16" ht="15.95" customHeight="1" x14ac:dyDescent="0.25">
      <c r="A452" s="15" t="s">
        <v>772</v>
      </c>
      <c r="B452" s="8" t="s">
        <v>887</v>
      </c>
      <c r="C452" s="9">
        <v>24265</v>
      </c>
      <c r="D452" s="12">
        <v>8.8000000000000007</v>
      </c>
      <c r="E452" s="12">
        <v>5.5</v>
      </c>
      <c r="F452" s="12">
        <v>5.5</v>
      </c>
      <c r="G452" s="12">
        <v>5.5</v>
      </c>
      <c r="H452" s="10">
        <v>3.8</v>
      </c>
      <c r="I452" s="13">
        <v>4761.31405</v>
      </c>
      <c r="J452" s="13">
        <f t="shared" ref="J452:K464" si="59">I452*E452/D452</f>
        <v>2975.8212812500001</v>
      </c>
      <c r="K452" s="13">
        <f t="shared" si="58"/>
        <v>2975.8212812500001</v>
      </c>
      <c r="L452" s="49">
        <f t="shared" si="58"/>
        <v>2975.8212812500001</v>
      </c>
      <c r="M452" s="10">
        <v>3.8</v>
      </c>
      <c r="N452" s="50">
        <v>5255257</v>
      </c>
      <c r="O452" s="50">
        <v>1415055</v>
      </c>
      <c r="P452" s="48">
        <f t="shared" si="56"/>
        <v>3840202</v>
      </c>
    </row>
    <row r="453" spans="1:16" ht="15.95" customHeight="1" x14ac:dyDescent="0.25">
      <c r="A453" s="15" t="s">
        <v>774</v>
      </c>
      <c r="B453" s="8" t="s">
        <v>888</v>
      </c>
      <c r="C453" s="9">
        <v>24259</v>
      </c>
      <c r="D453" s="12">
        <v>41.37</v>
      </c>
      <c r="E453" s="12">
        <v>35.21</v>
      </c>
      <c r="F453" s="12">
        <v>35.21</v>
      </c>
      <c r="G453" s="12">
        <v>35.21</v>
      </c>
      <c r="H453" s="10">
        <v>21.16</v>
      </c>
      <c r="I453" s="13">
        <v>4211</v>
      </c>
      <c r="J453" s="13">
        <f t="shared" si="59"/>
        <v>3583.9813874788497</v>
      </c>
      <c r="K453" s="13">
        <f t="shared" si="58"/>
        <v>3583.9813874788497</v>
      </c>
      <c r="L453" s="49">
        <f t="shared" si="58"/>
        <v>3583.9813874788497</v>
      </c>
      <c r="M453" s="10">
        <v>21.16</v>
      </c>
      <c r="N453" s="50">
        <v>2762998</v>
      </c>
      <c r="O453" s="50">
        <v>2689770</v>
      </c>
      <c r="P453" s="48">
        <f t="shared" si="56"/>
        <v>73228</v>
      </c>
    </row>
    <row r="454" spans="1:16" ht="15.95" customHeight="1" x14ac:dyDescent="0.25">
      <c r="A454" s="20" t="s">
        <v>776</v>
      </c>
      <c r="B454" s="8" t="s">
        <v>889</v>
      </c>
      <c r="C454" s="9">
        <v>24289</v>
      </c>
      <c r="D454" s="12">
        <v>27.84</v>
      </c>
      <c r="E454" s="12">
        <v>27.84</v>
      </c>
      <c r="F454" s="12">
        <v>27.84</v>
      </c>
      <c r="G454" s="12">
        <v>27.84</v>
      </c>
      <c r="H454" s="10">
        <v>24.73</v>
      </c>
      <c r="I454" s="13">
        <v>3598</v>
      </c>
      <c r="J454" s="13">
        <f t="shared" si="59"/>
        <v>3597.9999999999995</v>
      </c>
      <c r="K454" s="13">
        <f>J454*F454/E454+209.911</f>
        <v>3807.9109999999996</v>
      </c>
      <c r="L454" s="49">
        <f>K454*G454/F454</f>
        <v>3807.9109999999996</v>
      </c>
      <c r="M454" s="10">
        <v>24.73</v>
      </c>
      <c r="N454" s="50">
        <v>4587332</v>
      </c>
      <c r="O454" s="50">
        <v>4134681</v>
      </c>
      <c r="P454" s="48">
        <f t="shared" si="56"/>
        <v>452651</v>
      </c>
    </row>
    <row r="455" spans="1:16" ht="15.95" customHeight="1" x14ac:dyDescent="0.25">
      <c r="A455" s="15" t="s">
        <v>777</v>
      </c>
      <c r="B455" s="8" t="s">
        <v>890</v>
      </c>
      <c r="C455" s="9">
        <v>24287</v>
      </c>
      <c r="D455" s="12">
        <v>20.66</v>
      </c>
      <c r="E455" s="12">
        <v>20.66</v>
      </c>
      <c r="F455" s="12">
        <v>16.850000000000001</v>
      </c>
      <c r="G455" s="12">
        <v>16.850000000000001</v>
      </c>
      <c r="H455" s="10">
        <v>7.28</v>
      </c>
      <c r="I455" s="13">
        <v>3150</v>
      </c>
      <c r="J455" s="13">
        <f t="shared" si="59"/>
        <v>3150</v>
      </c>
      <c r="K455" s="13">
        <f>J455*F455/E455</f>
        <v>2569.094869312682</v>
      </c>
      <c r="L455" s="49">
        <f>K455*G455/F455</f>
        <v>2569.094869312682</v>
      </c>
      <c r="M455" s="10">
        <v>7.28</v>
      </c>
      <c r="N455" s="50">
        <v>12292007</v>
      </c>
      <c r="O455" s="50">
        <v>3389501</v>
      </c>
      <c r="P455" s="48">
        <f t="shared" si="56"/>
        <v>8902506</v>
      </c>
    </row>
    <row r="456" spans="1:16" ht="15.95" customHeight="1" x14ac:dyDescent="0.25">
      <c r="A456" s="15" t="s">
        <v>779</v>
      </c>
      <c r="B456" s="8" t="s">
        <v>891</v>
      </c>
      <c r="C456" s="9">
        <v>24286</v>
      </c>
      <c r="D456" s="12">
        <v>41.71</v>
      </c>
      <c r="E456" s="12">
        <v>41.71</v>
      </c>
      <c r="F456" s="12">
        <v>41.71</v>
      </c>
      <c r="G456" s="12">
        <v>30.24</v>
      </c>
      <c r="H456" s="10">
        <v>1.01</v>
      </c>
      <c r="I456" s="13">
        <v>8762</v>
      </c>
      <c r="J456" s="13">
        <f t="shared" si="59"/>
        <v>8762</v>
      </c>
      <c r="K456" s="13">
        <f>J456*F456/E456+150.156</f>
        <v>8912.1560000000009</v>
      </c>
      <c r="L456" s="49">
        <f>K456*G456/F456</f>
        <v>6461.3665173819227</v>
      </c>
      <c r="M456" s="10">
        <v>1.01</v>
      </c>
      <c r="N456" s="50">
        <v>362467.32195121952</v>
      </c>
      <c r="O456" s="50">
        <v>262355</v>
      </c>
      <c r="P456" s="48">
        <f t="shared" si="56"/>
        <v>100112.32195121952</v>
      </c>
    </row>
    <row r="457" spans="1:16" ht="15.95" customHeight="1" x14ac:dyDescent="0.25">
      <c r="A457" s="20" t="s">
        <v>780</v>
      </c>
      <c r="B457" s="8" t="s">
        <v>892</v>
      </c>
      <c r="C457" s="9">
        <v>24285</v>
      </c>
      <c r="D457" s="12">
        <v>23.63</v>
      </c>
      <c r="E457" s="12">
        <v>23.63</v>
      </c>
      <c r="F457" s="12">
        <v>23.63</v>
      </c>
      <c r="G457" s="12">
        <v>23.63</v>
      </c>
      <c r="H457" s="10">
        <v>3.59</v>
      </c>
      <c r="I457" s="13">
        <v>4436</v>
      </c>
      <c r="J457" s="13">
        <f t="shared" si="59"/>
        <v>4436</v>
      </c>
      <c r="K457" s="13">
        <f>J457*F457/E457+742.472</f>
        <v>5178.4719999999998</v>
      </c>
      <c r="L457" s="49">
        <f>K457*G457/F457</f>
        <v>5178.4719999999998</v>
      </c>
      <c r="M457" s="10">
        <v>3.59</v>
      </c>
      <c r="N457" s="50">
        <v>1280212</v>
      </c>
      <c r="O457" s="50">
        <v>799417</v>
      </c>
      <c r="P457" s="48">
        <f t="shared" si="56"/>
        <v>480795</v>
      </c>
    </row>
    <row r="458" spans="1:16" ht="15.95" customHeight="1" x14ac:dyDescent="0.25">
      <c r="A458" s="15" t="s">
        <v>954</v>
      </c>
      <c r="B458" s="8" t="s">
        <v>893</v>
      </c>
      <c r="C458" s="9">
        <v>24284</v>
      </c>
      <c r="D458" s="12">
        <v>20.5</v>
      </c>
      <c r="E458" s="12">
        <v>18.54</v>
      </c>
      <c r="F458" s="12">
        <v>18.54</v>
      </c>
      <c r="G458" s="12">
        <v>16.18</v>
      </c>
      <c r="H458" s="10">
        <v>15.21</v>
      </c>
      <c r="I458" s="13">
        <v>3590</v>
      </c>
      <c r="J458" s="13">
        <f t="shared" si="59"/>
        <v>3246.7609756097559</v>
      </c>
      <c r="K458" s="13">
        <f t="shared" si="59"/>
        <v>3246.7609756097559</v>
      </c>
      <c r="L458" s="49">
        <f>K458*G458/F458+118.642+194.289</f>
        <v>3146.4041707317074</v>
      </c>
      <c r="M458" s="10">
        <v>10.89</v>
      </c>
      <c r="N458" s="50">
        <v>3692585</v>
      </c>
      <c r="O458" s="50">
        <v>2641512</v>
      </c>
      <c r="P458" s="48">
        <f t="shared" si="56"/>
        <v>1051073</v>
      </c>
    </row>
    <row r="459" spans="1:16" ht="15.95" customHeight="1" x14ac:dyDescent="0.25">
      <c r="A459" s="15" t="s">
        <v>955</v>
      </c>
      <c r="B459" s="8" t="s">
        <v>894</v>
      </c>
      <c r="C459" s="9">
        <v>24000</v>
      </c>
      <c r="D459" s="12">
        <v>15.84</v>
      </c>
      <c r="E459" s="12">
        <v>12.96</v>
      </c>
      <c r="F459" s="12">
        <v>11.21</v>
      </c>
      <c r="G459" s="12">
        <v>11.21</v>
      </c>
      <c r="H459" s="10">
        <v>11.21</v>
      </c>
      <c r="I459" s="13">
        <v>2188</v>
      </c>
      <c r="J459" s="13">
        <f t="shared" si="59"/>
        <v>1790.1818181818185</v>
      </c>
      <c r="K459" s="13">
        <f t="shared" si="59"/>
        <v>1548.4520202020205</v>
      </c>
      <c r="L459" s="49">
        <f>K459*G459/F459</f>
        <v>1548.4520202020205</v>
      </c>
      <c r="M459" s="10">
        <v>11.21</v>
      </c>
      <c r="N459" s="50">
        <v>2355905</v>
      </c>
      <c r="O459" s="50">
        <v>1630964</v>
      </c>
      <c r="P459" s="48">
        <f t="shared" si="56"/>
        <v>724941</v>
      </c>
    </row>
    <row r="460" spans="1:16" ht="15.95" customHeight="1" x14ac:dyDescent="0.25">
      <c r="A460" s="20" t="s">
        <v>782</v>
      </c>
      <c r="B460" s="8" t="s">
        <v>895</v>
      </c>
      <c r="C460" s="9">
        <v>24002</v>
      </c>
      <c r="D460" s="12">
        <v>23.9</v>
      </c>
      <c r="E460" s="12">
        <v>22.11</v>
      </c>
      <c r="F460" s="12">
        <v>22.11</v>
      </c>
      <c r="G460" s="12">
        <v>22.11</v>
      </c>
      <c r="H460" s="10">
        <v>17.39</v>
      </c>
      <c r="I460" s="13">
        <v>4229.1760000000004</v>
      </c>
      <c r="J460" s="13">
        <f t="shared" si="59"/>
        <v>3912.4301824267791</v>
      </c>
      <c r="K460" s="13">
        <f t="shared" si="59"/>
        <v>3912.4301824267791</v>
      </c>
      <c r="L460" s="49">
        <f>K460*G460/F460+123.617</f>
        <v>4036.0471824267793</v>
      </c>
      <c r="M460" s="10">
        <v>17.39</v>
      </c>
      <c r="N460" s="50">
        <v>4924394</v>
      </c>
      <c r="O460" s="50">
        <v>3492116</v>
      </c>
      <c r="P460" s="48">
        <f t="shared" si="56"/>
        <v>1432278</v>
      </c>
    </row>
    <row r="461" spans="1:16" ht="15.95" customHeight="1" x14ac:dyDescent="0.25">
      <c r="A461" s="15" t="s">
        <v>783</v>
      </c>
      <c r="B461" s="8" t="s">
        <v>896</v>
      </c>
      <c r="C461" s="9">
        <v>23976</v>
      </c>
      <c r="D461" s="12">
        <v>59.79</v>
      </c>
      <c r="E461" s="12">
        <v>59.79</v>
      </c>
      <c r="F461" s="12">
        <v>49.32</v>
      </c>
      <c r="G461" s="12">
        <v>49.32</v>
      </c>
      <c r="H461" s="10">
        <v>5.29</v>
      </c>
      <c r="I461" s="13">
        <v>10124</v>
      </c>
      <c r="J461" s="13">
        <f t="shared" si="59"/>
        <v>10124</v>
      </c>
      <c r="K461" s="13">
        <f t="shared" si="59"/>
        <v>8351.1570496738586</v>
      </c>
      <c r="L461" s="49">
        <f>K461*G461/F461+439.373</f>
        <v>8790.5300496738582</v>
      </c>
      <c r="M461" s="10">
        <v>5.29</v>
      </c>
      <c r="N461" s="50">
        <v>1378687.6109083537</v>
      </c>
      <c r="O461" s="50">
        <v>1172030</v>
      </c>
      <c r="P461" s="48">
        <f t="shared" si="56"/>
        <v>206657.6109083537</v>
      </c>
    </row>
    <row r="462" spans="1:16" ht="15.95" customHeight="1" x14ac:dyDescent="0.25">
      <c r="A462" s="15" t="s">
        <v>784</v>
      </c>
      <c r="B462" s="8" t="s">
        <v>897</v>
      </c>
      <c r="C462" s="9">
        <v>24003</v>
      </c>
      <c r="D462" s="12">
        <v>27.9</v>
      </c>
      <c r="E462" s="12">
        <v>27.9</v>
      </c>
      <c r="F462" s="12">
        <v>25.57</v>
      </c>
      <c r="G462" s="12">
        <v>25.57</v>
      </c>
      <c r="H462" s="10">
        <v>7.4</v>
      </c>
      <c r="I462" s="13">
        <v>25097.420330000001</v>
      </c>
      <c r="J462" s="13">
        <f t="shared" si="59"/>
        <v>25097.420330000001</v>
      </c>
      <c r="K462" s="13">
        <f t="shared" si="59"/>
        <v>23001.470890254481</v>
      </c>
      <c r="L462" s="49">
        <f>K462*G462/F462</f>
        <v>23001.470890254484</v>
      </c>
      <c r="M462" s="10">
        <v>7.4</v>
      </c>
      <c r="N462" s="50">
        <v>10023357</v>
      </c>
      <c r="O462" s="50">
        <v>4202420</v>
      </c>
      <c r="P462" s="48">
        <f t="shared" si="56"/>
        <v>5820937</v>
      </c>
    </row>
    <row r="463" spans="1:16" ht="15.95" customHeight="1" x14ac:dyDescent="0.25">
      <c r="A463" s="20" t="s">
        <v>785</v>
      </c>
      <c r="B463" s="8" t="s">
        <v>898</v>
      </c>
      <c r="C463" s="9">
        <v>24008</v>
      </c>
      <c r="D463" s="12">
        <v>26.8</v>
      </c>
      <c r="E463" s="12">
        <v>26.8</v>
      </c>
      <c r="F463" s="12">
        <v>21.42</v>
      </c>
      <c r="G463" s="12">
        <v>21.42</v>
      </c>
      <c r="H463" s="10">
        <v>9.0500000000000007</v>
      </c>
      <c r="I463" s="13">
        <v>5060.2822999999999</v>
      </c>
      <c r="J463" s="13">
        <f t="shared" si="59"/>
        <v>5060.2822999999989</v>
      </c>
      <c r="K463" s="13">
        <f t="shared" si="59"/>
        <v>4044.4495099253727</v>
      </c>
      <c r="L463" s="49">
        <f>K463*G463/F463</f>
        <v>4044.4495099253727</v>
      </c>
      <c r="M463" s="10">
        <v>9.0500000000000007</v>
      </c>
      <c r="N463" s="50">
        <v>13514237</v>
      </c>
      <c r="O463" s="50">
        <v>3931613</v>
      </c>
      <c r="P463" s="48">
        <f t="shared" si="56"/>
        <v>9582624</v>
      </c>
    </row>
    <row r="464" spans="1:16" ht="15.95" customHeight="1" x14ac:dyDescent="0.25">
      <c r="A464" s="15" t="s">
        <v>786</v>
      </c>
      <c r="B464" s="8" t="s">
        <v>899</v>
      </c>
      <c r="C464" s="9">
        <v>23973</v>
      </c>
      <c r="D464" s="12">
        <v>7.24</v>
      </c>
      <c r="E464" s="12">
        <v>7.24</v>
      </c>
      <c r="F464" s="12">
        <v>7.24</v>
      </c>
      <c r="G464" s="12">
        <v>7.24</v>
      </c>
      <c r="H464" s="10">
        <v>7.24</v>
      </c>
      <c r="I464" s="13">
        <v>378</v>
      </c>
      <c r="J464" s="13">
        <f t="shared" si="59"/>
        <v>378</v>
      </c>
      <c r="K464" s="13">
        <f>J464*F464/E464</f>
        <v>378</v>
      </c>
      <c r="L464" s="49">
        <f>K464*G464/F464+32.502</f>
        <v>410.50200000000001</v>
      </c>
      <c r="M464" s="10">
        <v>7.24</v>
      </c>
      <c r="N464" s="50">
        <v>614298</v>
      </c>
      <c r="O464" s="50">
        <v>522524</v>
      </c>
      <c r="P464" s="48">
        <f t="shared" si="56"/>
        <v>91774</v>
      </c>
    </row>
    <row r="465" spans="1:16" ht="15.95" customHeight="1" x14ac:dyDescent="0.25">
      <c r="A465" s="15" t="s">
        <v>787</v>
      </c>
      <c r="B465" s="8" t="s">
        <v>900</v>
      </c>
      <c r="C465" s="9">
        <v>24012</v>
      </c>
      <c r="D465" s="12">
        <v>29.47</v>
      </c>
      <c r="E465" s="12">
        <v>25.35</v>
      </c>
      <c r="F465" s="12">
        <v>22.85</v>
      </c>
      <c r="G465" s="12">
        <v>22.85</v>
      </c>
      <c r="H465" s="10">
        <v>23.19</v>
      </c>
      <c r="I465" s="13">
        <f>J465*D465/E465</f>
        <v>10585.617175980276</v>
      </c>
      <c r="J465" s="13">
        <f>8313.71413+792</f>
        <v>9105.7141300000003</v>
      </c>
      <c r="K465" s="13">
        <f>7493.82122+792</f>
        <v>8285.8212199999998</v>
      </c>
      <c r="L465" s="49">
        <f>K465*G465/F465</f>
        <v>8285.8212199999998</v>
      </c>
      <c r="M465" s="10">
        <v>23.19</v>
      </c>
      <c r="N465" s="50">
        <v>21629568.079415794</v>
      </c>
      <c r="O465" s="50">
        <v>10535851</v>
      </c>
      <c r="P465" s="48">
        <f t="shared" si="56"/>
        <v>11093717.079415794</v>
      </c>
    </row>
    <row r="466" spans="1:16" ht="15.95" customHeight="1" x14ac:dyDescent="0.25">
      <c r="A466" s="20" t="s">
        <v>940</v>
      </c>
      <c r="B466" s="8" t="s">
        <v>972</v>
      </c>
      <c r="C466" s="9" t="s">
        <v>973</v>
      </c>
      <c r="D466" s="12"/>
      <c r="E466" s="12"/>
      <c r="F466" s="12"/>
      <c r="G466" s="12"/>
      <c r="H466" s="10">
        <v>4.3899999999999997</v>
      </c>
      <c r="I466" s="13"/>
      <c r="J466" s="13"/>
      <c r="K466" s="13"/>
      <c r="L466" s="49"/>
      <c r="M466" s="10">
        <v>4.3899999999999997</v>
      </c>
      <c r="N466" s="50">
        <v>1767864</v>
      </c>
      <c r="O466" s="50">
        <v>463175</v>
      </c>
      <c r="P466" s="48">
        <f t="shared" si="56"/>
        <v>1304689</v>
      </c>
    </row>
    <row r="467" spans="1:16" ht="15.95" customHeight="1" x14ac:dyDescent="0.25">
      <c r="A467" s="15" t="s">
        <v>789</v>
      </c>
      <c r="B467" s="8" t="s">
        <v>901</v>
      </c>
      <c r="C467" s="9">
        <v>23955</v>
      </c>
      <c r="D467" s="12">
        <v>19.34</v>
      </c>
      <c r="E467" s="12">
        <v>19.34</v>
      </c>
      <c r="F467" s="12">
        <v>13.56</v>
      </c>
      <c r="G467" s="12">
        <v>13.56</v>
      </c>
      <c r="H467" s="10">
        <v>7.91</v>
      </c>
      <c r="I467" s="13">
        <v>1536</v>
      </c>
      <c r="J467" s="13">
        <f>I467*E467/D467</f>
        <v>1536</v>
      </c>
      <c r="K467" s="13">
        <f>J467*F467/E467</f>
        <v>1076.9472595656671</v>
      </c>
      <c r="L467" s="49">
        <f>K467*G467/F467</f>
        <v>1076.9472595656671</v>
      </c>
      <c r="M467" s="10">
        <v>7.91</v>
      </c>
      <c r="N467" s="50">
        <v>931788</v>
      </c>
      <c r="O467" s="50">
        <v>841848</v>
      </c>
      <c r="P467" s="48">
        <f t="shared" si="56"/>
        <v>89940</v>
      </c>
    </row>
    <row r="468" spans="1:16" ht="15.95" customHeight="1" x14ac:dyDescent="0.25">
      <c r="A468" s="15" t="s">
        <v>791</v>
      </c>
      <c r="B468" s="8" t="s">
        <v>902</v>
      </c>
      <c r="C468" s="9">
        <v>23954</v>
      </c>
      <c r="D468" s="12">
        <v>14.7</v>
      </c>
      <c r="E468" s="12">
        <v>11.9</v>
      </c>
      <c r="F468" s="12">
        <v>11.9</v>
      </c>
      <c r="G468" s="12">
        <v>11.9</v>
      </c>
      <c r="H468" s="10">
        <v>2.6</v>
      </c>
      <c r="I468" s="13">
        <v>537</v>
      </c>
      <c r="J468" s="13">
        <f t="shared" ref="J468:J475" si="60">I468*E468/D468</f>
        <v>434.71428571428572</v>
      </c>
      <c r="K468" s="13">
        <f>J468*F468/E468+78.974</f>
        <v>513.68828571428571</v>
      </c>
      <c r="L468" s="49">
        <f>K468*G468/F468+4.84</f>
        <v>518.52828571428574</v>
      </c>
      <c r="M468" s="10">
        <v>2.6</v>
      </c>
      <c r="N468" s="50">
        <v>157517</v>
      </c>
      <c r="O468" s="50">
        <v>99039</v>
      </c>
      <c r="P468" s="48">
        <f t="shared" si="56"/>
        <v>58478</v>
      </c>
    </row>
    <row r="469" spans="1:16" ht="15.95" customHeight="1" x14ac:dyDescent="0.25">
      <c r="A469" s="20" t="s">
        <v>793</v>
      </c>
      <c r="B469" s="8" t="s">
        <v>903</v>
      </c>
      <c r="C469" s="9">
        <v>24032</v>
      </c>
      <c r="D469" s="12">
        <v>11.57</v>
      </c>
      <c r="E469" s="12">
        <v>11.57</v>
      </c>
      <c r="F469" s="12">
        <v>11.57</v>
      </c>
      <c r="G469" s="12">
        <v>11.57</v>
      </c>
      <c r="H469" s="10">
        <v>1.9</v>
      </c>
      <c r="I469" s="13">
        <v>2382</v>
      </c>
      <c r="J469" s="13">
        <f t="shared" si="60"/>
        <v>2382</v>
      </c>
      <c r="K469" s="13">
        <f>J469*F469/E469+67.106</f>
        <v>2449.1059999999998</v>
      </c>
      <c r="L469" s="49">
        <f>K469*G469/F469</f>
        <v>2449.1059999999998</v>
      </c>
      <c r="M469" s="10">
        <v>1.9</v>
      </c>
      <c r="N469" s="50">
        <v>609359</v>
      </c>
      <c r="O469" s="50">
        <v>509611</v>
      </c>
      <c r="P469" s="48">
        <f t="shared" si="56"/>
        <v>99748</v>
      </c>
    </row>
    <row r="470" spans="1:16" ht="15.95" customHeight="1" x14ac:dyDescent="0.25">
      <c r="A470" s="15" t="s">
        <v>795</v>
      </c>
      <c r="B470" s="8" t="s">
        <v>904</v>
      </c>
      <c r="C470" s="9">
        <v>23953</v>
      </c>
      <c r="D470" s="12">
        <v>13.4</v>
      </c>
      <c r="E470" s="12">
        <v>13.4</v>
      </c>
      <c r="F470" s="12">
        <v>13.4</v>
      </c>
      <c r="G470" s="12">
        <f>25.3-11.9</f>
        <v>13.4</v>
      </c>
      <c r="H470" s="10">
        <v>4.6500000000000004</v>
      </c>
      <c r="I470" s="13">
        <v>4133.6580000000004</v>
      </c>
      <c r="J470" s="13">
        <f t="shared" si="60"/>
        <v>4133.6580000000004</v>
      </c>
      <c r="K470" s="13">
        <f>J470*F470/E470</f>
        <v>4133.6580000000004</v>
      </c>
      <c r="L470" s="49">
        <f>K470*G470/F470</f>
        <v>4133.6580000000004</v>
      </c>
      <c r="M470" s="10">
        <v>4.6500000000000004</v>
      </c>
      <c r="N470" s="50">
        <v>3514598</v>
      </c>
      <c r="O470" s="50">
        <v>1121656</v>
      </c>
      <c r="P470" s="48">
        <f t="shared" si="56"/>
        <v>2392942</v>
      </c>
    </row>
    <row r="471" spans="1:16" ht="15.95" customHeight="1" x14ac:dyDescent="0.25">
      <c r="A471" s="15" t="s">
        <v>797</v>
      </c>
      <c r="B471" s="8" t="s">
        <v>905</v>
      </c>
      <c r="C471" s="9">
        <v>24033</v>
      </c>
      <c r="D471" s="12">
        <v>9.34</v>
      </c>
      <c r="E471" s="12">
        <v>8.5</v>
      </c>
      <c r="F471" s="12">
        <v>8.5</v>
      </c>
      <c r="G471" s="12">
        <v>8.5</v>
      </c>
      <c r="H471" s="10">
        <v>4.4000000000000004</v>
      </c>
      <c r="I471" s="13">
        <v>1597</v>
      </c>
      <c r="J471" s="13">
        <f t="shared" si="60"/>
        <v>1453.372591006424</v>
      </c>
      <c r="K471" s="13">
        <f>J471*F471/E471</f>
        <v>1453.372591006424</v>
      </c>
      <c r="L471" s="49">
        <f>K471*G471/F471+75.364</f>
        <v>1528.7365910064241</v>
      </c>
      <c r="M471" s="10">
        <v>4.4000000000000004</v>
      </c>
      <c r="N471" s="50">
        <v>2468129</v>
      </c>
      <c r="O471" s="50">
        <v>1104492</v>
      </c>
      <c r="P471" s="48">
        <f t="shared" si="56"/>
        <v>1363637</v>
      </c>
    </row>
    <row r="472" spans="1:16" ht="15.95" customHeight="1" x14ac:dyDescent="0.25">
      <c r="A472" s="20" t="s">
        <v>798</v>
      </c>
      <c r="B472" s="8" t="s">
        <v>906</v>
      </c>
      <c r="C472" s="9">
        <v>23951</v>
      </c>
      <c r="D472" s="12">
        <v>15.95</v>
      </c>
      <c r="E472" s="12">
        <v>15.95</v>
      </c>
      <c r="F472" s="12">
        <v>10.69</v>
      </c>
      <c r="G472" s="12">
        <v>8.9499999999999993</v>
      </c>
      <c r="H472" s="10">
        <v>2.7</v>
      </c>
      <c r="I472" s="13">
        <v>2949.1589100000001</v>
      </c>
      <c r="J472" s="13">
        <f t="shared" si="60"/>
        <v>2949.1589099999997</v>
      </c>
      <c r="K472" s="13">
        <f>J472*F472/E472+439.55</f>
        <v>2416.1336205579937</v>
      </c>
      <c r="L472" s="49">
        <f>K472*G472/F472+567.36</f>
        <v>2590.222105144438</v>
      </c>
      <c r="M472" s="10">
        <v>2.7</v>
      </c>
      <c r="N472" s="50">
        <v>1075592</v>
      </c>
      <c r="O472" s="50">
        <v>626072</v>
      </c>
      <c r="P472" s="48">
        <f t="shared" si="56"/>
        <v>449520</v>
      </c>
    </row>
    <row r="473" spans="1:16" ht="15.95" customHeight="1" x14ac:dyDescent="0.25">
      <c r="A473" s="15" t="s">
        <v>801</v>
      </c>
      <c r="B473" s="8" t="s">
        <v>907</v>
      </c>
      <c r="C473" s="9">
        <v>24718</v>
      </c>
      <c r="D473" s="12">
        <v>11.86</v>
      </c>
      <c r="E473" s="12">
        <v>11.86</v>
      </c>
      <c r="F473" s="12">
        <v>11.86</v>
      </c>
      <c r="G473" s="12">
        <v>11.86</v>
      </c>
      <c r="H473" s="10">
        <v>11.8</v>
      </c>
      <c r="I473" s="13">
        <v>11751.77584</v>
      </c>
      <c r="J473" s="13">
        <f t="shared" si="60"/>
        <v>11751.77584</v>
      </c>
      <c r="K473" s="13">
        <f>J473*F473/E473</f>
        <v>11751.77584</v>
      </c>
      <c r="L473" s="49">
        <f>K473*G473/F473+76.733</f>
        <v>11828.50884</v>
      </c>
      <c r="M473" s="10">
        <v>11.8</v>
      </c>
      <c r="N473" s="50">
        <v>13024098</v>
      </c>
      <c r="O473" s="50">
        <v>10761800</v>
      </c>
      <c r="P473" s="48">
        <f t="shared" si="56"/>
        <v>2262298</v>
      </c>
    </row>
    <row r="474" spans="1:16" ht="15.95" customHeight="1" x14ac:dyDescent="0.25">
      <c r="A474" s="15" t="s">
        <v>804</v>
      </c>
      <c r="B474" s="8" t="s">
        <v>908</v>
      </c>
      <c r="C474" s="9">
        <v>24712</v>
      </c>
      <c r="D474" s="12">
        <v>46.14</v>
      </c>
      <c r="E474" s="12">
        <f>44.29-5.42</f>
        <v>38.869999999999997</v>
      </c>
      <c r="F474" s="12">
        <f>44.29-5.42</f>
        <v>38.869999999999997</v>
      </c>
      <c r="G474" s="12">
        <f>43.76-5.42</f>
        <v>38.339999999999996</v>
      </c>
      <c r="H474" s="10">
        <v>0.69</v>
      </c>
      <c r="I474" s="13">
        <v>22861.613000000001</v>
      </c>
      <c r="J474" s="13">
        <f t="shared" si="60"/>
        <v>19259.447275899438</v>
      </c>
      <c r="K474" s="13">
        <f>J474*F474/E474</f>
        <v>19259.447275899438</v>
      </c>
      <c r="L474" s="49">
        <f>K474*G474/F474+27.349+188.094</f>
        <v>19212.283971391415</v>
      </c>
      <c r="M474" s="10">
        <v>0.69</v>
      </c>
      <c r="N474" s="50">
        <v>3657525</v>
      </c>
      <c r="O474" s="50">
        <v>3264533</v>
      </c>
      <c r="P474" s="48">
        <f t="shared" si="56"/>
        <v>392992</v>
      </c>
    </row>
    <row r="475" spans="1:16" ht="15.95" customHeight="1" x14ac:dyDescent="0.25">
      <c r="A475" s="20" t="s">
        <v>805</v>
      </c>
      <c r="B475" s="8" t="s">
        <v>909</v>
      </c>
      <c r="C475" s="9">
        <v>24577</v>
      </c>
      <c r="D475" s="12">
        <v>29.59</v>
      </c>
      <c r="E475" s="12">
        <v>29.59</v>
      </c>
      <c r="F475" s="12">
        <v>28.37</v>
      </c>
      <c r="G475" s="12">
        <v>28.37</v>
      </c>
      <c r="H475" s="10">
        <v>18.34</v>
      </c>
      <c r="I475" s="13">
        <v>3849</v>
      </c>
      <c r="J475" s="13">
        <f t="shared" si="60"/>
        <v>3849</v>
      </c>
      <c r="K475" s="13">
        <f>J475*F475/E475</f>
        <v>3690.3051706657657</v>
      </c>
      <c r="L475" s="49">
        <f>K475*G475/F475</f>
        <v>3690.3051706657657</v>
      </c>
      <c r="M475" s="10">
        <v>18.34</v>
      </c>
      <c r="N475" s="50">
        <v>2331298</v>
      </c>
      <c r="O475" s="50">
        <v>2011663</v>
      </c>
      <c r="P475" s="48">
        <f t="shared" si="56"/>
        <v>319635</v>
      </c>
    </row>
    <row r="476" spans="1:16" ht="15.95" customHeight="1" x14ac:dyDescent="0.25">
      <c r="A476" s="15" t="s">
        <v>806</v>
      </c>
      <c r="B476" s="8" t="s">
        <v>1042</v>
      </c>
      <c r="C476" s="9" t="s">
        <v>1041</v>
      </c>
      <c r="D476" s="12">
        <v>21.25</v>
      </c>
      <c r="E476" s="12">
        <v>19.87</v>
      </c>
      <c r="F476" s="12">
        <v>10.82</v>
      </c>
      <c r="G476" s="12">
        <v>10.82</v>
      </c>
      <c r="H476" s="10">
        <v>0</v>
      </c>
      <c r="I476" s="13">
        <v>1589</v>
      </c>
      <c r="J476" s="13">
        <v>1485.8084705882352</v>
      </c>
      <c r="K476" s="13">
        <v>809.08141176470576</v>
      </c>
      <c r="L476" s="49">
        <v>845.14841176470577</v>
      </c>
      <c r="M476" s="10">
        <v>0</v>
      </c>
      <c r="N476" s="50">
        <v>381603</v>
      </c>
      <c r="O476" s="50">
        <v>364149</v>
      </c>
      <c r="P476" s="48">
        <f t="shared" si="56"/>
        <v>17454</v>
      </c>
    </row>
    <row r="477" spans="1:16" ht="15.95" customHeight="1" x14ac:dyDescent="0.25">
      <c r="A477" s="15" t="s">
        <v>808</v>
      </c>
      <c r="B477" s="8" t="s">
        <v>930</v>
      </c>
      <c r="C477" s="9" t="s">
        <v>931</v>
      </c>
      <c r="D477" s="12">
        <v>100</v>
      </c>
      <c r="E477" s="12">
        <v>100</v>
      </c>
      <c r="F477" s="12">
        <v>58.54</v>
      </c>
      <c r="G477" s="12">
        <v>58.54</v>
      </c>
      <c r="H477" s="10">
        <v>4.1399999999999997</v>
      </c>
      <c r="I477" s="13">
        <v>12016</v>
      </c>
      <c r="J477" s="13">
        <f>I477*E477/D477</f>
        <v>12016</v>
      </c>
      <c r="K477" s="13">
        <f>J477*F477/E477</f>
        <v>7034.1664000000001</v>
      </c>
      <c r="L477" s="49">
        <f>K477*G477/F477</f>
        <v>7034.1664000000001</v>
      </c>
      <c r="M477" s="10">
        <v>4.1399999999999997</v>
      </c>
      <c r="N477" s="50">
        <v>2973079</v>
      </c>
      <c r="O477" s="50">
        <v>452413</v>
      </c>
      <c r="P477" s="48">
        <f t="shared" si="56"/>
        <v>2520666</v>
      </c>
    </row>
    <row r="478" spans="1:16" ht="15.95" customHeight="1" x14ac:dyDescent="0.25">
      <c r="A478" s="20" t="s">
        <v>810</v>
      </c>
      <c r="B478" s="8" t="s">
        <v>910</v>
      </c>
      <c r="C478" s="9" t="s">
        <v>911</v>
      </c>
      <c r="D478" s="12">
        <v>24.72</v>
      </c>
      <c r="E478" s="12">
        <v>24.72</v>
      </c>
      <c r="F478" s="12">
        <v>24.08</v>
      </c>
      <c r="G478" s="12">
        <v>24.08</v>
      </c>
      <c r="H478" s="10">
        <v>21.53</v>
      </c>
      <c r="I478" s="13">
        <v>7402.6945999999998</v>
      </c>
      <c r="J478" s="13">
        <f>I478*E478/D478</f>
        <v>7402.6945999999998</v>
      </c>
      <c r="K478" s="13">
        <f>J478*F478/E478+230.329</f>
        <v>7441.3680763754037</v>
      </c>
      <c r="L478" s="49">
        <f>K478*G478/F478</f>
        <v>7441.3680763754037</v>
      </c>
      <c r="M478" s="26">
        <v>21.53</v>
      </c>
      <c r="N478" s="50">
        <v>21286325</v>
      </c>
      <c r="O478" s="50">
        <v>11172191</v>
      </c>
      <c r="P478" s="48">
        <f t="shared" si="56"/>
        <v>10114134</v>
      </c>
    </row>
    <row r="479" spans="1:16" ht="15.95" customHeight="1" x14ac:dyDescent="0.25">
      <c r="A479" s="15" t="s">
        <v>812</v>
      </c>
      <c r="B479" s="8" t="s">
        <v>1000</v>
      </c>
      <c r="C479" s="9" t="s">
        <v>1001</v>
      </c>
      <c r="D479" s="12"/>
      <c r="E479" s="12"/>
      <c r="F479" s="12"/>
      <c r="G479" s="12"/>
      <c r="H479" s="10">
        <v>20.25</v>
      </c>
      <c r="I479" s="13"/>
      <c r="J479" s="13"/>
      <c r="K479" s="13"/>
      <c r="L479" s="49"/>
      <c r="M479" s="26">
        <v>20.25</v>
      </c>
      <c r="N479" s="50">
        <v>51053282</v>
      </c>
      <c r="O479" s="50">
        <v>11949658</v>
      </c>
      <c r="P479" s="48">
        <f t="shared" si="56"/>
        <v>39103624</v>
      </c>
    </row>
    <row r="480" spans="1:16" ht="17.100000000000001" customHeight="1" x14ac:dyDescent="0.25">
      <c r="A480" s="15" t="s">
        <v>814</v>
      </c>
      <c r="B480" s="8" t="s">
        <v>999</v>
      </c>
      <c r="C480" s="9">
        <v>24699</v>
      </c>
      <c r="D480" s="12">
        <v>68.98</v>
      </c>
      <c r="E480" s="12">
        <v>68.98</v>
      </c>
      <c r="F480" s="12">
        <v>68.98</v>
      </c>
      <c r="G480" s="12">
        <v>68.98</v>
      </c>
      <c r="H480" s="10">
        <v>34.270000000000003</v>
      </c>
      <c r="I480" s="13">
        <v>12341.825000000001</v>
      </c>
      <c r="J480" s="13">
        <f t="shared" ref="J480:K489" si="61">I480*E480/D480</f>
        <v>12341.825000000001</v>
      </c>
      <c r="K480" s="13">
        <f t="shared" si="61"/>
        <v>12341.825000000001</v>
      </c>
      <c r="L480" s="49">
        <f>K480*G480/F480</f>
        <v>12341.825000000001</v>
      </c>
      <c r="M480" s="26">
        <v>34.270000000000003</v>
      </c>
      <c r="N480" s="50">
        <v>12621496</v>
      </c>
      <c r="O480" s="50">
        <v>9496932</v>
      </c>
      <c r="P480" s="48">
        <f t="shared" si="56"/>
        <v>3124564</v>
      </c>
    </row>
    <row r="481" spans="1:16" ht="15.95" customHeight="1" x14ac:dyDescent="0.25">
      <c r="A481" s="20" t="s">
        <v>817</v>
      </c>
      <c r="B481" s="8" t="s">
        <v>912</v>
      </c>
      <c r="C481" s="9" t="s">
        <v>913</v>
      </c>
      <c r="D481" s="12">
        <v>29.4</v>
      </c>
      <c r="E481" s="12">
        <v>29.4</v>
      </c>
      <c r="F481" s="12">
        <v>29.4</v>
      </c>
      <c r="G481" s="12">
        <v>29.4</v>
      </c>
      <c r="H481" s="10">
        <v>25.6</v>
      </c>
      <c r="I481" s="13">
        <v>2482</v>
      </c>
      <c r="J481" s="13">
        <f t="shared" si="61"/>
        <v>2482</v>
      </c>
      <c r="K481" s="13">
        <f t="shared" si="61"/>
        <v>2482</v>
      </c>
      <c r="L481" s="49">
        <f>K481*G481/F481+52.394</f>
        <v>2534.3939999999998</v>
      </c>
      <c r="M481" s="26">
        <v>25.6</v>
      </c>
      <c r="N481" s="64">
        <v>9697019</v>
      </c>
      <c r="O481" s="64">
        <v>3625906</v>
      </c>
      <c r="P481" s="48">
        <f t="shared" si="56"/>
        <v>6071113</v>
      </c>
    </row>
    <row r="482" spans="1:16" ht="15.95" customHeight="1" thickBot="1" x14ac:dyDescent="0.3">
      <c r="A482" s="15" t="s">
        <v>941</v>
      </c>
      <c r="B482" s="8" t="s">
        <v>1035</v>
      </c>
      <c r="C482" s="17">
        <v>24700</v>
      </c>
      <c r="D482" s="60">
        <v>25.4</v>
      </c>
      <c r="E482" s="60">
        <v>25.4</v>
      </c>
      <c r="F482" s="60">
        <f>28.302-6.86</f>
        <v>21.442</v>
      </c>
      <c r="G482" s="60">
        <f>28.302-6.86</f>
        <v>21.442</v>
      </c>
      <c r="H482" s="14">
        <v>14.34</v>
      </c>
      <c r="I482" s="13">
        <v>2866</v>
      </c>
      <c r="J482" s="13">
        <f>I482*E482/D482</f>
        <v>2866</v>
      </c>
      <c r="K482" s="13">
        <f>J482*F482/E482</f>
        <v>2419.4004724409451</v>
      </c>
      <c r="L482" s="49">
        <f>K482*G482/F482</f>
        <v>2419.4004724409451</v>
      </c>
      <c r="M482" s="27">
        <v>14.34</v>
      </c>
      <c r="N482" s="64">
        <v>1424014</v>
      </c>
      <c r="O482" s="64">
        <v>1313528</v>
      </c>
      <c r="P482" s="48">
        <f t="shared" si="56"/>
        <v>110486</v>
      </c>
    </row>
    <row r="483" spans="1:16" ht="15.95" customHeight="1" x14ac:dyDescent="0.25">
      <c r="A483" s="15" t="s">
        <v>820</v>
      </c>
      <c r="B483" s="8" t="s">
        <v>914</v>
      </c>
      <c r="C483" s="9">
        <v>24691</v>
      </c>
      <c r="D483" s="12">
        <v>1</v>
      </c>
      <c r="E483" s="12">
        <v>1</v>
      </c>
      <c r="F483" s="12">
        <v>1</v>
      </c>
      <c r="G483" s="12">
        <v>1</v>
      </c>
      <c r="H483" s="10">
        <v>0.3</v>
      </c>
      <c r="I483" s="13">
        <v>179.27655999999999</v>
      </c>
      <c r="J483" s="13">
        <f t="shared" si="61"/>
        <v>179.27655999999999</v>
      </c>
      <c r="K483" s="13">
        <f t="shared" si="61"/>
        <v>179.27655999999999</v>
      </c>
      <c r="L483" s="49">
        <f>K483*G483/F483+39.964</f>
        <v>219.24055999999999</v>
      </c>
      <c r="M483" s="26">
        <v>0.3</v>
      </c>
      <c r="N483" s="64">
        <v>116938</v>
      </c>
      <c r="O483" s="64">
        <v>80440</v>
      </c>
      <c r="P483" s="48">
        <f t="shared" si="56"/>
        <v>36498</v>
      </c>
    </row>
    <row r="484" spans="1:16" ht="15.95" customHeight="1" x14ac:dyDescent="0.25">
      <c r="A484" s="20" t="s">
        <v>956</v>
      </c>
      <c r="B484" s="8" t="s">
        <v>915</v>
      </c>
      <c r="C484" s="9">
        <v>24701</v>
      </c>
      <c r="D484" s="12">
        <v>46.98</v>
      </c>
      <c r="E484" s="12">
        <v>46.98</v>
      </c>
      <c r="F484" s="12">
        <v>43.52</v>
      </c>
      <c r="G484" s="12">
        <v>43.52</v>
      </c>
      <c r="H484" s="10">
        <v>45.88</v>
      </c>
      <c r="I484" s="13">
        <v>10690</v>
      </c>
      <c r="J484" s="13">
        <f t="shared" si="61"/>
        <v>10690</v>
      </c>
      <c r="K484" s="13">
        <f t="shared" si="61"/>
        <v>9902.6990208599418</v>
      </c>
      <c r="L484" s="49">
        <f>K484*G484/F484</f>
        <v>9902.6990208599418</v>
      </c>
      <c r="M484" s="26">
        <v>44.26</v>
      </c>
      <c r="N484" s="64">
        <v>38528760</v>
      </c>
      <c r="O484" s="64">
        <v>12640518</v>
      </c>
      <c r="P484" s="48">
        <f t="shared" si="56"/>
        <v>25888242</v>
      </c>
    </row>
    <row r="485" spans="1:16" ht="15.95" customHeight="1" x14ac:dyDescent="0.25">
      <c r="A485" s="15" t="s">
        <v>822</v>
      </c>
      <c r="B485" s="8" t="s">
        <v>916</v>
      </c>
      <c r="C485" s="9">
        <v>24690</v>
      </c>
      <c r="D485" s="12">
        <v>12.09</v>
      </c>
      <c r="E485" s="12">
        <v>12.09</v>
      </c>
      <c r="F485" s="12">
        <v>10.77</v>
      </c>
      <c r="G485" s="12">
        <v>10.77</v>
      </c>
      <c r="H485" s="10">
        <v>8.83</v>
      </c>
      <c r="I485" s="13">
        <v>1919</v>
      </c>
      <c r="J485" s="13">
        <f t="shared" si="61"/>
        <v>1919</v>
      </c>
      <c r="K485" s="13">
        <f t="shared" si="61"/>
        <v>1709.4813895781635</v>
      </c>
      <c r="L485" s="49">
        <f>K485*G485/F485</f>
        <v>1709.4813895781635</v>
      </c>
      <c r="M485" s="26">
        <v>8.83</v>
      </c>
      <c r="N485" s="64">
        <v>4073498</v>
      </c>
      <c r="O485" s="64">
        <v>1428072</v>
      </c>
      <c r="P485" s="48">
        <f t="shared" si="56"/>
        <v>2645426</v>
      </c>
    </row>
    <row r="486" spans="1:16" ht="15.95" customHeight="1" x14ac:dyDescent="0.25">
      <c r="A486" s="15" t="s">
        <v>823</v>
      </c>
      <c r="B486" s="8" t="s">
        <v>917</v>
      </c>
      <c r="C486" s="9">
        <v>24716</v>
      </c>
      <c r="D486" s="12">
        <v>64.760000000000005</v>
      </c>
      <c r="E486" s="12">
        <v>64.760000000000005</v>
      </c>
      <c r="F486" s="12">
        <v>63.63</v>
      </c>
      <c r="G486" s="12">
        <v>63.63</v>
      </c>
      <c r="H486" s="10">
        <v>5.33</v>
      </c>
      <c r="I486" s="13">
        <v>30509.199000000001</v>
      </c>
      <c r="J486" s="13">
        <f t="shared" si="61"/>
        <v>30509.199000000001</v>
      </c>
      <c r="K486" s="13">
        <f t="shared" si="61"/>
        <v>29976.842686380482</v>
      </c>
      <c r="L486" s="49">
        <f>K486*G486/F486</f>
        <v>29976.842686380482</v>
      </c>
      <c r="M486" s="19">
        <v>2.42</v>
      </c>
      <c r="N486" s="64">
        <v>1934467</v>
      </c>
      <c r="O486" s="64">
        <v>1534814</v>
      </c>
      <c r="P486" s="48">
        <f t="shared" si="56"/>
        <v>399653</v>
      </c>
    </row>
    <row r="487" spans="1:16" ht="15.95" customHeight="1" x14ac:dyDescent="0.25">
      <c r="A487" s="20" t="s">
        <v>825</v>
      </c>
      <c r="B487" s="8" t="s">
        <v>918</v>
      </c>
      <c r="C487" s="9" t="s">
        <v>919</v>
      </c>
      <c r="D487" s="12">
        <v>100</v>
      </c>
      <c r="E487" s="12">
        <v>46.3</v>
      </c>
      <c r="F487" s="12">
        <v>33.200000000000003</v>
      </c>
      <c r="G487" s="12">
        <v>26.3</v>
      </c>
      <c r="H487" s="10">
        <v>21.9</v>
      </c>
      <c r="I487" s="11">
        <v>6512.6030000000001</v>
      </c>
      <c r="J487" s="13">
        <f t="shared" si="61"/>
        <v>3015.3351889999994</v>
      </c>
      <c r="K487" s="13">
        <f t="shared" si="61"/>
        <v>2162.1841960000002</v>
      </c>
      <c r="L487" s="49">
        <f>K487*G487/F487</f>
        <v>1712.8145890000001</v>
      </c>
      <c r="M487" s="26">
        <v>21.9</v>
      </c>
      <c r="N487" s="64">
        <v>6348882</v>
      </c>
      <c r="O487" s="64">
        <v>2104870</v>
      </c>
      <c r="P487" s="48">
        <f t="shared" si="56"/>
        <v>4244012</v>
      </c>
    </row>
    <row r="488" spans="1:16" ht="15.95" customHeight="1" x14ac:dyDescent="0.25">
      <c r="A488" s="15" t="s">
        <v>1081</v>
      </c>
      <c r="B488" s="8" t="s">
        <v>920</v>
      </c>
      <c r="C488" s="9">
        <v>24589</v>
      </c>
      <c r="D488" s="12">
        <v>15.24</v>
      </c>
      <c r="E488" s="12">
        <v>13.92</v>
      </c>
      <c r="F488" s="12">
        <v>12.98</v>
      </c>
      <c r="G488" s="12">
        <v>12.98</v>
      </c>
      <c r="H488" s="10">
        <v>2.2000000000000002</v>
      </c>
      <c r="I488" s="13">
        <v>3003.35653</v>
      </c>
      <c r="J488" s="13">
        <f t="shared" si="61"/>
        <v>2743.2232872440941</v>
      </c>
      <c r="K488" s="13">
        <f t="shared" si="61"/>
        <v>2557.9768870997373</v>
      </c>
      <c r="L488" s="49">
        <f>K488*G488/F488+40.398</f>
        <v>2598.3748870997379</v>
      </c>
      <c r="M488" s="28">
        <v>2.2000000000000002</v>
      </c>
      <c r="N488" s="64">
        <v>880814</v>
      </c>
      <c r="O488" s="64">
        <v>543188</v>
      </c>
      <c r="P488" s="48">
        <f t="shared" si="56"/>
        <v>337626</v>
      </c>
    </row>
    <row r="489" spans="1:16" ht="15.95" customHeight="1" x14ac:dyDescent="0.25">
      <c r="A489" s="15" t="s">
        <v>1084</v>
      </c>
      <c r="B489" s="8" t="s">
        <v>921</v>
      </c>
      <c r="C489" s="9">
        <v>24590</v>
      </c>
      <c r="D489" s="12">
        <v>60.2</v>
      </c>
      <c r="E489" s="12">
        <v>60.2</v>
      </c>
      <c r="F489" s="12">
        <v>56.27</v>
      </c>
      <c r="G489" s="12">
        <v>56.27</v>
      </c>
      <c r="H489" s="10">
        <v>48.61</v>
      </c>
      <c r="I489" s="13">
        <v>13839.7513</v>
      </c>
      <c r="J489" s="13">
        <f t="shared" si="61"/>
        <v>13839.7513</v>
      </c>
      <c r="K489" s="13">
        <f t="shared" si="61"/>
        <v>12936.259230083057</v>
      </c>
      <c r="L489" s="49">
        <f>K489*G489/F489+606.151</f>
        <v>13542.410230083056</v>
      </c>
      <c r="M489" s="19">
        <v>48.61</v>
      </c>
      <c r="N489" s="64">
        <v>23651996</v>
      </c>
      <c r="O489" s="64">
        <v>15319865</v>
      </c>
      <c r="P489" s="48">
        <f t="shared" ref="P489" si="62">N489-O489</f>
        <v>8332131</v>
      </c>
    </row>
    <row r="490" spans="1:16" ht="15.95" customHeight="1" x14ac:dyDescent="0.25">
      <c r="C490" s="65"/>
      <c r="E490" s="66"/>
      <c r="F490" s="67"/>
      <c r="G490" s="66"/>
      <c r="H490" s="68" t="s">
        <v>1002</v>
      </c>
      <c r="I490" s="69"/>
      <c r="J490" s="69"/>
      <c r="K490" s="69"/>
      <c r="L490" s="69"/>
      <c r="M490" s="69"/>
      <c r="N490" s="70">
        <f>SUM(N7:N489)</f>
        <v>7382665068.7500906</v>
      </c>
      <c r="O490" s="70">
        <f>SUM(O7:O489)</f>
        <v>2466040904</v>
      </c>
      <c r="P490" s="70">
        <f>SUM(P7:P489)</f>
        <v>4916624164.7500916</v>
      </c>
    </row>
    <row r="491" spans="1:16" ht="15.95" customHeight="1" x14ac:dyDescent="0.2">
      <c r="H491" s="61"/>
    </row>
    <row r="492" spans="1:16" ht="15.95" customHeight="1" x14ac:dyDescent="0.2">
      <c r="H492" s="61"/>
    </row>
    <row r="493" spans="1:16" ht="15.95" customHeight="1" x14ac:dyDescent="0.2">
      <c r="H493" s="61"/>
      <c r="N493" s="71"/>
      <c r="O493" s="71"/>
      <c r="P493" s="71"/>
    </row>
    <row r="494" spans="1:16" ht="15.95" customHeight="1" x14ac:dyDescent="0.2">
      <c r="H494" s="61"/>
    </row>
    <row r="495" spans="1:16" ht="15.95" customHeight="1" x14ac:dyDescent="0.2">
      <c r="H495" s="61"/>
    </row>
    <row r="496" spans="1:16" ht="15.95" customHeight="1" x14ac:dyDescent="0.2">
      <c r="H496" s="61"/>
    </row>
    <row r="497" spans="8:8" ht="15.95" customHeight="1" x14ac:dyDescent="0.2">
      <c r="H497" s="61"/>
    </row>
    <row r="498" spans="8:8" ht="15.95" customHeight="1" x14ac:dyDescent="0.2">
      <c r="H498" s="61"/>
    </row>
    <row r="499" spans="8:8" ht="15.95" customHeight="1" x14ac:dyDescent="0.2">
      <c r="H499" s="61"/>
    </row>
    <row r="500" spans="8:8" ht="15.95" customHeight="1" x14ac:dyDescent="0.2">
      <c r="H500" s="61"/>
    </row>
    <row r="501" spans="8:8" ht="15.95" customHeight="1" x14ac:dyDescent="0.2">
      <c r="H501" s="61"/>
    </row>
    <row r="502" spans="8:8" ht="15.95" customHeight="1" x14ac:dyDescent="0.2">
      <c r="H502" s="61"/>
    </row>
    <row r="503" spans="8:8" ht="15.95" customHeight="1" x14ac:dyDescent="0.2">
      <c r="H503" s="61"/>
    </row>
    <row r="504" spans="8:8" ht="15.95" customHeight="1" x14ac:dyDescent="0.2">
      <c r="H504" s="61"/>
    </row>
    <row r="505" spans="8:8" ht="15.95" customHeight="1" x14ac:dyDescent="0.2">
      <c r="H505" s="61"/>
    </row>
    <row r="506" spans="8:8" ht="15.95" customHeight="1" x14ac:dyDescent="0.2">
      <c r="H506" s="61"/>
    </row>
    <row r="507" spans="8:8" ht="15.95" customHeight="1" x14ac:dyDescent="0.2">
      <c r="H507" s="61"/>
    </row>
    <row r="508" spans="8:8" ht="15.95" customHeight="1" x14ac:dyDescent="0.2">
      <c r="H508" s="61"/>
    </row>
    <row r="509" spans="8:8" ht="15.95" customHeight="1" x14ac:dyDescent="0.2">
      <c r="H509" s="61"/>
    </row>
    <row r="510" spans="8:8" ht="15.95" customHeight="1" x14ac:dyDescent="0.2">
      <c r="H510" s="61"/>
    </row>
    <row r="511" spans="8:8" ht="15.95" customHeight="1" x14ac:dyDescent="0.2">
      <c r="H511" s="61"/>
    </row>
    <row r="512" spans="8:8" ht="15.95" customHeight="1" x14ac:dyDescent="0.2">
      <c r="H512" s="61"/>
    </row>
    <row r="513" spans="8:8" ht="15.95" customHeight="1" x14ac:dyDescent="0.2">
      <c r="H513" s="61"/>
    </row>
    <row r="514" spans="8:8" ht="15.95" customHeight="1" x14ac:dyDescent="0.2">
      <c r="H514" s="61"/>
    </row>
    <row r="515" spans="8:8" ht="15.95" customHeight="1" x14ac:dyDescent="0.2">
      <c r="H515" s="61"/>
    </row>
    <row r="516" spans="8:8" ht="15.95" customHeight="1" x14ac:dyDescent="0.2">
      <c r="H516" s="61"/>
    </row>
    <row r="517" spans="8:8" ht="15.95" customHeight="1" x14ac:dyDescent="0.2">
      <c r="H517" s="61"/>
    </row>
    <row r="518" spans="8:8" ht="15.95" customHeight="1" x14ac:dyDescent="0.2">
      <c r="H518" s="61"/>
    </row>
    <row r="519" spans="8:8" ht="15.95" customHeight="1" x14ac:dyDescent="0.2">
      <c r="H519" s="61"/>
    </row>
    <row r="520" spans="8:8" ht="15.95" customHeight="1" x14ac:dyDescent="0.2">
      <c r="H520" s="61"/>
    </row>
    <row r="521" spans="8:8" ht="15.95" customHeight="1" x14ac:dyDescent="0.2">
      <c r="H521" s="61"/>
    </row>
    <row r="522" spans="8:8" ht="15.95" customHeight="1" x14ac:dyDescent="0.2">
      <c r="H522" s="61"/>
    </row>
    <row r="523" spans="8:8" ht="15.95" customHeight="1" x14ac:dyDescent="0.2">
      <c r="H523" s="61"/>
    </row>
    <row r="524" spans="8:8" ht="15.95" customHeight="1" x14ac:dyDescent="0.2">
      <c r="H524" s="61"/>
    </row>
    <row r="525" spans="8:8" ht="15.95" customHeight="1" x14ac:dyDescent="0.2">
      <c r="H525" s="61"/>
    </row>
    <row r="526" spans="8:8" ht="15.95" customHeight="1" x14ac:dyDescent="0.2">
      <c r="H526" s="61"/>
    </row>
    <row r="527" spans="8:8" ht="15.95" customHeight="1" x14ac:dyDescent="0.2">
      <c r="H527" s="61"/>
    </row>
    <row r="528" spans="8:8" ht="15.95" customHeight="1" x14ac:dyDescent="0.2">
      <c r="H528" s="61"/>
    </row>
    <row r="529" spans="8:8" ht="15.95" customHeight="1" x14ac:dyDescent="0.2">
      <c r="H529" s="61"/>
    </row>
    <row r="530" spans="8:8" ht="15.95" customHeight="1" x14ac:dyDescent="0.2">
      <c r="H530" s="61"/>
    </row>
    <row r="531" spans="8:8" ht="15.95" customHeight="1" x14ac:dyDescent="0.2">
      <c r="H531" s="61"/>
    </row>
    <row r="532" spans="8:8" ht="15.95" customHeight="1" x14ac:dyDescent="0.2">
      <c r="H532" s="61"/>
    </row>
    <row r="533" spans="8:8" ht="15.95" customHeight="1" x14ac:dyDescent="0.2">
      <c r="H533" s="61"/>
    </row>
    <row r="534" spans="8:8" ht="15.95" customHeight="1" x14ac:dyDescent="0.2">
      <c r="H534" s="61"/>
    </row>
    <row r="535" spans="8:8" ht="15.95" customHeight="1" x14ac:dyDescent="0.2">
      <c r="H535" s="61"/>
    </row>
    <row r="536" spans="8:8" ht="15.95" customHeight="1" x14ac:dyDescent="0.2">
      <c r="H536" s="61"/>
    </row>
    <row r="537" spans="8:8" ht="15.95" customHeight="1" x14ac:dyDescent="0.2">
      <c r="H537" s="61"/>
    </row>
    <row r="538" spans="8:8" ht="15.95" customHeight="1" x14ac:dyDescent="0.2">
      <c r="H538" s="61"/>
    </row>
    <row r="539" spans="8:8" ht="15.95" customHeight="1" x14ac:dyDescent="0.2">
      <c r="H539" s="61"/>
    </row>
    <row r="540" spans="8:8" ht="15.95" customHeight="1" x14ac:dyDescent="0.2">
      <c r="H540" s="61"/>
    </row>
    <row r="541" spans="8:8" ht="15.95" customHeight="1" x14ac:dyDescent="0.2">
      <c r="H541" s="61"/>
    </row>
    <row r="542" spans="8:8" ht="15.95" customHeight="1" x14ac:dyDescent="0.2">
      <c r="H542" s="61"/>
    </row>
    <row r="543" spans="8:8" ht="15.95" customHeight="1" x14ac:dyDescent="0.2">
      <c r="H543" s="61"/>
    </row>
    <row r="544" spans="8:8" ht="15.95" customHeight="1" x14ac:dyDescent="0.2">
      <c r="H544" s="61"/>
    </row>
    <row r="545" spans="8:8" ht="15.95" customHeight="1" x14ac:dyDescent="0.2">
      <c r="H545" s="61"/>
    </row>
    <row r="546" spans="8:8" ht="15.95" customHeight="1" x14ac:dyDescent="0.2">
      <c r="H546" s="61"/>
    </row>
    <row r="547" spans="8:8" ht="15.95" customHeight="1" x14ac:dyDescent="0.2">
      <c r="H547" s="61"/>
    </row>
    <row r="548" spans="8:8" ht="15.95" customHeight="1" x14ac:dyDescent="0.2">
      <c r="H548" s="61"/>
    </row>
    <row r="549" spans="8:8" ht="15.95" customHeight="1" x14ac:dyDescent="0.2">
      <c r="H549" s="61"/>
    </row>
    <row r="550" spans="8:8" ht="15.95" customHeight="1" x14ac:dyDescent="0.2">
      <c r="H550" s="61"/>
    </row>
    <row r="551" spans="8:8" ht="15.95" customHeight="1" x14ac:dyDescent="0.2">
      <c r="H551" s="61"/>
    </row>
    <row r="552" spans="8:8" ht="15.95" customHeight="1" x14ac:dyDescent="0.2">
      <c r="H552" s="61"/>
    </row>
    <row r="553" spans="8:8" ht="15.95" customHeight="1" x14ac:dyDescent="0.2">
      <c r="H553" s="61"/>
    </row>
    <row r="554" spans="8:8" ht="15.95" customHeight="1" x14ac:dyDescent="0.2">
      <c r="H554" s="61"/>
    </row>
    <row r="555" spans="8:8" ht="15.95" customHeight="1" x14ac:dyDescent="0.2">
      <c r="H555" s="61"/>
    </row>
    <row r="556" spans="8:8" ht="15.95" customHeight="1" x14ac:dyDescent="0.2">
      <c r="H556" s="61"/>
    </row>
    <row r="557" spans="8:8" ht="15.95" customHeight="1" x14ac:dyDescent="0.2">
      <c r="H557" s="61"/>
    </row>
    <row r="558" spans="8:8" ht="15.95" customHeight="1" x14ac:dyDescent="0.2">
      <c r="H558" s="61"/>
    </row>
    <row r="559" spans="8:8" ht="15.95" customHeight="1" x14ac:dyDescent="0.2">
      <c r="H559" s="61"/>
    </row>
    <row r="560" spans="8:8" ht="15.95" customHeight="1" x14ac:dyDescent="0.2">
      <c r="H560" s="61"/>
    </row>
    <row r="561" spans="8:8" ht="15.95" customHeight="1" x14ac:dyDescent="0.2">
      <c r="H561" s="61"/>
    </row>
    <row r="562" spans="8:8" ht="15.95" customHeight="1" x14ac:dyDescent="0.2">
      <c r="H562" s="61"/>
    </row>
    <row r="563" spans="8:8" ht="15.95" customHeight="1" x14ac:dyDescent="0.2">
      <c r="H563" s="61"/>
    </row>
    <row r="564" spans="8:8" ht="15.95" customHeight="1" x14ac:dyDescent="0.2">
      <c r="H564" s="61"/>
    </row>
    <row r="565" spans="8:8" ht="15.95" customHeight="1" x14ac:dyDescent="0.2">
      <c r="H565" s="61"/>
    </row>
    <row r="566" spans="8:8" ht="15.95" customHeight="1" x14ac:dyDescent="0.2">
      <c r="H566" s="61"/>
    </row>
    <row r="567" spans="8:8" ht="15.95" customHeight="1" x14ac:dyDescent="0.2">
      <c r="H567" s="61"/>
    </row>
    <row r="568" spans="8:8" ht="15.95" customHeight="1" x14ac:dyDescent="0.2">
      <c r="H568" s="61"/>
    </row>
    <row r="569" spans="8:8" ht="15.95" customHeight="1" x14ac:dyDescent="0.2">
      <c r="H569" s="61"/>
    </row>
    <row r="570" spans="8:8" ht="15.95" customHeight="1" x14ac:dyDescent="0.2">
      <c r="H570" s="61"/>
    </row>
    <row r="571" spans="8:8" ht="15.95" customHeight="1" x14ac:dyDescent="0.2">
      <c r="H571" s="61"/>
    </row>
    <row r="572" spans="8:8" ht="15.95" customHeight="1" x14ac:dyDescent="0.2">
      <c r="H572" s="61"/>
    </row>
    <row r="573" spans="8:8" ht="15.95" customHeight="1" x14ac:dyDescent="0.2">
      <c r="H573" s="61"/>
    </row>
    <row r="574" spans="8:8" ht="15.95" customHeight="1" x14ac:dyDescent="0.2">
      <c r="H574" s="61"/>
    </row>
    <row r="575" spans="8:8" ht="15.95" customHeight="1" x14ac:dyDescent="0.2">
      <c r="H575" s="61"/>
    </row>
    <row r="576" spans="8:8" ht="15.95" customHeight="1" x14ac:dyDescent="0.2">
      <c r="H576" s="61"/>
    </row>
    <row r="577" spans="8:8" ht="15.95" customHeight="1" x14ac:dyDescent="0.2">
      <c r="H577" s="61"/>
    </row>
    <row r="578" spans="8:8" ht="15.95" customHeight="1" x14ac:dyDescent="0.2">
      <c r="H578" s="61"/>
    </row>
    <row r="579" spans="8:8" ht="15.95" customHeight="1" x14ac:dyDescent="0.2">
      <c r="H579" s="61"/>
    </row>
    <row r="580" spans="8:8" ht="15.95" customHeight="1" x14ac:dyDescent="0.2">
      <c r="H580" s="61"/>
    </row>
    <row r="581" spans="8:8" ht="15.95" customHeight="1" x14ac:dyDescent="0.2">
      <c r="H581" s="61"/>
    </row>
    <row r="582" spans="8:8" ht="15.95" customHeight="1" x14ac:dyDescent="0.2">
      <c r="H582" s="61"/>
    </row>
    <row r="583" spans="8:8" ht="15.95" customHeight="1" x14ac:dyDescent="0.2">
      <c r="H583" s="61"/>
    </row>
    <row r="584" spans="8:8" ht="15.95" customHeight="1" x14ac:dyDescent="0.2">
      <c r="H584" s="61"/>
    </row>
    <row r="585" spans="8:8" ht="15.95" customHeight="1" x14ac:dyDescent="0.2">
      <c r="H585" s="61"/>
    </row>
    <row r="586" spans="8:8" ht="15.95" customHeight="1" x14ac:dyDescent="0.2">
      <c r="H586" s="61"/>
    </row>
    <row r="587" spans="8:8" ht="15.95" customHeight="1" x14ac:dyDescent="0.2">
      <c r="H587" s="61"/>
    </row>
    <row r="588" spans="8:8" ht="15.95" customHeight="1" x14ac:dyDescent="0.2">
      <c r="H588" s="61"/>
    </row>
    <row r="589" spans="8:8" ht="15.95" customHeight="1" x14ac:dyDescent="0.2">
      <c r="H589" s="61"/>
    </row>
    <row r="590" spans="8:8" ht="15.95" customHeight="1" x14ac:dyDescent="0.2">
      <c r="H590" s="61"/>
    </row>
    <row r="591" spans="8:8" ht="15.95" customHeight="1" x14ac:dyDescent="0.2">
      <c r="H591" s="61"/>
    </row>
    <row r="592" spans="8:8" ht="15.95" customHeight="1" x14ac:dyDescent="0.2">
      <c r="H592" s="61"/>
    </row>
    <row r="593" spans="8:8" ht="15.95" customHeight="1" x14ac:dyDescent="0.2">
      <c r="H593" s="61"/>
    </row>
    <row r="594" spans="8:8" ht="15.95" customHeight="1" x14ac:dyDescent="0.2">
      <c r="H594" s="61"/>
    </row>
    <row r="595" spans="8:8" ht="15.95" customHeight="1" x14ac:dyDescent="0.2">
      <c r="H595" s="61"/>
    </row>
    <row r="596" spans="8:8" ht="15.95" customHeight="1" x14ac:dyDescent="0.2">
      <c r="H596" s="61"/>
    </row>
    <row r="597" spans="8:8" ht="15.95" customHeight="1" x14ac:dyDescent="0.2">
      <c r="H597" s="61"/>
    </row>
    <row r="598" spans="8:8" ht="15.95" customHeight="1" x14ac:dyDescent="0.2">
      <c r="H598" s="61"/>
    </row>
    <row r="599" spans="8:8" ht="15.95" customHeight="1" x14ac:dyDescent="0.2">
      <c r="H599" s="61"/>
    </row>
    <row r="600" spans="8:8" ht="15.95" customHeight="1" x14ac:dyDescent="0.2">
      <c r="H600" s="61"/>
    </row>
    <row r="601" spans="8:8" ht="15.95" customHeight="1" x14ac:dyDescent="0.2">
      <c r="H601" s="61"/>
    </row>
    <row r="602" spans="8:8" ht="15.95" customHeight="1" x14ac:dyDescent="0.2">
      <c r="H602" s="61"/>
    </row>
    <row r="603" spans="8:8" ht="15.95" customHeight="1" x14ac:dyDescent="0.2">
      <c r="H603" s="61"/>
    </row>
    <row r="604" spans="8:8" ht="15.95" customHeight="1" x14ac:dyDescent="0.2">
      <c r="H604" s="61"/>
    </row>
    <row r="605" spans="8:8" ht="15.95" customHeight="1" x14ac:dyDescent="0.2">
      <c r="H605" s="61"/>
    </row>
    <row r="606" spans="8:8" ht="15.95" customHeight="1" x14ac:dyDescent="0.2">
      <c r="H606" s="61"/>
    </row>
    <row r="607" spans="8:8" ht="15.95" customHeight="1" x14ac:dyDescent="0.2">
      <c r="H607" s="61"/>
    </row>
    <row r="608" spans="8:8" ht="15.95" customHeight="1" x14ac:dyDescent="0.2">
      <c r="H608" s="61"/>
    </row>
    <row r="609" spans="8:8" ht="15.95" customHeight="1" x14ac:dyDescent="0.2">
      <c r="H609" s="61"/>
    </row>
    <row r="610" spans="8:8" ht="15.95" customHeight="1" x14ac:dyDescent="0.2">
      <c r="H610" s="61"/>
    </row>
    <row r="611" spans="8:8" ht="15.95" customHeight="1" x14ac:dyDescent="0.2">
      <c r="H611" s="61"/>
    </row>
    <row r="612" spans="8:8" ht="15.95" customHeight="1" x14ac:dyDescent="0.2">
      <c r="H612" s="61"/>
    </row>
    <row r="613" spans="8:8" ht="15.95" customHeight="1" x14ac:dyDescent="0.2">
      <c r="H613" s="61"/>
    </row>
    <row r="614" spans="8:8" ht="15.95" customHeight="1" x14ac:dyDescent="0.2">
      <c r="H614" s="61"/>
    </row>
    <row r="615" spans="8:8" ht="15.95" customHeight="1" x14ac:dyDescent="0.2">
      <c r="H615" s="61"/>
    </row>
    <row r="616" spans="8:8" ht="15.95" customHeight="1" x14ac:dyDescent="0.2">
      <c r="H616" s="61"/>
    </row>
    <row r="617" spans="8:8" ht="15.95" customHeight="1" x14ac:dyDescent="0.2">
      <c r="H617" s="61"/>
    </row>
    <row r="618" spans="8:8" ht="15.95" customHeight="1" x14ac:dyDescent="0.2">
      <c r="H618" s="61"/>
    </row>
    <row r="619" spans="8:8" ht="15.95" customHeight="1" x14ac:dyDescent="0.2">
      <c r="H619" s="61"/>
    </row>
    <row r="620" spans="8:8" ht="15.95" customHeight="1" x14ac:dyDescent="0.2">
      <c r="H620" s="61"/>
    </row>
    <row r="621" spans="8:8" ht="15.95" customHeight="1" x14ac:dyDescent="0.2">
      <c r="H621" s="61"/>
    </row>
    <row r="622" spans="8:8" ht="15.95" customHeight="1" x14ac:dyDescent="0.2">
      <c r="H622" s="61"/>
    </row>
    <row r="623" spans="8:8" ht="15.95" customHeight="1" x14ac:dyDescent="0.2">
      <c r="H623" s="61"/>
    </row>
    <row r="624" spans="8:8" ht="15.95" customHeight="1" x14ac:dyDescent="0.2">
      <c r="H624" s="61"/>
    </row>
    <row r="625" spans="8:8" ht="15.95" customHeight="1" x14ac:dyDescent="0.2">
      <c r="H625" s="61"/>
    </row>
    <row r="626" spans="8:8" ht="15.95" customHeight="1" x14ac:dyDescent="0.2">
      <c r="H626" s="61"/>
    </row>
    <row r="627" spans="8:8" ht="15.95" customHeight="1" x14ac:dyDescent="0.2">
      <c r="H627" s="61"/>
    </row>
    <row r="628" spans="8:8" ht="15.95" customHeight="1" x14ac:dyDescent="0.2">
      <c r="H628" s="61"/>
    </row>
    <row r="629" spans="8:8" ht="15.95" customHeight="1" x14ac:dyDescent="0.2">
      <c r="H629" s="61"/>
    </row>
    <row r="630" spans="8:8" ht="15.95" customHeight="1" x14ac:dyDescent="0.2">
      <c r="H630" s="61"/>
    </row>
    <row r="631" spans="8:8" ht="15.95" customHeight="1" x14ac:dyDescent="0.2">
      <c r="H631" s="61"/>
    </row>
    <row r="632" spans="8:8" ht="15.95" customHeight="1" x14ac:dyDescent="0.2">
      <c r="H632" s="61"/>
    </row>
    <row r="633" spans="8:8" ht="15.95" customHeight="1" x14ac:dyDescent="0.2">
      <c r="H633" s="61"/>
    </row>
    <row r="634" spans="8:8" ht="15.95" customHeight="1" x14ac:dyDescent="0.2">
      <c r="H634" s="61"/>
    </row>
    <row r="635" spans="8:8" ht="15.95" customHeight="1" x14ac:dyDescent="0.2">
      <c r="H635" s="61"/>
    </row>
    <row r="636" spans="8:8" ht="15.95" customHeight="1" x14ac:dyDescent="0.2">
      <c r="H636" s="61"/>
    </row>
    <row r="637" spans="8:8" ht="15.95" customHeight="1" x14ac:dyDescent="0.2">
      <c r="H637" s="61"/>
    </row>
    <row r="638" spans="8:8" ht="15.95" customHeight="1" x14ac:dyDescent="0.2">
      <c r="H638" s="61"/>
    </row>
    <row r="639" spans="8:8" ht="15.95" customHeight="1" x14ac:dyDescent="0.2">
      <c r="H639" s="61"/>
    </row>
    <row r="640" spans="8:8" ht="15.95" customHeight="1" x14ac:dyDescent="0.2">
      <c r="H640" s="61"/>
    </row>
    <row r="641" spans="8:8" ht="15.95" customHeight="1" x14ac:dyDescent="0.2">
      <c r="H641" s="61"/>
    </row>
    <row r="642" spans="8:8" ht="15.95" customHeight="1" x14ac:dyDescent="0.2">
      <c r="H642" s="61"/>
    </row>
    <row r="643" spans="8:8" ht="15.95" customHeight="1" x14ac:dyDescent="0.2">
      <c r="H643" s="61"/>
    </row>
    <row r="644" spans="8:8" ht="15.95" customHeight="1" x14ac:dyDescent="0.2">
      <c r="H644" s="61"/>
    </row>
    <row r="645" spans="8:8" ht="15.95" customHeight="1" x14ac:dyDescent="0.2">
      <c r="H645" s="61"/>
    </row>
    <row r="646" spans="8:8" ht="15.95" customHeight="1" x14ac:dyDescent="0.2">
      <c r="H646" s="61"/>
    </row>
    <row r="647" spans="8:8" ht="15.95" customHeight="1" x14ac:dyDescent="0.2">
      <c r="H647" s="61"/>
    </row>
    <row r="648" spans="8:8" ht="15.95" customHeight="1" x14ac:dyDescent="0.2">
      <c r="H648" s="61"/>
    </row>
    <row r="649" spans="8:8" ht="15.95" customHeight="1" x14ac:dyDescent="0.2">
      <c r="H649" s="61"/>
    </row>
    <row r="650" spans="8:8" ht="15.95" customHeight="1" x14ac:dyDescent="0.2">
      <c r="H650" s="61"/>
    </row>
    <row r="651" spans="8:8" ht="15.95" customHeight="1" x14ac:dyDescent="0.2">
      <c r="H651" s="61"/>
    </row>
    <row r="652" spans="8:8" ht="15.95" customHeight="1" x14ac:dyDescent="0.2">
      <c r="H652" s="61"/>
    </row>
    <row r="653" spans="8:8" ht="15.95" customHeight="1" x14ac:dyDescent="0.2">
      <c r="H653" s="61"/>
    </row>
    <row r="654" spans="8:8" ht="15.95" customHeight="1" x14ac:dyDescent="0.2">
      <c r="H654" s="61"/>
    </row>
    <row r="655" spans="8:8" ht="15.95" customHeight="1" x14ac:dyDescent="0.2">
      <c r="H655" s="61"/>
    </row>
    <row r="656" spans="8:8" ht="15.95" customHeight="1" x14ac:dyDescent="0.2">
      <c r="H656" s="61"/>
    </row>
    <row r="657" spans="8:8" ht="15.95" customHeight="1" x14ac:dyDescent="0.2">
      <c r="H657" s="61"/>
    </row>
    <row r="658" spans="8:8" ht="15.95" customHeight="1" x14ac:dyDescent="0.2">
      <c r="H658" s="61"/>
    </row>
    <row r="659" spans="8:8" ht="15.95" customHeight="1" x14ac:dyDescent="0.2">
      <c r="H659" s="61"/>
    </row>
    <row r="660" spans="8:8" ht="15.95" customHeight="1" x14ac:dyDescent="0.2">
      <c r="H660" s="61"/>
    </row>
    <row r="661" spans="8:8" ht="15.95" customHeight="1" x14ac:dyDescent="0.2">
      <c r="H661" s="61"/>
    </row>
    <row r="662" spans="8:8" ht="15.95" customHeight="1" x14ac:dyDescent="0.2">
      <c r="H662" s="61"/>
    </row>
    <row r="663" spans="8:8" ht="15.95" customHeight="1" x14ac:dyDescent="0.2">
      <c r="H663" s="61"/>
    </row>
    <row r="664" spans="8:8" ht="15.95" customHeight="1" x14ac:dyDescent="0.2">
      <c r="H664" s="61"/>
    </row>
    <row r="665" spans="8:8" ht="15.95" customHeight="1" x14ac:dyDescent="0.2">
      <c r="H665" s="61"/>
    </row>
    <row r="666" spans="8:8" ht="15.95" customHeight="1" x14ac:dyDescent="0.2">
      <c r="H666" s="61"/>
    </row>
    <row r="667" spans="8:8" ht="15.95" customHeight="1" x14ac:dyDescent="0.2">
      <c r="H667" s="61"/>
    </row>
    <row r="668" spans="8:8" ht="15.95" customHeight="1" x14ac:dyDescent="0.2">
      <c r="H668" s="61"/>
    </row>
    <row r="669" spans="8:8" ht="15.95" customHeight="1" x14ac:dyDescent="0.2">
      <c r="H669" s="61"/>
    </row>
    <row r="670" spans="8:8" ht="15.95" customHeight="1" x14ac:dyDescent="0.2">
      <c r="H670" s="61"/>
    </row>
    <row r="671" spans="8:8" ht="15.95" customHeight="1" x14ac:dyDescent="0.2">
      <c r="H671" s="61"/>
    </row>
    <row r="672" spans="8:8" ht="15.95" customHeight="1" x14ac:dyDescent="0.2">
      <c r="H672" s="61"/>
    </row>
    <row r="673" spans="8:8" ht="15.95" customHeight="1" x14ac:dyDescent="0.2">
      <c r="H673" s="61"/>
    </row>
    <row r="674" spans="8:8" ht="15.95" customHeight="1" x14ac:dyDescent="0.2">
      <c r="H674" s="61"/>
    </row>
    <row r="675" spans="8:8" ht="15.95" customHeight="1" x14ac:dyDescent="0.2">
      <c r="H675" s="61"/>
    </row>
    <row r="676" spans="8:8" ht="15.95" customHeight="1" x14ac:dyDescent="0.2">
      <c r="H676" s="61"/>
    </row>
    <row r="677" spans="8:8" ht="15.95" customHeight="1" x14ac:dyDescent="0.2">
      <c r="H677" s="61"/>
    </row>
    <row r="678" spans="8:8" ht="15.95" customHeight="1" x14ac:dyDescent="0.2">
      <c r="H678" s="61"/>
    </row>
    <row r="679" spans="8:8" ht="15.95" customHeight="1" x14ac:dyDescent="0.2">
      <c r="H679" s="61"/>
    </row>
    <row r="680" spans="8:8" ht="15.95" customHeight="1" x14ac:dyDescent="0.2">
      <c r="H680" s="61"/>
    </row>
    <row r="681" spans="8:8" ht="15.95" customHeight="1" x14ac:dyDescent="0.2">
      <c r="H681" s="61"/>
    </row>
    <row r="682" spans="8:8" ht="15.95" customHeight="1" x14ac:dyDescent="0.2">
      <c r="H682" s="61"/>
    </row>
    <row r="683" spans="8:8" ht="15.95" customHeight="1" x14ac:dyDescent="0.2">
      <c r="H683" s="61"/>
    </row>
    <row r="684" spans="8:8" ht="15.95" customHeight="1" x14ac:dyDescent="0.2">
      <c r="H684" s="61"/>
    </row>
    <row r="685" spans="8:8" ht="15.95" customHeight="1" x14ac:dyDescent="0.2">
      <c r="H685" s="61"/>
    </row>
    <row r="686" spans="8:8" ht="15.95" customHeight="1" x14ac:dyDescent="0.2">
      <c r="H686" s="61"/>
    </row>
    <row r="687" spans="8:8" ht="15.95" customHeight="1" x14ac:dyDescent="0.2">
      <c r="H687" s="61"/>
    </row>
    <row r="688" spans="8:8" ht="15.95" customHeight="1" x14ac:dyDescent="0.2">
      <c r="H688" s="61"/>
    </row>
    <row r="689" spans="8:8" ht="15.95" customHeight="1" x14ac:dyDescent="0.2">
      <c r="H689" s="61"/>
    </row>
    <row r="690" spans="8:8" ht="15.95" customHeight="1" x14ac:dyDescent="0.2">
      <c r="H690" s="61"/>
    </row>
    <row r="691" spans="8:8" ht="15.95" customHeight="1" x14ac:dyDescent="0.2">
      <c r="H691" s="61"/>
    </row>
    <row r="692" spans="8:8" ht="15.95" customHeight="1" x14ac:dyDescent="0.2">
      <c r="H692" s="61"/>
    </row>
    <row r="693" spans="8:8" ht="15.95" customHeight="1" x14ac:dyDescent="0.2">
      <c r="H693" s="61"/>
    </row>
    <row r="694" spans="8:8" ht="15.95" customHeight="1" x14ac:dyDescent="0.2">
      <c r="H694" s="61"/>
    </row>
    <row r="695" spans="8:8" ht="15.95" customHeight="1" x14ac:dyDescent="0.2">
      <c r="H695" s="61"/>
    </row>
    <row r="696" spans="8:8" ht="15.95" customHeight="1" x14ac:dyDescent="0.2">
      <c r="H696" s="61"/>
    </row>
    <row r="697" spans="8:8" ht="15.95" customHeight="1" x14ac:dyDescent="0.2">
      <c r="H697" s="61"/>
    </row>
    <row r="698" spans="8:8" ht="15.95" customHeight="1" x14ac:dyDescent="0.2">
      <c r="H698" s="61"/>
    </row>
    <row r="699" spans="8:8" ht="15.95" customHeight="1" x14ac:dyDescent="0.2">
      <c r="H699" s="61"/>
    </row>
    <row r="700" spans="8:8" ht="15.95" customHeight="1" x14ac:dyDescent="0.2">
      <c r="H700" s="61"/>
    </row>
    <row r="701" spans="8:8" ht="15.95" customHeight="1" x14ac:dyDescent="0.2">
      <c r="H701" s="61"/>
    </row>
    <row r="702" spans="8:8" ht="15.95" customHeight="1" x14ac:dyDescent="0.2">
      <c r="H702" s="61"/>
    </row>
    <row r="703" spans="8:8" ht="15.95" customHeight="1" x14ac:dyDescent="0.2">
      <c r="H703" s="61"/>
    </row>
    <row r="704" spans="8:8" ht="15.95" customHeight="1" x14ac:dyDescent="0.2">
      <c r="H704" s="61"/>
    </row>
    <row r="705" spans="8:8" ht="15.95" customHeight="1" x14ac:dyDescent="0.2">
      <c r="H705" s="61"/>
    </row>
    <row r="706" spans="8:8" ht="15.95" customHeight="1" x14ac:dyDescent="0.2">
      <c r="H706" s="61"/>
    </row>
    <row r="707" spans="8:8" ht="15.95" customHeight="1" x14ac:dyDescent="0.2">
      <c r="H707" s="61"/>
    </row>
    <row r="708" spans="8:8" ht="15.95" customHeight="1" x14ac:dyDescent="0.2">
      <c r="H708" s="61"/>
    </row>
    <row r="709" spans="8:8" ht="15.95" customHeight="1" x14ac:dyDescent="0.2">
      <c r="H709" s="61"/>
    </row>
    <row r="710" spans="8:8" ht="15.95" customHeight="1" x14ac:dyDescent="0.2">
      <c r="H710" s="61"/>
    </row>
    <row r="711" spans="8:8" ht="15.95" customHeight="1" x14ac:dyDescent="0.2">
      <c r="H711" s="61"/>
    </row>
    <row r="712" spans="8:8" ht="15.95" customHeight="1" x14ac:dyDescent="0.2">
      <c r="H712" s="61"/>
    </row>
    <row r="713" spans="8:8" ht="15.95" customHeight="1" x14ac:dyDescent="0.2">
      <c r="H713" s="61"/>
    </row>
    <row r="714" spans="8:8" ht="15.95" customHeight="1" x14ac:dyDescent="0.2">
      <c r="H714" s="61"/>
    </row>
    <row r="715" spans="8:8" ht="15.95" customHeight="1" x14ac:dyDescent="0.2">
      <c r="H715" s="61"/>
    </row>
    <row r="716" spans="8:8" ht="15.95" customHeight="1" x14ac:dyDescent="0.2">
      <c r="H716" s="61"/>
    </row>
    <row r="717" spans="8:8" ht="15.95" customHeight="1" x14ac:dyDescent="0.2">
      <c r="H717" s="61"/>
    </row>
    <row r="718" spans="8:8" ht="15.95" customHeight="1" x14ac:dyDescent="0.2">
      <c r="H718" s="61"/>
    </row>
    <row r="719" spans="8:8" ht="15.95" customHeight="1" x14ac:dyDescent="0.2">
      <c r="H719" s="61"/>
    </row>
    <row r="720" spans="8:8" ht="15.95" customHeight="1" x14ac:dyDescent="0.2">
      <c r="H720" s="61"/>
    </row>
    <row r="721" spans="8:8" ht="15.95" customHeight="1" x14ac:dyDescent="0.2">
      <c r="H721" s="61"/>
    </row>
    <row r="722" spans="8:8" ht="15.95" customHeight="1" x14ac:dyDescent="0.2">
      <c r="H722" s="61"/>
    </row>
    <row r="723" spans="8:8" ht="15.95" customHeight="1" x14ac:dyDescent="0.2">
      <c r="H723" s="61"/>
    </row>
    <row r="724" spans="8:8" ht="15.95" customHeight="1" x14ac:dyDescent="0.2">
      <c r="H724" s="61"/>
    </row>
    <row r="725" spans="8:8" ht="15.95" customHeight="1" x14ac:dyDescent="0.2">
      <c r="H725" s="61"/>
    </row>
    <row r="726" spans="8:8" ht="15.95" customHeight="1" x14ac:dyDescent="0.2">
      <c r="H726" s="61"/>
    </row>
    <row r="727" spans="8:8" ht="15.95" customHeight="1" x14ac:dyDescent="0.2">
      <c r="H727" s="61"/>
    </row>
    <row r="728" spans="8:8" ht="15.95" customHeight="1" x14ac:dyDescent="0.2">
      <c r="H728" s="61"/>
    </row>
    <row r="729" spans="8:8" ht="15.95" customHeight="1" x14ac:dyDescent="0.2">
      <c r="H729" s="61"/>
    </row>
    <row r="730" spans="8:8" ht="15.95" customHeight="1" x14ac:dyDescent="0.2">
      <c r="H730" s="61"/>
    </row>
    <row r="731" spans="8:8" ht="15.95" customHeight="1" x14ac:dyDescent="0.2">
      <c r="H731" s="61"/>
    </row>
    <row r="732" spans="8:8" ht="15.95" customHeight="1" x14ac:dyDescent="0.2">
      <c r="H732" s="61"/>
    </row>
    <row r="733" spans="8:8" ht="15.95" customHeight="1" x14ac:dyDescent="0.2">
      <c r="H733" s="61"/>
    </row>
    <row r="734" spans="8:8" ht="15.95" customHeight="1" x14ac:dyDescent="0.2">
      <c r="H734" s="61"/>
    </row>
    <row r="735" spans="8:8" ht="15.95" customHeight="1" x14ac:dyDescent="0.2">
      <c r="H735" s="61"/>
    </row>
    <row r="736" spans="8:8" ht="15.95" customHeight="1" x14ac:dyDescent="0.2">
      <c r="H736" s="61"/>
    </row>
    <row r="737" spans="8:8" ht="15.95" customHeight="1" x14ac:dyDescent="0.2">
      <c r="H737" s="61"/>
    </row>
    <row r="738" spans="8:8" ht="15.95" customHeight="1" x14ac:dyDescent="0.2">
      <c r="H738" s="61"/>
    </row>
    <row r="739" spans="8:8" ht="15.95" customHeight="1" x14ac:dyDescent="0.2">
      <c r="H739" s="61"/>
    </row>
    <row r="740" spans="8:8" ht="15.95" customHeight="1" x14ac:dyDescent="0.2">
      <c r="H740" s="61"/>
    </row>
    <row r="741" spans="8:8" ht="15.95" customHeight="1" x14ac:dyDescent="0.2">
      <c r="H741" s="61"/>
    </row>
    <row r="742" spans="8:8" ht="15.95" customHeight="1" x14ac:dyDescent="0.2">
      <c r="H742" s="61"/>
    </row>
    <row r="743" spans="8:8" ht="15.95" customHeight="1" x14ac:dyDescent="0.2">
      <c r="H743" s="61"/>
    </row>
    <row r="744" spans="8:8" ht="15.95" customHeight="1" x14ac:dyDescent="0.2">
      <c r="H744" s="61"/>
    </row>
    <row r="745" spans="8:8" ht="15.95" customHeight="1" x14ac:dyDescent="0.2">
      <c r="H745" s="61"/>
    </row>
    <row r="746" spans="8:8" ht="15.95" customHeight="1" x14ac:dyDescent="0.2">
      <c r="H746" s="61"/>
    </row>
    <row r="747" spans="8:8" ht="15.95" customHeight="1" x14ac:dyDescent="0.2">
      <c r="H747" s="61"/>
    </row>
    <row r="748" spans="8:8" ht="15.95" customHeight="1" x14ac:dyDescent="0.2">
      <c r="H748" s="61"/>
    </row>
    <row r="749" spans="8:8" ht="15.95" customHeight="1" x14ac:dyDescent="0.2">
      <c r="H749" s="61"/>
    </row>
    <row r="750" spans="8:8" ht="15.95" customHeight="1" x14ac:dyDescent="0.2">
      <c r="H750" s="61"/>
    </row>
    <row r="751" spans="8:8" ht="15.95" customHeight="1" x14ac:dyDescent="0.2">
      <c r="H751" s="61"/>
    </row>
    <row r="752" spans="8:8" ht="15.95" customHeight="1" x14ac:dyDescent="0.2">
      <c r="H752" s="61"/>
    </row>
    <row r="753" spans="8:8" ht="15.95" customHeight="1" x14ac:dyDescent="0.2">
      <c r="H753" s="61"/>
    </row>
    <row r="754" spans="8:8" ht="15.95" customHeight="1" x14ac:dyDescent="0.2">
      <c r="H754" s="61"/>
    </row>
    <row r="755" spans="8:8" ht="15.95" customHeight="1" x14ac:dyDescent="0.2">
      <c r="H755" s="61"/>
    </row>
    <row r="756" spans="8:8" ht="15.95" customHeight="1" x14ac:dyDescent="0.2">
      <c r="H756" s="61"/>
    </row>
    <row r="757" spans="8:8" ht="15.95" customHeight="1" x14ac:dyDescent="0.2">
      <c r="H757" s="61"/>
    </row>
    <row r="758" spans="8:8" ht="15.95" customHeight="1" x14ac:dyDescent="0.2">
      <c r="H758" s="61"/>
    </row>
    <row r="759" spans="8:8" ht="15.95" customHeight="1" x14ac:dyDescent="0.2">
      <c r="H759" s="61"/>
    </row>
    <row r="760" spans="8:8" ht="15.95" customHeight="1" x14ac:dyDescent="0.2">
      <c r="H760" s="61"/>
    </row>
    <row r="761" spans="8:8" ht="15.95" customHeight="1" x14ac:dyDescent="0.2">
      <c r="H761" s="61"/>
    </row>
    <row r="762" spans="8:8" ht="15.95" customHeight="1" x14ac:dyDescent="0.2">
      <c r="H762" s="61"/>
    </row>
    <row r="763" spans="8:8" ht="15.95" customHeight="1" x14ac:dyDescent="0.2">
      <c r="H763" s="61"/>
    </row>
    <row r="764" spans="8:8" ht="15.95" customHeight="1" x14ac:dyDescent="0.2">
      <c r="H764" s="61"/>
    </row>
    <row r="765" spans="8:8" ht="15.95" customHeight="1" x14ac:dyDescent="0.2">
      <c r="H765" s="61"/>
    </row>
    <row r="766" spans="8:8" ht="15.95" customHeight="1" x14ac:dyDescent="0.2">
      <c r="H766" s="61"/>
    </row>
    <row r="767" spans="8:8" ht="15.95" customHeight="1" x14ac:dyDescent="0.2">
      <c r="H767" s="61"/>
    </row>
    <row r="768" spans="8:8" ht="15.95" customHeight="1" x14ac:dyDescent="0.2">
      <c r="H768" s="61"/>
    </row>
    <row r="769" spans="8:8" ht="15.95" customHeight="1" x14ac:dyDescent="0.2">
      <c r="H769" s="61"/>
    </row>
    <row r="770" spans="8:8" ht="15.95" customHeight="1" x14ac:dyDescent="0.2">
      <c r="H770" s="61"/>
    </row>
    <row r="771" spans="8:8" ht="15.95" customHeight="1" x14ac:dyDescent="0.2">
      <c r="H771" s="61"/>
    </row>
    <row r="772" spans="8:8" ht="15.95" customHeight="1" x14ac:dyDescent="0.2">
      <c r="H772" s="61"/>
    </row>
    <row r="773" spans="8:8" ht="15.95" customHeight="1" x14ac:dyDescent="0.2">
      <c r="H773" s="61"/>
    </row>
    <row r="774" spans="8:8" ht="15.95" customHeight="1" x14ac:dyDescent="0.2">
      <c r="H774" s="61"/>
    </row>
    <row r="775" spans="8:8" ht="15.95" customHeight="1" x14ac:dyDescent="0.2">
      <c r="H775" s="61"/>
    </row>
    <row r="776" spans="8:8" ht="15.95" customHeight="1" x14ac:dyDescent="0.2">
      <c r="H776" s="61"/>
    </row>
    <row r="777" spans="8:8" ht="15.95" customHeight="1" x14ac:dyDescent="0.2">
      <c r="H777" s="61"/>
    </row>
    <row r="778" spans="8:8" ht="15.95" customHeight="1" x14ac:dyDescent="0.2">
      <c r="H778" s="61"/>
    </row>
    <row r="779" spans="8:8" ht="15.95" customHeight="1" x14ac:dyDescent="0.2">
      <c r="H779" s="61"/>
    </row>
    <row r="780" spans="8:8" ht="15.95" customHeight="1" x14ac:dyDescent="0.2">
      <c r="H780" s="61"/>
    </row>
    <row r="781" spans="8:8" ht="15.95" customHeight="1" x14ac:dyDescent="0.2">
      <c r="H781" s="61"/>
    </row>
    <row r="782" spans="8:8" ht="15.95" customHeight="1" x14ac:dyDescent="0.2">
      <c r="H782" s="61"/>
    </row>
    <row r="783" spans="8:8" ht="15.95" customHeight="1" x14ac:dyDescent="0.2">
      <c r="H783" s="61"/>
    </row>
    <row r="784" spans="8:8" ht="15.95" customHeight="1" x14ac:dyDescent="0.2">
      <c r="H784" s="61"/>
    </row>
    <row r="785" spans="8:8" ht="15.95" customHeight="1" x14ac:dyDescent="0.2">
      <c r="H785" s="61"/>
    </row>
    <row r="786" spans="8:8" ht="15.95" customHeight="1" x14ac:dyDescent="0.2">
      <c r="H786" s="61"/>
    </row>
    <row r="787" spans="8:8" ht="15.95" customHeight="1" x14ac:dyDescent="0.2">
      <c r="H787" s="61"/>
    </row>
    <row r="788" spans="8:8" ht="15.95" customHeight="1" x14ac:dyDescent="0.2">
      <c r="H788" s="61"/>
    </row>
    <row r="789" spans="8:8" ht="15.95" customHeight="1" x14ac:dyDescent="0.2">
      <c r="H789" s="61"/>
    </row>
    <row r="790" spans="8:8" ht="15.95" customHeight="1" x14ac:dyDescent="0.2">
      <c r="H790" s="61"/>
    </row>
    <row r="791" spans="8:8" ht="15.95" customHeight="1" x14ac:dyDescent="0.2">
      <c r="H791" s="61"/>
    </row>
    <row r="792" spans="8:8" ht="15.95" customHeight="1" x14ac:dyDescent="0.2">
      <c r="H792" s="61"/>
    </row>
    <row r="793" spans="8:8" ht="15.95" customHeight="1" x14ac:dyDescent="0.2">
      <c r="H793" s="61"/>
    </row>
    <row r="794" spans="8:8" ht="15.95" customHeight="1" x14ac:dyDescent="0.2">
      <c r="H794" s="61"/>
    </row>
    <row r="795" spans="8:8" ht="15.95" customHeight="1" x14ac:dyDescent="0.2">
      <c r="H795" s="61"/>
    </row>
    <row r="796" spans="8:8" ht="15.95" customHeight="1" x14ac:dyDescent="0.2">
      <c r="H796" s="61"/>
    </row>
    <row r="797" spans="8:8" ht="15.95" customHeight="1" x14ac:dyDescent="0.2">
      <c r="H797" s="61"/>
    </row>
    <row r="798" spans="8:8" ht="15.95" customHeight="1" x14ac:dyDescent="0.2">
      <c r="H798" s="61"/>
    </row>
    <row r="799" spans="8:8" ht="15.95" customHeight="1" x14ac:dyDescent="0.2">
      <c r="H799" s="61"/>
    </row>
    <row r="800" spans="8:8" ht="15.95" customHeight="1" x14ac:dyDescent="0.2">
      <c r="H800" s="61"/>
    </row>
    <row r="801" spans="8:8" ht="15.95" customHeight="1" x14ac:dyDescent="0.2">
      <c r="H801" s="61"/>
    </row>
    <row r="802" spans="8:8" ht="15.95" customHeight="1" x14ac:dyDescent="0.2">
      <c r="H802" s="61"/>
    </row>
    <row r="803" spans="8:8" ht="15.95" customHeight="1" x14ac:dyDescent="0.2">
      <c r="H803" s="61"/>
    </row>
    <row r="804" spans="8:8" ht="15.95" customHeight="1" x14ac:dyDescent="0.2">
      <c r="H804" s="61"/>
    </row>
    <row r="805" spans="8:8" ht="15.95" customHeight="1" x14ac:dyDescent="0.2">
      <c r="H805" s="61"/>
    </row>
    <row r="806" spans="8:8" ht="15.95" customHeight="1" x14ac:dyDescent="0.2">
      <c r="H806" s="61"/>
    </row>
    <row r="807" spans="8:8" ht="15.95" customHeight="1" x14ac:dyDescent="0.2">
      <c r="H807" s="61"/>
    </row>
    <row r="808" spans="8:8" ht="15.95" customHeight="1" x14ac:dyDescent="0.2">
      <c r="H808" s="61"/>
    </row>
    <row r="809" spans="8:8" ht="15.95" customHeight="1" x14ac:dyDescent="0.2">
      <c r="H809" s="61"/>
    </row>
    <row r="810" spans="8:8" ht="15.95" customHeight="1" x14ac:dyDescent="0.2">
      <c r="H810" s="61"/>
    </row>
    <row r="811" spans="8:8" ht="15.95" customHeight="1" x14ac:dyDescent="0.2">
      <c r="H811" s="61"/>
    </row>
    <row r="812" spans="8:8" ht="15.95" customHeight="1" x14ac:dyDescent="0.2">
      <c r="H812" s="61"/>
    </row>
    <row r="813" spans="8:8" ht="15.95" customHeight="1" x14ac:dyDescent="0.2">
      <c r="H813" s="61"/>
    </row>
    <row r="814" spans="8:8" ht="15.95" customHeight="1" x14ac:dyDescent="0.2">
      <c r="H814" s="61"/>
    </row>
    <row r="815" spans="8:8" ht="15.95" customHeight="1" x14ac:dyDescent="0.2">
      <c r="H815" s="61"/>
    </row>
    <row r="816" spans="8:8" ht="15.95" customHeight="1" x14ac:dyDescent="0.2">
      <c r="H816" s="61"/>
    </row>
    <row r="817" spans="8:8" ht="15.95" customHeight="1" x14ac:dyDescent="0.2">
      <c r="H817" s="61"/>
    </row>
    <row r="818" spans="8:8" ht="15.95" customHeight="1" x14ac:dyDescent="0.2">
      <c r="H818" s="61"/>
    </row>
    <row r="819" spans="8:8" ht="15.95" customHeight="1" x14ac:dyDescent="0.2">
      <c r="H819" s="61"/>
    </row>
    <row r="820" spans="8:8" ht="15.95" customHeight="1" x14ac:dyDescent="0.2">
      <c r="H820" s="61"/>
    </row>
    <row r="821" spans="8:8" ht="15.95" customHeight="1" x14ac:dyDescent="0.2">
      <c r="H821" s="61"/>
    </row>
    <row r="822" spans="8:8" ht="15.95" customHeight="1" x14ac:dyDescent="0.2">
      <c r="H822" s="61"/>
    </row>
    <row r="823" spans="8:8" ht="15.95" customHeight="1" x14ac:dyDescent="0.2">
      <c r="H823" s="61"/>
    </row>
    <row r="824" spans="8:8" ht="15.95" customHeight="1" x14ac:dyDescent="0.2">
      <c r="H824" s="61"/>
    </row>
    <row r="825" spans="8:8" ht="15.95" customHeight="1" x14ac:dyDescent="0.2">
      <c r="H825" s="61"/>
    </row>
    <row r="826" spans="8:8" ht="15.95" customHeight="1" x14ac:dyDescent="0.2">
      <c r="H826" s="61"/>
    </row>
    <row r="827" spans="8:8" ht="15.95" customHeight="1" x14ac:dyDescent="0.2">
      <c r="H827" s="61"/>
    </row>
    <row r="828" spans="8:8" ht="15.95" customHeight="1" x14ac:dyDescent="0.2">
      <c r="H828" s="61"/>
    </row>
    <row r="829" spans="8:8" ht="15.95" customHeight="1" x14ac:dyDescent="0.2">
      <c r="H829" s="61"/>
    </row>
    <row r="830" spans="8:8" ht="15.95" customHeight="1" x14ac:dyDescent="0.2">
      <c r="H830" s="61"/>
    </row>
    <row r="831" spans="8:8" ht="15.95" customHeight="1" x14ac:dyDescent="0.2">
      <c r="H831" s="61"/>
    </row>
    <row r="832" spans="8:8" ht="15.95" customHeight="1" x14ac:dyDescent="0.2">
      <c r="H832" s="61"/>
    </row>
    <row r="833" spans="8:8" ht="15.95" customHeight="1" x14ac:dyDescent="0.2">
      <c r="H833" s="61"/>
    </row>
    <row r="834" spans="8:8" ht="15.95" customHeight="1" x14ac:dyDescent="0.2">
      <c r="H834" s="61"/>
    </row>
    <row r="835" spans="8:8" ht="15.95" customHeight="1" x14ac:dyDescent="0.2">
      <c r="H835" s="61"/>
    </row>
    <row r="836" spans="8:8" ht="15.95" customHeight="1" x14ac:dyDescent="0.2">
      <c r="H836" s="61"/>
    </row>
    <row r="837" spans="8:8" ht="15.95" customHeight="1" x14ac:dyDescent="0.2">
      <c r="H837" s="61"/>
    </row>
    <row r="838" spans="8:8" ht="15.95" customHeight="1" x14ac:dyDescent="0.2">
      <c r="H838" s="61"/>
    </row>
    <row r="839" spans="8:8" ht="15.95" customHeight="1" x14ac:dyDescent="0.2">
      <c r="H839" s="61"/>
    </row>
    <row r="840" spans="8:8" ht="15.95" customHeight="1" x14ac:dyDescent="0.2">
      <c r="H840" s="61"/>
    </row>
    <row r="841" spans="8:8" ht="15.95" customHeight="1" x14ac:dyDescent="0.2">
      <c r="H841" s="61"/>
    </row>
    <row r="842" spans="8:8" ht="15.95" customHeight="1" x14ac:dyDescent="0.2">
      <c r="H842" s="61"/>
    </row>
    <row r="843" spans="8:8" ht="15.95" customHeight="1" x14ac:dyDescent="0.2">
      <c r="H843" s="61"/>
    </row>
    <row r="844" spans="8:8" ht="15.95" customHeight="1" x14ac:dyDescent="0.2">
      <c r="H844" s="61"/>
    </row>
    <row r="845" spans="8:8" ht="15.95" customHeight="1" x14ac:dyDescent="0.2">
      <c r="H845" s="61"/>
    </row>
    <row r="846" spans="8:8" ht="15.95" customHeight="1" x14ac:dyDescent="0.2">
      <c r="H846" s="61"/>
    </row>
    <row r="847" spans="8:8" ht="15.95" customHeight="1" x14ac:dyDescent="0.2">
      <c r="H847" s="61"/>
    </row>
    <row r="848" spans="8:8" ht="15.95" customHeight="1" x14ac:dyDescent="0.2">
      <c r="H848" s="61"/>
    </row>
    <row r="849" spans="8:8" ht="15.95" customHeight="1" x14ac:dyDescent="0.2">
      <c r="H849" s="61"/>
    </row>
    <row r="850" spans="8:8" ht="15.95" customHeight="1" x14ac:dyDescent="0.2">
      <c r="H850" s="61"/>
    </row>
    <row r="851" spans="8:8" ht="15.95" customHeight="1" x14ac:dyDescent="0.2">
      <c r="H851" s="61"/>
    </row>
    <row r="852" spans="8:8" ht="15.95" customHeight="1" x14ac:dyDescent="0.2">
      <c r="H852" s="61"/>
    </row>
    <row r="853" spans="8:8" ht="15.95" customHeight="1" x14ac:dyDescent="0.2">
      <c r="H853" s="61"/>
    </row>
    <row r="854" spans="8:8" ht="15.95" customHeight="1" x14ac:dyDescent="0.2">
      <c r="H854" s="61"/>
    </row>
    <row r="855" spans="8:8" ht="15.95" customHeight="1" x14ac:dyDescent="0.2">
      <c r="H855" s="61"/>
    </row>
    <row r="856" spans="8:8" ht="15.95" customHeight="1" x14ac:dyDescent="0.2">
      <c r="H856" s="61"/>
    </row>
    <row r="857" spans="8:8" ht="15.95" customHeight="1" x14ac:dyDescent="0.2">
      <c r="H857" s="61"/>
    </row>
    <row r="858" spans="8:8" ht="15.95" customHeight="1" x14ac:dyDescent="0.2">
      <c r="H858" s="61"/>
    </row>
    <row r="859" spans="8:8" ht="15.95" customHeight="1" x14ac:dyDescent="0.2">
      <c r="H859" s="61"/>
    </row>
    <row r="860" spans="8:8" ht="15.95" customHeight="1" x14ac:dyDescent="0.2">
      <c r="H860" s="61"/>
    </row>
    <row r="861" spans="8:8" ht="15.95" customHeight="1" x14ac:dyDescent="0.2">
      <c r="H861" s="61"/>
    </row>
    <row r="862" spans="8:8" ht="15.95" customHeight="1" x14ac:dyDescent="0.2">
      <c r="H862" s="61"/>
    </row>
    <row r="863" spans="8:8" ht="15.95" customHeight="1" x14ac:dyDescent="0.2">
      <c r="H863" s="61"/>
    </row>
    <row r="864" spans="8:8" ht="15.95" customHeight="1" x14ac:dyDescent="0.2">
      <c r="H864" s="61"/>
    </row>
    <row r="865" spans="8:8" ht="15.95" customHeight="1" x14ac:dyDescent="0.2">
      <c r="H865" s="61"/>
    </row>
    <row r="866" spans="8:8" ht="15.95" customHeight="1" x14ac:dyDescent="0.2">
      <c r="H866" s="61"/>
    </row>
    <row r="867" spans="8:8" ht="15.95" customHeight="1" x14ac:dyDescent="0.2">
      <c r="H867" s="61"/>
    </row>
    <row r="868" spans="8:8" ht="15.95" customHeight="1" x14ac:dyDescent="0.2">
      <c r="H868" s="61"/>
    </row>
    <row r="869" spans="8:8" ht="15.95" customHeight="1" x14ac:dyDescent="0.2">
      <c r="H869" s="61"/>
    </row>
    <row r="870" spans="8:8" ht="15.95" customHeight="1" x14ac:dyDescent="0.2">
      <c r="H870" s="61"/>
    </row>
    <row r="871" spans="8:8" ht="15.95" customHeight="1" x14ac:dyDescent="0.2">
      <c r="H871" s="61"/>
    </row>
    <row r="872" spans="8:8" ht="15.95" customHeight="1" x14ac:dyDescent="0.2">
      <c r="H872" s="61"/>
    </row>
    <row r="873" spans="8:8" ht="15.95" customHeight="1" x14ac:dyDescent="0.2">
      <c r="H873" s="61"/>
    </row>
    <row r="874" spans="8:8" ht="15.95" customHeight="1" x14ac:dyDescent="0.2">
      <c r="H874" s="61"/>
    </row>
    <row r="875" spans="8:8" ht="15.95" customHeight="1" x14ac:dyDescent="0.2">
      <c r="H875" s="61"/>
    </row>
    <row r="876" spans="8:8" ht="15.95" customHeight="1" x14ac:dyDescent="0.2">
      <c r="H876" s="61"/>
    </row>
    <row r="877" spans="8:8" ht="15.95" customHeight="1" x14ac:dyDescent="0.2">
      <c r="H877" s="61"/>
    </row>
    <row r="878" spans="8:8" ht="15.95" customHeight="1" x14ac:dyDescent="0.2">
      <c r="H878" s="61"/>
    </row>
    <row r="879" spans="8:8" ht="15.95" customHeight="1" x14ac:dyDescent="0.2">
      <c r="H879" s="61"/>
    </row>
    <row r="880" spans="8:8" ht="15.95" customHeight="1" x14ac:dyDescent="0.2">
      <c r="H880" s="61"/>
    </row>
    <row r="881" spans="8:8" ht="15.95" customHeight="1" x14ac:dyDescent="0.2">
      <c r="H881" s="61"/>
    </row>
    <row r="882" spans="8:8" ht="15.95" customHeight="1" x14ac:dyDescent="0.2">
      <c r="H882" s="61"/>
    </row>
    <row r="883" spans="8:8" ht="15.95" customHeight="1" x14ac:dyDescent="0.2">
      <c r="H883" s="61"/>
    </row>
    <row r="884" spans="8:8" ht="15.95" customHeight="1" x14ac:dyDescent="0.2">
      <c r="H884" s="61"/>
    </row>
    <row r="885" spans="8:8" ht="15.95" customHeight="1" x14ac:dyDescent="0.2">
      <c r="H885" s="61"/>
    </row>
    <row r="886" spans="8:8" ht="15.95" customHeight="1" x14ac:dyDescent="0.2">
      <c r="H886" s="61"/>
    </row>
    <row r="887" spans="8:8" ht="15.95" customHeight="1" x14ac:dyDescent="0.2">
      <c r="H887" s="61"/>
    </row>
    <row r="888" spans="8:8" ht="15.95" customHeight="1" x14ac:dyDescent="0.2">
      <c r="H888" s="61"/>
    </row>
    <row r="889" spans="8:8" ht="15.95" customHeight="1" x14ac:dyDescent="0.2">
      <c r="H889" s="61"/>
    </row>
    <row r="890" spans="8:8" ht="15.95" customHeight="1" x14ac:dyDescent="0.2">
      <c r="H890" s="61"/>
    </row>
    <row r="891" spans="8:8" ht="15.95" customHeight="1" x14ac:dyDescent="0.2">
      <c r="H891" s="61"/>
    </row>
    <row r="892" spans="8:8" ht="15.95" customHeight="1" x14ac:dyDescent="0.2">
      <c r="H892" s="61"/>
    </row>
    <row r="893" spans="8:8" ht="15.95" customHeight="1" x14ac:dyDescent="0.2">
      <c r="H893" s="61"/>
    </row>
    <row r="894" spans="8:8" ht="15.95" customHeight="1" x14ac:dyDescent="0.2">
      <c r="H894" s="61"/>
    </row>
    <row r="895" spans="8:8" ht="15.95" customHeight="1" x14ac:dyDescent="0.2">
      <c r="H895" s="61"/>
    </row>
    <row r="896" spans="8:8" ht="15.95" customHeight="1" x14ac:dyDescent="0.2">
      <c r="H896" s="61"/>
    </row>
    <row r="897" spans="8:8" ht="15.95" customHeight="1" x14ac:dyDescent="0.2">
      <c r="H897" s="61"/>
    </row>
    <row r="898" spans="8:8" ht="15.95" customHeight="1" x14ac:dyDescent="0.2">
      <c r="H898" s="61"/>
    </row>
    <row r="899" spans="8:8" ht="15.95" customHeight="1" x14ac:dyDescent="0.2">
      <c r="H899" s="61"/>
    </row>
    <row r="900" spans="8:8" ht="15.95" customHeight="1" x14ac:dyDescent="0.2">
      <c r="H900" s="61"/>
    </row>
    <row r="901" spans="8:8" ht="15.95" customHeight="1" x14ac:dyDescent="0.2">
      <c r="H901" s="61"/>
    </row>
    <row r="902" spans="8:8" ht="15.95" customHeight="1" x14ac:dyDescent="0.2">
      <c r="H902" s="61"/>
    </row>
    <row r="903" spans="8:8" ht="15.95" customHeight="1" x14ac:dyDescent="0.2">
      <c r="H903" s="61"/>
    </row>
    <row r="904" spans="8:8" ht="15.95" customHeight="1" x14ac:dyDescent="0.2">
      <c r="H904" s="61"/>
    </row>
    <row r="905" spans="8:8" ht="15.95" customHeight="1" x14ac:dyDescent="0.2">
      <c r="H905" s="61"/>
    </row>
    <row r="906" spans="8:8" ht="15.95" customHeight="1" x14ac:dyDescent="0.2">
      <c r="H906" s="61"/>
    </row>
    <row r="907" spans="8:8" ht="15.95" customHeight="1" x14ac:dyDescent="0.2">
      <c r="H907" s="61"/>
    </row>
    <row r="908" spans="8:8" ht="15.95" customHeight="1" x14ac:dyDescent="0.2">
      <c r="H908" s="61"/>
    </row>
    <row r="909" spans="8:8" ht="15.95" customHeight="1" x14ac:dyDescent="0.2">
      <c r="H909" s="61"/>
    </row>
    <row r="910" spans="8:8" ht="15.95" customHeight="1" x14ac:dyDescent="0.2">
      <c r="H910" s="61"/>
    </row>
    <row r="911" spans="8:8" ht="15.95" customHeight="1" x14ac:dyDescent="0.2">
      <c r="H911" s="61"/>
    </row>
    <row r="912" spans="8:8" ht="15.95" customHeight="1" x14ac:dyDescent="0.2">
      <c r="H912" s="61"/>
    </row>
    <row r="913" spans="8:8" ht="15.95" customHeight="1" x14ac:dyDescent="0.2">
      <c r="H913" s="61"/>
    </row>
    <row r="914" spans="8:8" ht="15.95" customHeight="1" x14ac:dyDescent="0.2">
      <c r="H914" s="61"/>
    </row>
    <row r="915" spans="8:8" ht="15.95" customHeight="1" x14ac:dyDescent="0.2">
      <c r="H915" s="61"/>
    </row>
    <row r="916" spans="8:8" ht="15.95" customHeight="1" x14ac:dyDescent="0.2">
      <c r="H916" s="61"/>
    </row>
    <row r="917" spans="8:8" ht="15.95" customHeight="1" x14ac:dyDescent="0.2">
      <c r="H917" s="61"/>
    </row>
    <row r="918" spans="8:8" ht="15.95" customHeight="1" x14ac:dyDescent="0.2">
      <c r="H918" s="61"/>
    </row>
    <row r="919" spans="8:8" ht="15.95" customHeight="1" x14ac:dyDescent="0.2">
      <c r="H919" s="61"/>
    </row>
    <row r="920" spans="8:8" ht="15.95" customHeight="1" x14ac:dyDescent="0.2">
      <c r="H920" s="61"/>
    </row>
    <row r="921" spans="8:8" ht="15.95" customHeight="1" x14ac:dyDescent="0.2">
      <c r="H921" s="61"/>
    </row>
    <row r="922" spans="8:8" ht="15.95" customHeight="1" x14ac:dyDescent="0.2">
      <c r="H922" s="61"/>
    </row>
    <row r="923" spans="8:8" ht="15.95" customHeight="1" x14ac:dyDescent="0.2">
      <c r="H923" s="61"/>
    </row>
    <row r="924" spans="8:8" ht="15.95" customHeight="1" x14ac:dyDescent="0.2">
      <c r="H924" s="61"/>
    </row>
    <row r="925" spans="8:8" ht="15.95" customHeight="1" x14ac:dyDescent="0.2">
      <c r="H925" s="61"/>
    </row>
    <row r="926" spans="8:8" ht="15.95" customHeight="1" x14ac:dyDescent="0.2">
      <c r="H926" s="61"/>
    </row>
    <row r="927" spans="8:8" ht="15.95" customHeight="1" x14ac:dyDescent="0.2">
      <c r="H927" s="61"/>
    </row>
    <row r="928" spans="8:8" ht="15.95" customHeight="1" x14ac:dyDescent="0.2">
      <c r="H928" s="61"/>
    </row>
    <row r="929" spans="8:8" ht="15.95" customHeight="1" x14ac:dyDescent="0.2">
      <c r="H929" s="61"/>
    </row>
    <row r="930" spans="8:8" ht="15.95" customHeight="1" x14ac:dyDescent="0.2">
      <c r="H930" s="61"/>
    </row>
    <row r="931" spans="8:8" ht="15.95" customHeight="1" x14ac:dyDescent="0.2">
      <c r="H931" s="61"/>
    </row>
    <row r="932" spans="8:8" ht="15.95" customHeight="1" x14ac:dyDescent="0.2">
      <c r="H932" s="61"/>
    </row>
    <row r="933" spans="8:8" ht="15.95" customHeight="1" x14ac:dyDescent="0.2">
      <c r="H933" s="61"/>
    </row>
    <row r="934" spans="8:8" ht="15.95" customHeight="1" x14ac:dyDescent="0.2">
      <c r="H934" s="61"/>
    </row>
    <row r="935" spans="8:8" ht="15.95" customHeight="1" x14ac:dyDescent="0.2">
      <c r="H935" s="61"/>
    </row>
    <row r="936" spans="8:8" ht="15.95" customHeight="1" x14ac:dyDescent="0.2">
      <c r="H936" s="61"/>
    </row>
    <row r="937" spans="8:8" ht="15.95" customHeight="1" x14ac:dyDescent="0.2">
      <c r="H937" s="61"/>
    </row>
    <row r="938" spans="8:8" ht="15.95" customHeight="1" x14ac:dyDescent="0.2">
      <c r="H938" s="61"/>
    </row>
    <row r="939" spans="8:8" ht="15.95" customHeight="1" x14ac:dyDescent="0.2">
      <c r="H939" s="61"/>
    </row>
    <row r="940" spans="8:8" ht="15.95" customHeight="1" x14ac:dyDescent="0.2">
      <c r="H940" s="61"/>
    </row>
    <row r="941" spans="8:8" ht="15.95" customHeight="1" x14ac:dyDescent="0.2">
      <c r="H941" s="61"/>
    </row>
    <row r="942" spans="8:8" ht="15.95" customHeight="1" x14ac:dyDescent="0.2">
      <c r="H942" s="61"/>
    </row>
    <row r="943" spans="8:8" ht="15.95" customHeight="1" x14ac:dyDescent="0.2">
      <c r="H943" s="61"/>
    </row>
    <row r="944" spans="8:8" ht="15.95" customHeight="1" x14ac:dyDescent="0.2">
      <c r="H944" s="61"/>
    </row>
    <row r="945" spans="8:8" ht="15.95" customHeight="1" x14ac:dyDescent="0.2">
      <c r="H945" s="61"/>
    </row>
    <row r="946" spans="8:8" ht="15.95" customHeight="1" x14ac:dyDescent="0.2">
      <c r="H946" s="61"/>
    </row>
    <row r="947" spans="8:8" ht="15.95" customHeight="1" x14ac:dyDescent="0.2">
      <c r="H947" s="61"/>
    </row>
    <row r="948" spans="8:8" ht="15.95" customHeight="1" x14ac:dyDescent="0.2">
      <c r="H948" s="61"/>
    </row>
    <row r="949" spans="8:8" ht="15.95" customHeight="1" x14ac:dyDescent="0.2">
      <c r="H949" s="61"/>
    </row>
    <row r="950" spans="8:8" ht="15.95" customHeight="1" x14ac:dyDescent="0.2">
      <c r="H950" s="61"/>
    </row>
    <row r="951" spans="8:8" ht="15.95" customHeight="1" x14ac:dyDescent="0.2">
      <c r="H951" s="61"/>
    </row>
    <row r="952" spans="8:8" ht="15.95" customHeight="1" x14ac:dyDescent="0.2">
      <c r="H952" s="61"/>
    </row>
    <row r="953" spans="8:8" ht="15.95" customHeight="1" x14ac:dyDescent="0.2">
      <c r="H953" s="61"/>
    </row>
    <row r="954" spans="8:8" ht="15.95" customHeight="1" x14ac:dyDescent="0.2">
      <c r="H954" s="61"/>
    </row>
    <row r="955" spans="8:8" ht="15.95" customHeight="1" x14ac:dyDescent="0.2">
      <c r="H955" s="61"/>
    </row>
    <row r="956" spans="8:8" ht="15.95" customHeight="1" x14ac:dyDescent="0.2">
      <c r="H956" s="61"/>
    </row>
    <row r="957" spans="8:8" ht="15.95" customHeight="1" x14ac:dyDescent="0.2">
      <c r="H957" s="61"/>
    </row>
    <row r="958" spans="8:8" ht="15.95" customHeight="1" x14ac:dyDescent="0.2">
      <c r="H958" s="61"/>
    </row>
    <row r="959" spans="8:8" ht="15.95" customHeight="1" x14ac:dyDescent="0.2">
      <c r="H959" s="61"/>
    </row>
    <row r="960" spans="8:8" ht="15.95" customHeight="1" x14ac:dyDescent="0.2">
      <c r="H960" s="61"/>
    </row>
    <row r="961" spans="8:8" ht="15.95" customHeight="1" x14ac:dyDescent="0.2">
      <c r="H961" s="61"/>
    </row>
    <row r="962" spans="8:8" ht="15.95" customHeight="1" x14ac:dyDescent="0.2">
      <c r="H962" s="61"/>
    </row>
    <row r="963" spans="8:8" ht="15.95" customHeight="1" x14ac:dyDescent="0.2">
      <c r="H963" s="61"/>
    </row>
    <row r="964" spans="8:8" ht="15.95" customHeight="1" x14ac:dyDescent="0.2">
      <c r="H964" s="61"/>
    </row>
    <row r="965" spans="8:8" ht="15.95" customHeight="1" x14ac:dyDescent="0.2">
      <c r="H965" s="61"/>
    </row>
    <row r="966" spans="8:8" ht="15.95" customHeight="1" x14ac:dyDescent="0.2">
      <c r="H966" s="61"/>
    </row>
    <row r="967" spans="8:8" ht="15.95" customHeight="1" x14ac:dyDescent="0.2">
      <c r="H967" s="61"/>
    </row>
    <row r="968" spans="8:8" ht="15.95" customHeight="1" x14ac:dyDescent="0.2">
      <c r="H968" s="61"/>
    </row>
    <row r="969" spans="8:8" ht="15.95" customHeight="1" x14ac:dyDescent="0.2">
      <c r="H969" s="61"/>
    </row>
    <row r="970" spans="8:8" ht="15.95" customHeight="1" x14ac:dyDescent="0.2">
      <c r="H970" s="61"/>
    </row>
    <row r="971" spans="8:8" ht="15.95" customHeight="1" x14ac:dyDescent="0.2">
      <c r="H971" s="61"/>
    </row>
    <row r="972" spans="8:8" ht="15.95" customHeight="1" x14ac:dyDescent="0.2">
      <c r="H972" s="61"/>
    </row>
    <row r="973" spans="8:8" ht="15.95" customHeight="1" x14ac:dyDescent="0.2">
      <c r="H973" s="61"/>
    </row>
    <row r="974" spans="8:8" ht="15.95" customHeight="1" x14ac:dyDescent="0.2">
      <c r="H974" s="61"/>
    </row>
    <row r="975" spans="8:8" ht="15.95" customHeight="1" x14ac:dyDescent="0.2">
      <c r="H975" s="61"/>
    </row>
    <row r="976" spans="8:8" ht="15.95" customHeight="1" x14ac:dyDescent="0.2">
      <c r="H976" s="61"/>
    </row>
    <row r="977" spans="8:8" ht="15.95" customHeight="1" x14ac:dyDescent="0.2">
      <c r="H977" s="61"/>
    </row>
    <row r="978" spans="8:8" ht="15.95" customHeight="1" x14ac:dyDescent="0.2">
      <c r="H978" s="61"/>
    </row>
    <row r="979" spans="8:8" ht="15.95" customHeight="1" x14ac:dyDescent="0.2">
      <c r="H979" s="61"/>
    </row>
    <row r="980" spans="8:8" ht="15.95" customHeight="1" x14ac:dyDescent="0.2">
      <c r="H980" s="61"/>
    </row>
    <row r="981" spans="8:8" ht="15.95" customHeight="1" x14ac:dyDescent="0.2">
      <c r="H981" s="61"/>
    </row>
    <row r="982" spans="8:8" ht="15.95" customHeight="1" x14ac:dyDescent="0.2">
      <c r="H982" s="61"/>
    </row>
    <row r="983" spans="8:8" ht="15.95" customHeight="1" x14ac:dyDescent="0.2">
      <c r="H983" s="61"/>
    </row>
    <row r="984" spans="8:8" ht="15.95" customHeight="1" x14ac:dyDescent="0.2">
      <c r="H984" s="61"/>
    </row>
    <row r="985" spans="8:8" ht="15.95" customHeight="1" x14ac:dyDescent="0.2">
      <c r="H985" s="61"/>
    </row>
    <row r="986" spans="8:8" ht="15.95" customHeight="1" x14ac:dyDescent="0.2">
      <c r="H986" s="61"/>
    </row>
    <row r="987" spans="8:8" ht="15.95" customHeight="1" x14ac:dyDescent="0.2">
      <c r="H987" s="61"/>
    </row>
    <row r="988" spans="8:8" ht="15.95" customHeight="1" x14ac:dyDescent="0.2">
      <c r="H988" s="61"/>
    </row>
    <row r="989" spans="8:8" ht="15.95" customHeight="1" x14ac:dyDescent="0.2">
      <c r="H989" s="61"/>
    </row>
    <row r="990" spans="8:8" ht="15.95" customHeight="1" x14ac:dyDescent="0.2">
      <c r="H990" s="61"/>
    </row>
    <row r="991" spans="8:8" ht="15.95" customHeight="1" x14ac:dyDescent="0.2">
      <c r="H991" s="61"/>
    </row>
    <row r="992" spans="8:8" ht="15.95" customHeight="1" x14ac:dyDescent="0.2">
      <c r="H992" s="61"/>
    </row>
    <row r="993" spans="8:8" ht="15.95" customHeight="1" x14ac:dyDescent="0.2">
      <c r="H993" s="61"/>
    </row>
    <row r="994" spans="8:8" ht="15.95" customHeight="1" x14ac:dyDescent="0.2">
      <c r="H994" s="61"/>
    </row>
    <row r="995" spans="8:8" ht="15.95" customHeight="1" x14ac:dyDescent="0.2">
      <c r="H995" s="61"/>
    </row>
    <row r="996" spans="8:8" ht="15.95" customHeight="1" x14ac:dyDescent="0.2">
      <c r="H996" s="61"/>
    </row>
    <row r="997" spans="8:8" ht="15.95" customHeight="1" x14ac:dyDescent="0.2">
      <c r="H997" s="61"/>
    </row>
    <row r="998" spans="8:8" ht="15.95" customHeight="1" x14ac:dyDescent="0.2">
      <c r="H998" s="61"/>
    </row>
    <row r="999" spans="8:8" ht="15.95" customHeight="1" x14ac:dyDescent="0.2">
      <c r="H999" s="61"/>
    </row>
    <row r="1000" spans="8:8" ht="15.95" customHeight="1" x14ac:dyDescent="0.2">
      <c r="H1000" s="61"/>
    </row>
    <row r="1001" spans="8:8" ht="15.95" customHeight="1" x14ac:dyDescent="0.2">
      <c r="H1001" s="61"/>
    </row>
    <row r="1002" spans="8:8" ht="15.95" customHeight="1" x14ac:dyDescent="0.2">
      <c r="H1002" s="61"/>
    </row>
    <row r="1003" spans="8:8" ht="15.95" customHeight="1" x14ac:dyDescent="0.2">
      <c r="H1003" s="61"/>
    </row>
    <row r="1004" spans="8:8" ht="15.95" customHeight="1" x14ac:dyDescent="0.2">
      <c r="H1004" s="61"/>
    </row>
    <row r="1005" spans="8:8" ht="15.95" customHeight="1" x14ac:dyDescent="0.2">
      <c r="H1005" s="61"/>
    </row>
    <row r="1006" spans="8:8" ht="15.95" customHeight="1" x14ac:dyDescent="0.2">
      <c r="H1006" s="61"/>
    </row>
    <row r="1007" spans="8:8" ht="15.95" customHeight="1" x14ac:dyDescent="0.2">
      <c r="H1007" s="61"/>
    </row>
    <row r="1008" spans="8:8" ht="15.95" customHeight="1" x14ac:dyDescent="0.2">
      <c r="H1008" s="61"/>
    </row>
    <row r="1009" spans="8:8" ht="15.95" customHeight="1" x14ac:dyDescent="0.2">
      <c r="H1009" s="61"/>
    </row>
    <row r="1010" spans="8:8" ht="15.95" customHeight="1" x14ac:dyDescent="0.2">
      <c r="H1010" s="61"/>
    </row>
    <row r="1011" spans="8:8" ht="15.95" customHeight="1" x14ac:dyDescent="0.2">
      <c r="H1011" s="61"/>
    </row>
    <row r="1012" spans="8:8" ht="15.95" customHeight="1" x14ac:dyDescent="0.2">
      <c r="H1012" s="61"/>
    </row>
    <row r="1013" spans="8:8" ht="15.95" customHeight="1" x14ac:dyDescent="0.2">
      <c r="H1013" s="61"/>
    </row>
    <row r="1014" spans="8:8" ht="15.95" customHeight="1" x14ac:dyDescent="0.2">
      <c r="H1014" s="61"/>
    </row>
    <row r="1015" spans="8:8" ht="15.95" customHeight="1" x14ac:dyDescent="0.2">
      <c r="H1015" s="61"/>
    </row>
    <row r="1016" spans="8:8" ht="15.95" customHeight="1" x14ac:dyDescent="0.2">
      <c r="H1016" s="61"/>
    </row>
    <row r="1017" spans="8:8" ht="15.95" customHeight="1" x14ac:dyDescent="0.2">
      <c r="H1017" s="61"/>
    </row>
    <row r="1018" spans="8:8" ht="15.95" customHeight="1" x14ac:dyDescent="0.2">
      <c r="H1018" s="61"/>
    </row>
    <row r="1019" spans="8:8" ht="15.95" customHeight="1" x14ac:dyDescent="0.2">
      <c r="H1019" s="61"/>
    </row>
    <row r="1020" spans="8:8" ht="15.95" customHeight="1" x14ac:dyDescent="0.2">
      <c r="H1020" s="61"/>
    </row>
    <row r="1021" spans="8:8" ht="15.95" customHeight="1" x14ac:dyDescent="0.2">
      <c r="H1021" s="61"/>
    </row>
    <row r="1022" spans="8:8" ht="15.95" customHeight="1" x14ac:dyDescent="0.2">
      <c r="H1022" s="61"/>
    </row>
    <row r="1023" spans="8:8" ht="15.95" customHeight="1" x14ac:dyDescent="0.2">
      <c r="H1023" s="61"/>
    </row>
    <row r="1024" spans="8:8" ht="15.95" customHeight="1" x14ac:dyDescent="0.2">
      <c r="H1024" s="61"/>
    </row>
    <row r="1025" spans="8:8" ht="15.95" customHeight="1" x14ac:dyDescent="0.2">
      <c r="H1025" s="61"/>
    </row>
    <row r="1026" spans="8:8" ht="15.95" customHeight="1" x14ac:dyDescent="0.2">
      <c r="H1026" s="61"/>
    </row>
    <row r="1027" spans="8:8" ht="15.95" customHeight="1" x14ac:dyDescent="0.2">
      <c r="H1027" s="61"/>
    </row>
    <row r="1028" spans="8:8" ht="15.95" customHeight="1" x14ac:dyDescent="0.2">
      <c r="H1028" s="61"/>
    </row>
    <row r="1029" spans="8:8" ht="15.95" customHeight="1" x14ac:dyDescent="0.2">
      <c r="H1029" s="61"/>
    </row>
    <row r="1030" spans="8:8" ht="15.95" customHeight="1" x14ac:dyDescent="0.2">
      <c r="H1030" s="61"/>
    </row>
    <row r="1031" spans="8:8" ht="15.95" customHeight="1" x14ac:dyDescent="0.2">
      <c r="H1031" s="61"/>
    </row>
    <row r="1032" spans="8:8" ht="15.95" customHeight="1" x14ac:dyDescent="0.2">
      <c r="H1032" s="61"/>
    </row>
    <row r="1033" spans="8:8" ht="15.95" customHeight="1" x14ac:dyDescent="0.2">
      <c r="H1033" s="61"/>
    </row>
    <row r="1034" spans="8:8" ht="15.95" customHeight="1" x14ac:dyDescent="0.2">
      <c r="H1034" s="61"/>
    </row>
    <row r="1035" spans="8:8" ht="15.95" customHeight="1" x14ac:dyDescent="0.2">
      <c r="H1035" s="61"/>
    </row>
    <row r="1036" spans="8:8" ht="15.95" customHeight="1" x14ac:dyDescent="0.2">
      <c r="H1036" s="61"/>
    </row>
    <row r="1037" spans="8:8" ht="15.95" customHeight="1" x14ac:dyDescent="0.2">
      <c r="H1037" s="61"/>
    </row>
    <row r="1038" spans="8:8" ht="15.95" customHeight="1" x14ac:dyDescent="0.2">
      <c r="H1038" s="61"/>
    </row>
    <row r="1039" spans="8:8" ht="15.95" customHeight="1" x14ac:dyDescent="0.2">
      <c r="H1039" s="61"/>
    </row>
    <row r="1040" spans="8:8" ht="15.95" customHeight="1" x14ac:dyDescent="0.2">
      <c r="H1040" s="61"/>
    </row>
    <row r="1041" spans="8:8" ht="15.95" customHeight="1" x14ac:dyDescent="0.2">
      <c r="H1041" s="61"/>
    </row>
    <row r="1042" spans="8:8" ht="15.95" customHeight="1" x14ac:dyDescent="0.2">
      <c r="H1042" s="61"/>
    </row>
    <row r="1043" spans="8:8" ht="15.95" customHeight="1" x14ac:dyDescent="0.2">
      <c r="H1043" s="61"/>
    </row>
    <row r="1044" spans="8:8" ht="15.95" customHeight="1" x14ac:dyDescent="0.2">
      <c r="H1044" s="61"/>
    </row>
    <row r="1045" spans="8:8" ht="15.95" customHeight="1" x14ac:dyDescent="0.2">
      <c r="H1045" s="61"/>
    </row>
    <row r="1046" spans="8:8" ht="15.95" customHeight="1" x14ac:dyDescent="0.2">
      <c r="H1046" s="61"/>
    </row>
    <row r="1047" spans="8:8" ht="15.95" customHeight="1" x14ac:dyDescent="0.2">
      <c r="H1047" s="61"/>
    </row>
    <row r="1048" spans="8:8" ht="15.95" customHeight="1" x14ac:dyDescent="0.2">
      <c r="H1048" s="61"/>
    </row>
    <row r="1049" spans="8:8" ht="15.95" customHeight="1" x14ac:dyDescent="0.2">
      <c r="H1049" s="61"/>
    </row>
    <row r="1050" spans="8:8" ht="15.95" customHeight="1" x14ac:dyDescent="0.2">
      <c r="H1050" s="61"/>
    </row>
    <row r="1051" spans="8:8" ht="15.95" customHeight="1" x14ac:dyDescent="0.2">
      <c r="H1051" s="61"/>
    </row>
  </sheetData>
  <mergeCells count="2">
    <mergeCell ref="A1:P1"/>
    <mergeCell ref="H490:M490"/>
  </mergeCells>
  <phoneticPr fontId="0" type="noConversion"/>
  <printOptions horizontalCentered="1" gridLinesSet="0"/>
  <pageMargins left="0.19685039370078741" right="0.19685039370078741" top="0.78740157480314965" bottom="0.78740157480314965" header="0.51181102362204722" footer="0.51181102362204722"/>
  <pageSetup paperSize="9" scale="83" fitToHeight="17" orientation="portrait" r:id="rId1"/>
  <headerFooter alignWithMargins="0">
    <oddHeader>&amp;C&amp;F</oddHeader>
    <oddFooter>&amp;R2014. december 31.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TÁRSASHÁZAK</vt:lpstr>
      <vt:lpstr>TÁRSASHÁZAK!Nyomtatási_cím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Manna &amp; Zsolt</dc:creator>
  <cp:lastModifiedBy>Morvai Éva</cp:lastModifiedBy>
  <cp:lastPrinted>2015-05-07T10:50:45Z</cp:lastPrinted>
  <dcterms:created xsi:type="dcterms:W3CDTF">2000-01-13T14:20:59Z</dcterms:created>
  <dcterms:modified xsi:type="dcterms:W3CDTF">2015-05-07T10:55:53Z</dcterms:modified>
</cp:coreProperties>
</file>