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895" firstSheet="5" activeTab="12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létszám" sheetId="8" r:id="rId8"/>
    <sheet name="9.felhki" sheetId="9" r:id="rId9"/>
    <sheet name="10.tartalékok" sheetId="10" r:id="rId10"/>
    <sheet name="11. saját bev." sheetId="11" r:id="rId11"/>
    <sheet name="12.normatívák" sheetId="12" r:id="rId12"/>
    <sheet name="13. EU projektek" sheetId="13" r:id="rId13"/>
  </sheet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'8.létszám'!$6:$6</definedName>
    <definedName name="_xlnm.Print_Titles" localSheetId="8">'9.felhki'!$6:$7</definedName>
    <definedName name="_xlnm.Print_Area" localSheetId="0">'1. bevételek'!$A$1:$J$201</definedName>
    <definedName name="_xlnm.Print_Area" localSheetId="11">'12.normatívák'!$A$1:$L$60</definedName>
    <definedName name="_xlnm.Print_Area" localSheetId="1">'2. kiadások '!$A$1:$J$82</definedName>
    <definedName name="_xlnm.Print_Area" localSheetId="3">'4.önkorm.kiad.feladat'!$D$1:$AB$68</definedName>
    <definedName name="_xlnm.Print_Area" localSheetId="4">'5.PH Óvoda, Kult. kiad. feladat'!$A$1:$I$38</definedName>
    <definedName name="_xlnm.Print_Area" localSheetId="5">'6. kiadások megbontása'!$A$1:$M$106</definedName>
    <definedName name="_xlnm.Print_Area" localSheetId="6">'7. források sz. bontás'!$A$1:$AC$81</definedName>
    <definedName name="_xlnm.Print_Area" localSheetId="8">'9.felhki'!$A$1:$D$98</definedName>
  </definedNames>
  <calcPr fullCalcOnLoad="1"/>
</workbook>
</file>

<file path=xl/sharedStrings.xml><?xml version="1.0" encoding="utf-8"?>
<sst xmlns="http://schemas.openxmlformats.org/spreadsheetml/2006/main" count="2131" uniqueCount="1262">
  <si>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</si>
  <si>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</si>
  <si>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</si>
  <si>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</si>
  <si>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</si>
  <si>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</si>
  <si>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</si>
  <si>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</si>
  <si>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</si>
  <si>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</si>
  <si>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</si>
  <si>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</si>
  <si>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</si>
  <si>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</si>
  <si>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</si>
  <si>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</si>
  <si>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</si>
  <si>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</si>
  <si>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</si>
  <si>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</si>
  <si>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</si>
  <si>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</si>
  <si>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</si>
  <si>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</si>
  <si>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</si>
  <si>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</si>
  <si>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</si>
  <si>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</si>
  <si>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</si>
  <si>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</si>
  <si>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</si>
  <si>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</si>
  <si>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</si>
  <si>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</si>
  <si>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</si>
  <si>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</si>
  <si>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</si>
  <si>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</si>
  <si>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</si>
  <si>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</si>
  <si>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</si>
  <si>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</si>
  <si>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</si>
  <si>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</si>
  <si>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</si>
  <si>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</si>
  <si>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</si>
  <si>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</si>
  <si>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</si>
  <si>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</si>
  <si>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</si>
  <si>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</si>
  <si>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</si>
  <si>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</si>
  <si>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</si>
  <si>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</si>
  <si>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</si>
  <si>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</si>
  <si>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</si>
  <si>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</si>
  <si>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</si>
  <si>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</si>
  <si>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</si>
  <si>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</si>
  <si>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</si>
  <si>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</si>
  <si>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</si>
  <si>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</si>
  <si>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</si>
  <si>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</si>
  <si>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</si>
  <si>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</si>
  <si>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</si>
  <si>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</si>
  <si>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</si>
  <si>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</si>
  <si>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</si>
  <si>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</si>
  <si>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</si>
  <si>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</si>
  <si>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</si>
  <si>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</si>
  <si>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</si>
  <si>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</si>
  <si>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</si>
  <si>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</si>
  <si>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</si>
  <si>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</si>
  <si>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</si>
  <si>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</si>
  <si>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</si>
  <si>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</si>
  <si>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</si>
  <si>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</si>
  <si>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</si>
  <si>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</si>
  <si>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</si>
  <si>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</si>
  <si>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</si>
  <si>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</si>
  <si>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</si>
  <si>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</si>
  <si>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</si>
  <si>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</si>
  <si>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</si>
  <si>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</si>
  <si>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</si>
  <si>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</si>
  <si>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</si>
  <si>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</si>
  <si>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</si>
  <si>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</si>
  <si>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</si>
  <si>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</si>
  <si>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</si>
  <si>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</si>
  <si>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</si>
  <si>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</si>
  <si>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</si>
  <si>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</si>
  <si>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</si>
  <si>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</si>
  <si>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</si>
  <si>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</si>
  <si>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</si>
  <si>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</si>
  <si>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</si>
  <si>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</si>
  <si>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</si>
  <si>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</si>
  <si>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</si>
  <si>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</si>
  <si>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</si>
  <si>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</si>
  <si>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</si>
  <si>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</si>
  <si>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</si>
  <si>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</si>
  <si>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</si>
  <si>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</si>
  <si>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</si>
  <si>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</si>
  <si>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</si>
  <si>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</si>
  <si>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</si>
  <si>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</si>
  <si>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</si>
  <si>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</si>
  <si>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</si>
  <si>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</si>
  <si>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</si>
  <si>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</si>
  <si>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</si>
  <si>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</si>
  <si>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</si>
  <si>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</si>
  <si>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</si>
  <si>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</si>
  <si>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</si>
  <si>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</si>
  <si>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</si>
  <si>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</si>
  <si>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</si>
  <si>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</si>
  <si>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</si>
  <si>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</si>
  <si>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</si>
  <si>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</si>
  <si>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</si>
  <si>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</si>
  <si>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</si>
  <si>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</si>
  <si>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</si>
  <si>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</si>
  <si>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</si>
  <si>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</si>
  <si>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</si>
  <si>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</si>
  <si>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</si>
  <si>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</si>
  <si>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</si>
  <si>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</si>
  <si>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</si>
  <si>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</si>
  <si>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</si>
  <si>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</si>
  <si>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</si>
  <si>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</si>
  <si>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</si>
  <si>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</si>
  <si>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</si>
  <si>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</si>
  <si>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</si>
  <si>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</si>
  <si>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</si>
  <si>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</si>
  <si>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</si>
  <si>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</si>
  <si>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</si>
  <si>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</si>
  <si>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</si>
  <si>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</si>
  <si>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</si>
  <si>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</si>
  <si>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</si>
  <si>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</si>
  <si>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</si>
  <si>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</si>
  <si>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</si>
  <si>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</si>
  <si>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</si>
  <si>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</si>
  <si>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</si>
  <si>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</si>
  <si>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</si>
  <si>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</si>
  <si>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</si>
  <si>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</si>
  <si>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</si>
  <si>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</si>
  <si>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</si>
  <si>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</si>
  <si>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</si>
  <si>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</si>
  <si>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</si>
  <si>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</si>
  <si>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</si>
  <si>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</si>
  <si>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</si>
  <si>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</si>
  <si>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</si>
  <si>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</si>
  <si>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</si>
  <si>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</si>
  <si>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</si>
  <si>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</si>
  <si>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</si>
  <si>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</si>
  <si>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</si>
  <si>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</si>
  <si>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</si>
  <si>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</si>
  <si>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</si>
  <si>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</si>
  <si>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</si>
  <si>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</si>
  <si>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</si>
  <si>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</si>
  <si>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</si>
  <si>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</si>
  <si>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</si>
  <si>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</si>
  <si>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</si>
  <si>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</si>
  <si>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</si>
  <si>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</si>
  <si>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</si>
  <si>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</si>
  <si>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</si>
  <si>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</si>
  <si>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</si>
  <si>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</si>
  <si>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</si>
  <si>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</si>
  <si>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</si>
  <si>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</si>
  <si>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</si>
  <si>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</si>
  <si>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</si>
  <si>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</si>
  <si>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</si>
  <si>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</si>
  <si>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</si>
  <si>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</si>
  <si>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</si>
  <si>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</si>
  <si>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</si>
  <si>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</si>
  <si>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</si>
  <si>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</si>
  <si>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</si>
  <si>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</si>
  <si>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</si>
  <si>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</si>
  <si>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</si>
  <si>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</si>
  <si>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</si>
  <si>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</si>
  <si>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</si>
  <si>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</si>
  <si>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</si>
  <si>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</si>
  <si>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</si>
  <si>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</si>
  <si>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</si>
  <si>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</si>
  <si>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</si>
  <si>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</si>
  <si>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</si>
  <si>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</si>
  <si>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</si>
  <si>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</si>
  <si>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</si>
  <si>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</si>
  <si>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</si>
  <si>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</si>
  <si>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</si>
  <si>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</si>
  <si>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</si>
  <si>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</si>
  <si>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</si>
  <si>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</si>
  <si>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</si>
  <si>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</si>
  <si>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</si>
  <si>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</si>
  <si>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</si>
  <si>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</si>
  <si>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</si>
  <si>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</si>
  <si>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</si>
  <si>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</si>
  <si>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</si>
  <si>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</si>
  <si>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</si>
  <si>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</si>
  <si>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</si>
  <si>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</si>
  <si>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</si>
  <si>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</si>
  <si>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</si>
  <si>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</si>
  <si>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</si>
  <si>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</si>
  <si>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</si>
  <si>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</si>
  <si>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</si>
  <si>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</si>
  <si>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</si>
  <si>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</si>
  <si>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</si>
  <si>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</si>
  <si>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</si>
  <si>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</si>
  <si>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</si>
  <si>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</si>
  <si>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</si>
  <si>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</si>
  <si>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</si>
  <si>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</si>
  <si>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</si>
  <si>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</si>
  <si>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</si>
  <si>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</si>
  <si>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</si>
  <si>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</si>
  <si>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</si>
  <si>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</si>
  <si>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</si>
  <si>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</si>
  <si>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</si>
  <si>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</si>
  <si>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</si>
  <si>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</si>
  <si>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</si>
  <si>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</si>
  <si>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</si>
  <si>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</si>
  <si>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</si>
  <si>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</si>
  <si>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</si>
  <si>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</si>
  <si>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</si>
  <si>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</si>
  <si>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</si>
  <si>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</si>
  <si>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</si>
  <si>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</si>
  <si>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</si>
  <si>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</si>
  <si>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</si>
  <si>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</si>
  <si>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</si>
  <si>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</si>
  <si>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</si>
  <si>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</si>
  <si>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</si>
  <si>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</si>
  <si>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</si>
  <si>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</si>
  <si>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</si>
  <si>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</si>
  <si>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</si>
  <si>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</si>
  <si>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</si>
  <si>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</si>
  <si>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</si>
  <si>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</si>
  <si>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</si>
  <si>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</si>
  <si>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</si>
  <si>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</si>
  <si>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</si>
  <si>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</si>
  <si>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</si>
  <si>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</si>
  <si>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</si>
  <si>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</si>
  <si>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</si>
  <si>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</si>
  <si>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</si>
  <si>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</si>
  <si>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</si>
  <si>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</si>
  <si>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</si>
  <si>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</si>
  <si>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</si>
  <si>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</si>
  <si>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</si>
  <si>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</si>
  <si>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</si>
  <si>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</si>
  <si>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</si>
  <si>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</si>
  <si>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</si>
  <si>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</si>
  <si>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</si>
  <si>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</si>
  <si>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</si>
  <si>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</si>
  <si>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</si>
  <si>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</si>
  <si>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</si>
  <si>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</si>
  <si>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</si>
  <si>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</si>
  <si>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</si>
  <si>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</si>
  <si>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</si>
  <si>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</si>
  <si>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</si>
  <si>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</si>
  <si>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</si>
  <si>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</si>
  <si>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</si>
  <si>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</si>
  <si>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</si>
  <si>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</si>
  <si>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</si>
  <si>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</si>
  <si>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</si>
  <si>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</si>
  <si>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</si>
  <si>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</si>
  <si>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</si>
  <si>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</si>
  <si>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</si>
  <si>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</si>
  <si>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</si>
  <si>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</si>
  <si>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</si>
  <si>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</si>
  <si>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</si>
  <si>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</si>
  <si>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</si>
  <si>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</si>
  <si>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</si>
  <si>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</si>
  <si>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</si>
  <si>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</si>
  <si>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</si>
  <si>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</si>
  <si>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</si>
  <si>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</si>
  <si>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</si>
  <si>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</si>
  <si>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</si>
  <si>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</si>
  <si>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</si>
  <si>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</si>
  <si>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</si>
  <si>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</si>
  <si>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</si>
  <si>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</si>
  <si>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</si>
  <si>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</si>
  <si>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</si>
  <si>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</si>
  <si>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</si>
  <si>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</si>
  <si>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</si>
  <si>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</si>
  <si>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</si>
  <si>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</si>
  <si>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</si>
  <si>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</si>
  <si>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</si>
  <si>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</si>
  <si>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</si>
  <si>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</si>
  <si>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</si>
  <si>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</si>
  <si>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</si>
  <si>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</si>
  <si>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</si>
  <si>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</si>
  <si>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</si>
  <si>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</si>
  <si>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</si>
  <si>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</si>
  <si>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</si>
  <si>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</si>
  <si>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</si>
  <si>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</si>
  <si>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</si>
  <si>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</si>
  <si>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</si>
  <si>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</si>
  <si>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</si>
  <si>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</si>
  <si>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</si>
  <si>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</si>
  <si>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</si>
  <si>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</si>
  <si>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</si>
  <si>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</si>
  <si>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</si>
  <si>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</si>
  <si>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</si>
  <si>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</si>
  <si>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</si>
  <si>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</si>
  <si>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</si>
  <si>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</si>
  <si>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</si>
  <si>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</si>
  <si>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</si>
  <si>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</si>
  <si>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</si>
  <si>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</si>
  <si>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</si>
  <si>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</si>
  <si>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</si>
  <si>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</si>
  <si>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</si>
  <si>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</si>
  <si>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</si>
  <si>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</si>
  <si>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</si>
  <si>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</si>
  <si>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</si>
  <si>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</si>
  <si>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</si>
  <si>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</si>
  <si>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</si>
  <si>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</si>
  <si>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</si>
  <si>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</si>
  <si>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</si>
  <si>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</si>
  <si>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</si>
  <si>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</si>
  <si>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</si>
  <si>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</si>
  <si>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</si>
  <si>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</si>
  <si>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</si>
  <si>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</si>
  <si>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</si>
  <si>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</si>
  <si>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</si>
  <si>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</si>
  <si>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</si>
  <si>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</si>
  <si>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</si>
  <si>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</si>
  <si>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</si>
  <si>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</si>
  <si>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</si>
  <si>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</si>
  <si>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</si>
  <si>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</si>
  <si>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</si>
  <si>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</si>
  <si>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</si>
  <si>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</si>
  <si>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</si>
  <si>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</si>
  <si>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</si>
  <si>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</si>
  <si>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</si>
  <si>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</si>
  <si>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</si>
  <si>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</si>
  <si>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</si>
  <si>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</si>
  <si>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</si>
  <si>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</si>
  <si>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</si>
  <si>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</si>
  <si>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</si>
  <si>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</si>
  <si>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</si>
  <si>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</si>
  <si>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</si>
  <si>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</si>
  <si>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</si>
  <si>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</si>
  <si>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</si>
  <si>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</si>
  <si>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</si>
  <si>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</si>
  <si>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</si>
  <si>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</si>
  <si>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</si>
  <si>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</si>
  <si>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</si>
  <si>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</si>
  <si>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</si>
  <si>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</si>
  <si>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</si>
  <si>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</si>
  <si>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</si>
  <si>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</si>
  <si>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</si>
  <si>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</si>
  <si>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</si>
  <si>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</si>
  <si>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</si>
  <si>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</si>
  <si>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</si>
  <si>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</si>
  <si>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</si>
  <si>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</si>
  <si>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</si>
  <si>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</si>
  <si>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</si>
  <si>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</si>
  <si>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</si>
  <si>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</si>
  <si>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</si>
  <si>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</si>
  <si>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</si>
  <si>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</si>
  <si>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</si>
  <si>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</si>
  <si>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</si>
  <si>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</si>
  <si>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</si>
  <si>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</si>
  <si>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</si>
  <si>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</si>
  <si>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</si>
  <si>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</si>
  <si>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</si>
  <si>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</si>
  <si>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</si>
  <si>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</si>
  <si>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</si>
  <si>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</si>
  <si>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</si>
  <si>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</si>
  <si>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</si>
  <si>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</si>
  <si>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</si>
  <si>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</si>
  <si>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</si>
  <si>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</si>
  <si>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</si>
  <si>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</si>
  <si>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</si>
  <si>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</si>
  <si>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</si>
  <si>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</si>
  <si>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</si>
  <si>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</si>
  <si>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</si>
  <si>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</si>
  <si>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</si>
  <si>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</si>
  <si>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</si>
  <si>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</si>
  <si>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</si>
  <si>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</si>
  <si>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</si>
  <si>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</si>
  <si>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</si>
  <si>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</si>
  <si>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</si>
  <si>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</si>
  <si>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</si>
  <si>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</si>
  <si>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</si>
  <si>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</si>
  <si>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</si>
  <si>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</si>
  <si>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</si>
  <si>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</si>
  <si>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</si>
  <si>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</si>
  <si>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</si>
  <si>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</si>
  <si>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</si>
  <si>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</si>
  <si>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</si>
  <si>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</si>
  <si>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</si>
  <si>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</si>
  <si>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</si>
  <si>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</si>
  <si>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</si>
  <si>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</si>
  <si>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</si>
  <si>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</si>
  <si>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</si>
  <si>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</si>
  <si>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</si>
  <si>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</si>
  <si>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</si>
  <si>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</si>
  <si>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</si>
  <si>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</si>
  <si>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</si>
  <si>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</si>
  <si>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</si>
  <si>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</si>
  <si>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</si>
  <si>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</si>
  <si>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</si>
  <si>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</si>
  <si>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</si>
  <si>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</si>
  <si>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</si>
  <si>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</si>
  <si>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</si>
  <si>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</si>
  <si>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209/2016.(XII.15.) Kt. hat. Pályázati önerő az "Innovatív vízgazdálkodási tervezés a határmenti régióban" projekthez</t>
  </si>
  <si>
    <t>Tűzoltó laktanya vizesblokkjának felújítása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</si>
  <si>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</si>
  <si>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</si>
  <si>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</si>
  <si>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</si>
  <si>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</si>
  <si>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</si>
  <si>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</si>
  <si>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</si>
  <si>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</si>
  <si>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</si>
  <si>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</si>
  <si>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</si>
  <si>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</si>
  <si>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</si>
  <si>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</si>
  <si>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</si>
  <si>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</si>
  <si>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</si>
  <si>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</si>
  <si>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</si>
  <si>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</si>
  <si>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</si>
  <si>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</si>
  <si>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</si>
  <si>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</si>
  <si>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</si>
  <si>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</si>
  <si>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</si>
  <si>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</si>
  <si>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</si>
  <si>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</si>
  <si>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</si>
  <si>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</si>
  <si>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</si>
  <si>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</si>
  <si>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</si>
  <si>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</si>
  <si>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</si>
  <si>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</si>
  <si>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</si>
  <si>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</si>
  <si>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</si>
  <si>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</si>
  <si>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</si>
  <si>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</si>
  <si>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</si>
  <si>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</si>
  <si>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</si>
  <si>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</si>
  <si>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</si>
  <si>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</si>
  <si>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</si>
  <si>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</si>
  <si>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</si>
  <si>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</si>
  <si>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</si>
  <si>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</si>
  <si>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</si>
  <si>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</si>
  <si>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</si>
  <si>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</si>
  <si>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</si>
  <si>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</si>
  <si>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</si>
  <si>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</si>
  <si>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Imre Z. Kult. K. és Könyvtár</t>
  </si>
  <si>
    <t>Csatornamosó GFB túlfizetés visszatérülése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</si>
  <si>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</si>
  <si>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</si>
  <si>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</si>
  <si>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</si>
  <si>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</si>
  <si>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</si>
  <si>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</si>
  <si>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</si>
  <si>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</si>
  <si>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</si>
  <si>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</si>
  <si>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</si>
  <si>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</si>
  <si>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</si>
  <si>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</si>
  <si>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</si>
  <si>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</si>
  <si>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</si>
  <si>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TOP-2.1.3-16-BK1 - "Jánoshalma belvíz elvezetése I. ütem" c. projekt</t>
  </si>
  <si>
    <t>58/2015.(III.26) Kt. hat. TOP-2.1.2-16-BK1 - "Zöld tér felújítása Jánoshalmán" c. projekt (előzetes tanulmányok, engedélyezési dokumentumok költségei)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</si>
  <si>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</si>
  <si>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</si>
  <si>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>Fényképezőgép, területmérő, további eszközbeszerzések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</si>
  <si>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</si>
  <si>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</si>
  <si>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</si>
  <si>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</si>
  <si>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</si>
  <si>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</si>
  <si>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</si>
  <si>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</si>
  <si>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</si>
  <si>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</si>
  <si>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</si>
  <si>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</si>
  <si>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</si>
  <si>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</si>
  <si>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</si>
  <si>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</si>
  <si>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</si>
  <si>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</si>
  <si>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</si>
  <si>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</si>
  <si>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</si>
  <si>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</si>
  <si>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</si>
  <si>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</si>
  <si>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</si>
  <si>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</si>
  <si>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Közvetített szolg. értéke (műv. okt. rezsi ktg.)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</si>
  <si>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</si>
  <si>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</si>
  <si>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</si>
  <si>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</si>
  <si>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</si>
  <si>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</si>
  <si>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</si>
  <si>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</si>
  <si>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</si>
  <si>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</si>
  <si>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</si>
  <si>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</si>
  <si>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</si>
  <si>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</si>
  <si>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</si>
  <si>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</si>
  <si>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</si>
  <si>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</si>
  <si>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</si>
  <si>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</si>
  <si>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</si>
  <si>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</si>
  <si>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</si>
  <si>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</si>
  <si>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</si>
  <si>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</si>
  <si>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</si>
  <si>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</si>
  <si>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</si>
  <si>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</si>
  <si>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</si>
  <si>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40</t>
  </si>
  <si>
    <t>2013. évi XXXVI.törvány a választási eljárásról</t>
  </si>
  <si>
    <t>Ve.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</si>
  <si>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</si>
  <si>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</si>
  <si>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</si>
  <si>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</si>
  <si>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</si>
  <si>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</si>
  <si>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</si>
  <si>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</si>
  <si>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</si>
  <si>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</si>
  <si>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</si>
  <si>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</si>
  <si>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</si>
  <si>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</si>
  <si>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</si>
  <si>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</si>
  <si>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</si>
  <si>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</si>
  <si>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Gyermeklánc Óvoda és Bölcsőde, Család- és Gyermekjóléti Központ  összesen: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</si>
  <si>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</si>
  <si>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</si>
  <si>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</si>
  <si>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</si>
  <si>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</si>
  <si>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</si>
  <si>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</si>
  <si>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</si>
  <si>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</si>
  <si>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>Támogatás (elszámolható)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</si>
  <si>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</si>
  <si>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</si>
  <si>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</si>
  <si>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</si>
  <si>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</si>
  <si>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</si>
  <si>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</si>
  <si>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</si>
  <si>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</si>
  <si>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</si>
  <si>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</si>
  <si>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</si>
  <si>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</si>
  <si>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</si>
  <si>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</si>
  <si>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</si>
  <si>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</si>
  <si>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</si>
  <si>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</si>
  <si>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</si>
  <si>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</si>
  <si>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</si>
  <si>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</si>
  <si>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</si>
  <si>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</si>
  <si>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</si>
  <si>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</si>
  <si>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46/2018.(III.29) Kt. hat. KEOP-4.2.0/A/11-2011-0260 pályázat (Hunyadi János Ált. Isk. napelemes rendszer kiépítése) fenntartási jelentésének javítása</t>
  </si>
  <si>
    <t>47/2018.(III.29) Kt. hat. Bajai u. 4. sz. alatti ingatlan elektromos tűzvédelmi felülvizsgálata</t>
  </si>
  <si>
    <t>48/2018.(III.29) Kt. hat. Bernáth Zoltán utcán fekvőrendőr elhelyezése</t>
  </si>
  <si>
    <t>52/2018.(III.29) Kt. hat. Munka- és tűzvédelmi feladatok ellátása</t>
  </si>
  <si>
    <t>62/2018.(IV.26) Kt. hat. Ipari területen figyelő kutak vízmintavételi költsége</t>
  </si>
  <si>
    <t>63/2018.(IV.26) Kt. hat. Önkormányzati feladatellátást szolgáló fejlesztések (Óvoda fejlesztés) támogatása pályázati önerő</t>
  </si>
  <si>
    <t>64/2018.(IV.26) Kt. hat. Közbeszerzési szabályzat készítésének költsége</t>
  </si>
  <si>
    <t>65/2018.(IV.26) Kt. hat. "Kedvezményes Pályaépítési Program" kivitelezési munkálatai</t>
  </si>
  <si>
    <t>67/2018.(IV.26) Kt. hat. Kistérségi infokommunikációs vagyon megoszlásának feltárásához fedezet biztosítása</t>
  </si>
  <si>
    <t>70/2018.(IV.26) Kt. hat. A naperőmű park KÁT-METÁR rendszerhez történő csatlakozása</t>
  </si>
  <si>
    <t>Alaptevékenység maradványából képzett tartalék</t>
  </si>
  <si>
    <t>2017. évi alaptevékenység maradványából tartalék képzés</t>
  </si>
  <si>
    <t>2017. évi maradványt terhelő kötelezettségek</t>
  </si>
  <si>
    <t>Vállalkozási tevékenység maradványából képzett tartalék</t>
  </si>
  <si>
    <t>2017. évi vállalkozási tevékenység maradványából tartalék képzés</t>
  </si>
  <si>
    <t>Környezetvédelmi alap (előző évek maradványa)</t>
  </si>
  <si>
    <t>Környezetvédelmi alap összesen:</t>
  </si>
  <si>
    <t>A Városgazda Kft. központi irányítási feladatainak támogatására összesen:</t>
  </si>
  <si>
    <t>Céltartalék (működési) összesen:</t>
  </si>
  <si>
    <t>Egyéb műk. c. támogatások államháztartáson belülre</t>
  </si>
  <si>
    <t xml:space="preserve">K506 </t>
  </si>
  <si>
    <t>Fejlesztési célú tartalék - viziközművek fejlesztésére</t>
  </si>
  <si>
    <t>5.3. Egyéb műk. célú támogatások államh.-on belülre</t>
  </si>
  <si>
    <t>5.4. Egyéb műk. célú támogatások államh.-on kívülre</t>
  </si>
  <si>
    <t>5.5. Tartalékok</t>
  </si>
  <si>
    <t>Óvodai nevelés, ellátás működtetési feladatai</t>
  </si>
  <si>
    <t>Szennyvízcsatorna építése, fenntartása, üzemeltetése</t>
  </si>
  <si>
    <t>Műk. célú tám. ÁH-on belülre</t>
  </si>
  <si>
    <t>Vállalk. maradv-ból képzett tartalék</t>
  </si>
  <si>
    <t>Alaptev. maradványból képzett tartalék</t>
  </si>
  <si>
    <t>Fejlesztési tartalék - Viziközművek fejlesztésére</t>
  </si>
  <si>
    <t>049010</t>
  </si>
  <si>
    <t>Máshova nem sorolt gazdasági ügyek</t>
  </si>
  <si>
    <t>082042</t>
  </si>
  <si>
    <t>41</t>
  </si>
  <si>
    <t>42</t>
  </si>
  <si>
    <t>Viziközmű számla - átvett pénzeszköz</t>
  </si>
  <si>
    <t>Kéményseprő-ipari közszolgáltatás támogatása</t>
  </si>
  <si>
    <t>Könyvtári érdekeltségnövelő támogatás</t>
  </si>
  <si>
    <t>Nyitnikék Gyerekház EMMI-fejezeti fejl. c. támogatása</t>
  </si>
  <si>
    <t>TOP 1.4.1-16-BK1-2017-00002 Bölcsődei fejleszt. tám.</t>
  </si>
  <si>
    <t>Egyedi költségvetési támogatás</t>
  </si>
  <si>
    <t>Bernáth Zoltán utcán fekvőrendőr elhelyezése</t>
  </si>
  <si>
    <t>207/2017.(XI.29.) Kt. és 65/2018(IV.26.) Kt.  határozatok  MLSZ "Kedvezményes pályaépítési program" pályázathoz szükséges tervrajz készítése, kivitelezési munkák</t>
  </si>
  <si>
    <t>89/2018.(V.24.) Kt. határozat  MLSZ "Telephely korszerűsítési program" megnövekedett önrész és szakfelügyeleti költségek biztosítása</t>
  </si>
  <si>
    <t>Bölcsődei udvar kialakítása - Bölcsőde</t>
  </si>
  <si>
    <t>Egyéb tárgyi eszközök beszerzése, Microsoft Office program  - Család- és Gyermekjóléti Központ</t>
  </si>
  <si>
    <t>Egyéb tárgyi eszközök beszerzése, Microsoft Office program - Család- és Gyermekjóléti Szolgálat</t>
  </si>
  <si>
    <t xml:space="preserve">Egyéb tárgyi eszközök beszerzése (Panda vírusírtó 10.000 Ft + Áfa /gép (Jánoshalmi óvoda 9 gép, Nyitnikék Gyerekház 2 gép), Microsoft Office program, fűnyíró) </t>
  </si>
  <si>
    <t>Nyitnikék Gyerekház- felújítási munkálatok Dózsa Gy. u.</t>
  </si>
  <si>
    <t xml:space="preserve">TOP-1.4.1-16-BK1-2017-00002 "Bölcsődei fejlesztések Bács-Kiskun megyében" projekt beruházási kiadása </t>
  </si>
  <si>
    <t>Szennyvízberuházással kapcsolatos érdekeltségi hozzájárulások lakossági elszámolásából fakadó visszafizetési kötelezettség</t>
  </si>
  <si>
    <t xml:space="preserve">Fejlesztési célú tartalék - viziközművek előző évek bérleti díj bevételéből (szerződés szerint viziközművek fejlesztésére fordítandó a szolgáltatóval történő egyeztetés alapján) </t>
  </si>
  <si>
    <t>Kéményseprő-ipari közszolgáltatás helyi önkormányzat általi ellátásának támogatása</t>
  </si>
  <si>
    <t>2.</t>
  </si>
  <si>
    <t>IV.1.i</t>
  </si>
  <si>
    <t>A települési önkormányzatok könyvtári célú érdekeltségnövelő támogatása</t>
  </si>
  <si>
    <t>Háziorvosi Ügyeleti szolgálat - 1 db heverő nővér szobába, 1 db telefon, 1 db hordozható defibrillátor akku, 1 db tápegység, 1 db szünetmentes táp APC, 1 db HDD 500 GB</t>
  </si>
  <si>
    <t>TOP-1.4.1-16-BK1-2017-00002 "Bölcsődei fejlesztések Bács-Kiskun megyében" c. projekt</t>
  </si>
  <si>
    <t>4 db szavazófülke vásárlása választáshoz</t>
  </si>
  <si>
    <t>Nyitnikék Gyerekház fejlesztőeszközök beszerzése, tárolóhely kialakítás</t>
  </si>
  <si>
    <t>TOP-1.4.1-16-BK1-2017-00002 "Bölcsődei fejlesztések Bács-Kiskun megyében" projekt</t>
  </si>
  <si>
    <t>43</t>
  </si>
  <si>
    <t>"Bölcsődei fejlesztések Bács-Kiskun megyében"  (TOP-1.4.1-16-BK1-2017-00002)</t>
  </si>
  <si>
    <t>44</t>
  </si>
  <si>
    <t>45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</si>
  <si>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</si>
  <si>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</si>
  <si>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</si>
  <si>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</si>
  <si>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</si>
  <si>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</si>
  <si>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</si>
  <si>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</si>
  <si>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</si>
  <si>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</si>
  <si>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</si>
  <si>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</si>
  <si>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</si>
  <si>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Jánoshalmi tagóvodák                          </t>
  </si>
  <si>
    <t xml:space="preserve">- Óvónő </t>
  </si>
  <si>
    <t>- Pedagógiai asszisztens</t>
  </si>
  <si>
    <t xml:space="preserve">- Óvodai dajka </t>
  </si>
  <si>
    <t>- Óvodatitkár</t>
  </si>
  <si>
    <t>- Technikai dolgozók  (2 fő részfoglalk. napi 4 órában)</t>
  </si>
  <si>
    <t>Bölcsődei csoport</t>
  </si>
  <si>
    <t>Felsőfokú végzettségű kisgyermeknevelő</t>
  </si>
  <si>
    <t>Középfokú végzettségű kisgyermeknevelő</t>
  </si>
  <si>
    <t>Bölcsődei dajka</t>
  </si>
  <si>
    <t xml:space="preserve">Nyitnikék Gyerekház </t>
  </si>
  <si>
    <t>Gyermekház vezető</t>
  </si>
  <si>
    <t>Szakmai munkatárs</t>
  </si>
  <si>
    <t>Kéleshalmi tagintézmény</t>
  </si>
  <si>
    <t>- Óvónő</t>
  </si>
  <si>
    <t>- Óvodai dajka</t>
  </si>
  <si>
    <t>- Szakmai vezető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</si>
  <si>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</si>
  <si>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</si>
  <si>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</si>
  <si>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</si>
  <si>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Családsegítő</t>
  </si>
  <si>
    <t>EFOP-3.9.2-16-2017-00057 "Járásokat összekötő humán kapacitások fejlesztése térségi szemléletben" projekt</t>
  </si>
  <si>
    <t>EFOP-3.2.9-16-2016-00044 "Segítsd, hogy segíthessen!" projekt</t>
  </si>
  <si>
    <t xml:space="preserve">- Köztisztviselők                      </t>
  </si>
  <si>
    <t>- MT hatálya alá tartozó munkavállaló</t>
  </si>
  <si>
    <t>Önkormányzati tisztségviselők</t>
  </si>
  <si>
    <t>- Polgármester</t>
  </si>
  <si>
    <t>- Főállású alpolgármester</t>
  </si>
  <si>
    <t>Önkormányzati Tűzoltóság</t>
  </si>
  <si>
    <t>- Vonuló tűzoltók</t>
  </si>
  <si>
    <t>Építményüzemeltetés</t>
  </si>
  <si>
    <t>- Gazdasági ügyintéző (Gyermeklánc Óvoda számviteli-gazdálkodási feladatai)</t>
  </si>
  <si>
    <t>Gyermekétkeztetés</t>
  </si>
  <si>
    <t>- Gazdasági ügyintéző (térítési díjak beszedése, étkezők nyilvántartása)</t>
  </si>
  <si>
    <t>Igazgatási tevékenység</t>
  </si>
  <si>
    <t>- Szociális segítő</t>
  </si>
  <si>
    <t>- Közfoglalkoztatási ügyintéző</t>
  </si>
  <si>
    <t>Ügyeleti Szolgálat</t>
  </si>
  <si>
    <t>- Gépkocsivezető</t>
  </si>
  <si>
    <t>Védőnői Szolgálat</t>
  </si>
  <si>
    <t>- Védőnők</t>
  </si>
  <si>
    <t>EFOP-1.4.2-16-2016-00020 "Együtt könnyebb" komplex prevenciós és társadalmi felzárkóztató program a gyermekszegénység ellen (GYEP-II.)</t>
  </si>
  <si>
    <t>- Pénzügyi vezető (részmunkaidős napi 4 órában)</t>
  </si>
  <si>
    <t>- Projektmenedzser (részmunkaidős napi 4 órában)</t>
  </si>
  <si>
    <t>- Szakmai munkatárs</t>
  </si>
  <si>
    <t>- Szakterületi koordinátor (teljes munkaidős)</t>
  </si>
  <si>
    <t>EFOP-1.5.3-16-2017-00082 "Együtt vagyunk, otthon vagyunk és itt maradunk" projekt</t>
  </si>
  <si>
    <t>Ifjúsági referens</t>
  </si>
  <si>
    <t>Közösségszervező</t>
  </si>
  <si>
    <t>EFOP-3.3.2-16-2016-00284 "Kultúrával az oktatás színesítéséért" projekt</t>
  </si>
  <si>
    <t>Szakmai vezető</t>
  </si>
  <si>
    <t xml:space="preserve">- Könyvtáros                      </t>
  </si>
  <si>
    <t>- Művelődésszervező</t>
  </si>
  <si>
    <t>- Technikus</t>
  </si>
  <si>
    <t>- Adminisztrátor</t>
  </si>
  <si>
    <t>HELYI ÖNKORMÁNYZAT ÉS INTÉZMÉNYEI ÖSSZESEN:</t>
  </si>
  <si>
    <t xml:space="preserve">Közfoglalkoztatás </t>
  </si>
  <si>
    <t>Start-munka program - Téli közfoglalkoztatás (2017. évről áthúzódó programok 2018.02.28-ig)</t>
  </si>
  <si>
    <t>Bio- és megújuló energia felhasználás programelem</t>
  </si>
  <si>
    <t>Belterületi közutak karbantartása programelem</t>
  </si>
  <si>
    <t>Belvízelvezetés programelem</t>
  </si>
  <si>
    <t>Start-munka program - Téli közfoglalkoztatás (2018. március 1-től indult programok 2019.02.28-ig)</t>
  </si>
  <si>
    <t>Illegális hulladéklerakóhelyek felszámolása programelem</t>
  </si>
  <si>
    <t>Hosszabb időtartamú közfoglalkoztatás (2017. évről áthúzódó programok 2018.02.28-ig)</t>
  </si>
  <si>
    <t>12 fő álláskereső közfoglalkoztatása (Roma védőháló)</t>
  </si>
  <si>
    <t>72 fő álláskereső közfoglalkoztatása (Intézményes)</t>
  </si>
  <si>
    <t>Hosszabb időtartamú közfoglalkoztatás (2018. március 1-től indult programok 2019.02.28-ig)</t>
  </si>
  <si>
    <t>KÖZFOGLALKOZTATOTTAK LÉTSZÁMA ÖSSZESEN:</t>
  </si>
  <si>
    <t>Bethlen G. Alap- Jánoshalmi Napok 2018. tám.</t>
  </si>
  <si>
    <t>Működési c. vtérítendő támogatások, kölcsönök nyújtása ÁH-on kívülre</t>
  </si>
  <si>
    <t>Műk. c. vtérítendő tám., kölcsönök nyújtása ÁH-on kívülre</t>
  </si>
  <si>
    <t>082092</t>
  </si>
  <si>
    <t>Közművelődés-hagyományos közösségi kulturális értékek gondozása</t>
  </si>
  <si>
    <t>46</t>
  </si>
  <si>
    <t>47</t>
  </si>
  <si>
    <t>Kamatbevétel, ÁFA visszatérítés</t>
  </si>
  <si>
    <t>EFOP-1.4.2-16-2016-00020 Integrált térs. gyermekpr. "Együtt könnyebb" támogatása</t>
  </si>
  <si>
    <t>Hosszabb időtartamú közfoglalkoztatás (2018. július 1-től indult program 2019.02.28-ig)</t>
  </si>
  <si>
    <t>23 fő álláskereső közfoglalkoztatása</t>
  </si>
  <si>
    <t>Közművelődési és könyvtári feladatellátás eszközeinek megvásárlása</t>
  </si>
  <si>
    <t>Művészet oktatás eszközeinek és hangszerek megvásárlása</t>
  </si>
  <si>
    <t>EFOP-1.4.2-16-2016-00020 "Együtt könnyebb" c. projekt eszközbeszerzései</t>
  </si>
  <si>
    <t>Panda vírusvédelmi szoftver beszerzése</t>
  </si>
  <si>
    <t>20 db Panda vírusvédelmi szoftver beszerzése</t>
  </si>
  <si>
    <t>Kötelező elektronikus ügyintézéshez kapcsolódó biztonsági előírások teljesítésére (2015. évi CCXXII. tv.) céltartalék összesen: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</si>
  <si>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</si>
  <si>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</si>
  <si>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</si>
  <si>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</si>
  <si>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Nyári diákmunka program</t>
  </si>
  <si>
    <t>Jánoshalmi Napok asztalfoglalásának bevétele</t>
  </si>
  <si>
    <t>Nyári diákmunka program támogatása</t>
  </si>
  <si>
    <t>NYÁRI DIÁKMUNKÁSOK LÉTSZÁMA ÖSSZESEN:</t>
  </si>
  <si>
    <t>Önkormányzati rendezvények fedezet biztosítására</t>
  </si>
  <si>
    <t>Kötelező önk-i feladatot ellátó intézmények fejlesztése, felújítása -Radnóti u-i óvodafelújítás támogatása</t>
  </si>
  <si>
    <t>Önkormányzati feladatellátást szolgáló fejlesztések tám. pályázat - Óvoda fejlesztés önerő és közp-i tám.</t>
  </si>
  <si>
    <t>2.a,</t>
  </si>
  <si>
    <t>Önk-i feladatellátást szolgáló fejlesztések - óvodafelújítás támogatása</t>
  </si>
  <si>
    <t>GIRODirect szolgáltatáshoz történő csatlakozással összefüggő kiadások</t>
  </si>
  <si>
    <t>Álláskeresők közfoglalkoztatása (induló létszám 94 fő)</t>
  </si>
  <si>
    <t>082061</t>
  </si>
  <si>
    <t>047450</t>
  </si>
  <si>
    <t>062020</t>
  </si>
  <si>
    <t>053010</t>
  </si>
  <si>
    <t>095020</t>
  </si>
  <si>
    <t>107080</t>
  </si>
  <si>
    <t>Esélyegyenlőség elősegítését célzó tevékenységek és programok  (EFOP-1.5.3.-16-2017-00082 projekt)</t>
  </si>
  <si>
    <t>Környezetszennyezés csökkentésének igazgatása (TOP-3.2.1-16-BK1-2017-00059 projekt)</t>
  </si>
  <si>
    <t>Településfejlesztési projektek és támogatásuk (TOP-2.1.2-16-BK1-2017-00003 projekt)</t>
  </si>
  <si>
    <t>Önk-i vagyonnal való gazdálkodással kapcs. feladatok (TOP-1.1.3-16-BK1-2017-00007 projekt)</t>
  </si>
  <si>
    <t>Önk-i vagyonnal való gazdálkodással kapcs. feladatok (TOP-1.1.1-15-BK1-2016-00006 projekt)</t>
  </si>
  <si>
    <t>Szektorhoz nem köthető komplex gazdaságfejlesztési projektek támogatása (TOP-1.1.2-16-BK1-2017-00005 projekt)</t>
  </si>
  <si>
    <t>Közművelődés-közösségi és társadalmi részvétel fejlesztése (TOP-5.3.1-16-BK1-2017-00015 projekt)</t>
  </si>
  <si>
    <t>Üdülői szálláshely-szolgáltatás és étkeztetés</t>
  </si>
  <si>
    <t>A gyermekek, fiatalok és családok életminőségét javító programok (EFOP-1.4.2-16-2016-00020  projekt)</t>
  </si>
  <si>
    <t>Iskolarendszeren kívüli egyéb oktatás, képzés (EFOP-3.9.2-16-2017-00057 projekt)</t>
  </si>
  <si>
    <t>48</t>
  </si>
  <si>
    <t>49</t>
  </si>
  <si>
    <t>50</t>
  </si>
  <si>
    <t>51</t>
  </si>
  <si>
    <t>52</t>
  </si>
  <si>
    <t>53</t>
  </si>
  <si>
    <t>54</t>
  </si>
  <si>
    <t>55</t>
  </si>
  <si>
    <t>Pedagógiai szakmai szolgáltatás</t>
  </si>
  <si>
    <t xml:space="preserve">140/2018.(IX.27.) Kt. hat. Homokbánya bányaművelési térkép elkészíttetése </t>
  </si>
  <si>
    <t xml:space="preserve">151/2018.(IX.27) Kt. hat. Jánoshalma Radnóti u. 13. (volt Gimnázium épület) tetőfeljújítása </t>
  </si>
  <si>
    <t xml:space="preserve">153/2018.(IX.27.) Kt. hat. Esőbeálló kialakítása Béke téri buszöbölnél </t>
  </si>
  <si>
    <t>156/2018.(IX.27.) Kt. hat. Esőbeálló MLSZ Telephely Korszerűsítési program - Sportpálya műfüves pályájához mobil lelátó pályázati önerő</t>
  </si>
  <si>
    <t xml:space="preserve">160/2018.(X.18.) Kt. hat. Rendezési Terv módosítása </t>
  </si>
  <si>
    <t>1 db Voice-Kraft VK UFX-16 zenekari keverőpult (Imre Z. Műv. Központ és Könyvtár)</t>
  </si>
  <si>
    <t xml:space="preserve">154/2017.(VIII.24.) Kt. hat.  TOP-3.2.1-16  - BK1-2017-00059 "Jánoshalma Polgármesteri Hivatal energetikai rendszerek korszerűsítése" c. projekt </t>
  </si>
  <si>
    <t xml:space="preserve">TOP-5.3.1-16-BK1-2017-00015 "Együtt közösségeinkért" projekt beruházási kiadása </t>
  </si>
  <si>
    <t>EFOP-1.5.3-16-2017-00082 "Együtt vagyunk, otthon vagyunk és itt maradunk" projekt beruházási kiadása (eszközbeszerzések, Imre Z. Műv. Közp. klimatizálása, Helyi Emberi Erőforrás Fejlesztési Terv)</t>
  </si>
  <si>
    <t>Óvodai és iskolai szociális segítő támogatás beruházási kiadása</t>
  </si>
  <si>
    <t>Batthyány utcati óvodában és bölcsődében porszívó, Radnóti u-i óvodában szőnyeg, ebéd szállításhoz kézi kocsi</t>
  </si>
  <si>
    <t>132/2018.(IX.27) Kt. hat. A Polgármesteri Hivatalban az információbiztonsági feltételek kialakításához fedezet biztosítása</t>
  </si>
  <si>
    <t>Településfejlesztési projektek és támogatásuk (TOP-2.1.2-16-BK1-2017-00003)</t>
  </si>
  <si>
    <t>A gyermekek, fiatalok és családok életminőségét javító programok (EFOP-1.4.2-16-2016-00020 projekt)</t>
  </si>
  <si>
    <t>Esélyegyenlőség elősegítését célzó tevékenységek és programok (EFOP-1.5.3-16-2017-00082 projekt)</t>
  </si>
  <si>
    <t>Esélyegyenlőség elősegítését célzó tevékenységek és programok (EFOP-3.3.2-16-2016-00284 projekt)</t>
  </si>
  <si>
    <t>56</t>
  </si>
  <si>
    <t>57</t>
  </si>
  <si>
    <t>Család- és Gyermekjóléti Szolgálat (2 fő EFOP-1.5.3-16-2017-00082 projekt keretében)</t>
  </si>
  <si>
    <t>Pedagógiai szakmai szolgáltatások szakmai feladatai</t>
  </si>
  <si>
    <t>III.3.n</t>
  </si>
  <si>
    <t>Óvodai és iskolai szociális segítő tevékenység támogatása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</si>
  <si>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</si>
  <si>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</si>
  <si>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TOP-5.3.1-16-BK1-2017-00015 "Együtt a közösségeinkért" projekt</t>
  </si>
  <si>
    <t>Ár- és belvízvédelemmel összefüggő tevékenységek (TOP-2.1.3-16-BK1-2017-00010 projekt)</t>
  </si>
  <si>
    <t>Óvodai és iskolai szociális segítő tev.támogatása</t>
  </si>
  <si>
    <t>Kulturális szolgáltatások bevételei</t>
  </si>
  <si>
    <t>TOP-5.3.1-16-BK1-2017-00015"Együtt a közösségeinkért" projekt támogatása</t>
  </si>
  <si>
    <t>Pedagógiai  szakmai szolgáltatás bevétele</t>
  </si>
  <si>
    <t>58</t>
  </si>
  <si>
    <t>TOP-3.2.1.-16 Polg. Hiv. energetikai korsz. projekt, TOP-2.1.2-16 "Zöld tér felújítása projekt  támogatása</t>
  </si>
  <si>
    <t>TOP-2.1.3-16 "Jh. belvíz elvezetése I. ütem" c. projekt támogatása</t>
  </si>
  <si>
    <t>Közösségfejlesztő</t>
  </si>
  <si>
    <t>- Szakterületi koordinátor  / és Coach (1 fő napi 4 órában/ heti 20 órában)</t>
  </si>
  <si>
    <t>Közösség szervező munkatárs</t>
  </si>
  <si>
    <t>Működési célú tartalék - Téli rezsicsökkentési támogatás tart.</t>
  </si>
  <si>
    <t>Téli rezsicsökk. tám. tart.</t>
  </si>
  <si>
    <t>Településfejlesztési projektek és támogatásuk (VP-6-7.2.1-7.4.13-17 "Közétkeztetés fejlesztése" projekt)</t>
  </si>
  <si>
    <t>Településfejlesztési projektek és támogatásuk (VP-6-7.2.1-7.4.1.2-16 "Külterületi utak karb-hoz gépek beszerzése" projekt)</t>
  </si>
  <si>
    <t>Településfejlesztési projektek és támogatásuk (VP-6-7.4.1.1-16 "Jh-i Művésztelep energetikai felújítása" projekt)</t>
  </si>
  <si>
    <t>104030</t>
  </si>
  <si>
    <t>Településfejlesztési projektek és támogatásuk (VP-6-19.2.1-32-1-17 "Települések élhetőbbé tétele" - Mélykúti u. gépjárműtároló építése projekt)</t>
  </si>
  <si>
    <t>31. Egészségügyi ellátás</t>
  </si>
  <si>
    <t>Téli rezsicsökkentési támogatás</t>
  </si>
  <si>
    <t>Államháztartáson belüli megelőzések</t>
  </si>
  <si>
    <t>Időskorúak tartós bentlakásos ellátásának egyéb működési bevétele</t>
  </si>
  <si>
    <t>OTP reklámtevékenység bevétele</t>
  </si>
  <si>
    <t xml:space="preserve"> TOP-1.1.3-16 "Agrárlogisztikai központ építése Jh-n" c. pr. műk. c.  támogatása</t>
  </si>
  <si>
    <t>VP-6-7.2.1-7.4.13-17 "Közétkeztetés fejlesztése" c. projekt támogatása</t>
  </si>
  <si>
    <t>VP-6-7.2.1-7.4.1.2-16 "Külterületi utak karbantartásához szükséges gépek beszerzése" c. projekt támogatása</t>
  </si>
  <si>
    <t>Anyakönyvi-, és  egyéb szolgáltatás díjbevétele</t>
  </si>
  <si>
    <t>Egyéb műk. c. bevétel, kapott kama</t>
  </si>
  <si>
    <t>ÁFA visszatérítés</t>
  </si>
  <si>
    <t>59</t>
  </si>
  <si>
    <t>60</t>
  </si>
  <si>
    <t>61</t>
  </si>
  <si>
    <t>62</t>
  </si>
  <si>
    <t>200/2018.(XII.13.) Kt. határozat Tűzoltóság - vízvezeték mérési szétválasztása (vízóra akna)</t>
  </si>
  <si>
    <t xml:space="preserve">58/2015.(III.26) Kt. hat.  TOP-1.1.3-16-BK1 - "Agrárlogisztikai központ építése Jánoshalmán c. projekt </t>
  </si>
  <si>
    <t>168/2017.(IX.28.) Kt. hat. és 120/2018.(VII.18.) Kt. hat. Pályázati önerő - a konyhafejlesztésre benyújtott VP 6-7.2.1-7.4.1.3-17 kódszámú pályázathoz és vissza nem térítendő támogatás</t>
  </si>
  <si>
    <t>208/2016.(XII.15.) Kt. hat. és 145/2018.(IX.27) Kt. hat. Pályázati önerő VP6-7.2.1-7.4.2-16. kódszámú pályázathoz (közutak karbantartásához erő- és munkagépek beszerzése) és vissza nem térítendő támogatás</t>
  </si>
  <si>
    <t>Tűzoltóság eszközbeszerzése (TV készülék, 5db Rugged Leather Case with LG stud készülék, TP-Link Router, fünyíró, tüdőautomata csatlakozó, mászóöv, légzsákmentesítők)</t>
  </si>
  <si>
    <t>Védőnői szolgálat eszközbeszerzése (HRO TP-Link Wireless Router, 5 db PANDA  vírusirtó)</t>
  </si>
  <si>
    <t>Diákélelmezési Konyha előtti bekötőút felújítása</t>
  </si>
  <si>
    <t>EPER és E-Kata programokhoz történő jogszerű hozzáférés díja, Genius Media Pointer 100 Presenter USB</t>
  </si>
  <si>
    <t>Automata oltóberendezés és kamera rendszer telepítése, beléptető és riasztó rendszer bővítése</t>
  </si>
  <si>
    <t>Információ biztonsági feltételek kialakítása céljából eszközbeszerzések (server, szünetmentes áramforrás, x tech rackszekrény</t>
  </si>
  <si>
    <t>200/2018.(XII.13) Kt. hat. Tűzoltóság - vízvezeték mérési szétválasztása (vízóra akna)</t>
  </si>
  <si>
    <t>Téli rezsicsökkentési támogatás céltartaléka</t>
  </si>
  <si>
    <t>Téli rezsicsökkentési támogatás céltartaléka összesen:</t>
  </si>
  <si>
    <t xml:space="preserve">Céltartalék- viziközművek bérleti díj bevétel maradványa előző évekről </t>
  </si>
  <si>
    <t>Viziközművek 2018. évi bérleti díj bevétele</t>
  </si>
  <si>
    <t>Viziközművek fejlesztésére fordítandó tartalék (a szolgáltatóval történő egyeztetés alapján)</t>
  </si>
  <si>
    <t>A Polgármesteri Hivatalban automata oltóberendezés és kamera rendszer telepítése, beléptető és riasztó rendszer bővítése</t>
  </si>
  <si>
    <t>A Polgármesteri Hivatalban az információ biztonsági feltételek kialakítása céljából eszközbeszerzések (server, szünetmentes áramforrás, x tech rackszekrény)</t>
  </si>
  <si>
    <t>Téli rezsicsökkentésben korábban nem részesült, a vezetékes gáz- vagy távfűtéstől eltérő fűtőanyagot felhasználó háztartások egyszeri támogatása</t>
  </si>
  <si>
    <t>"Közétkeztetés fejlesztése" (VP-6-7.2.1-7.4.13-17)</t>
  </si>
  <si>
    <t>"Külterületi utak karbantartásához szükséges gépek beszerzése" (VP-6-7.2.1-7.4.1.2-16)</t>
  </si>
  <si>
    <t>"A Jánoshalmi Művésztelep energetikai felújítása" (VP-6 -7.4.1.1.-16)</t>
  </si>
  <si>
    <t>Bér+járulék kiadások (elszámolható) Gyermekjóléti Szolgálatnál</t>
  </si>
  <si>
    <t>Bér+járulék kiadások (elszámolható) Polgármesteri Hivatalnál</t>
  </si>
  <si>
    <t>- EFOP-1.5.3-16-2017-00082 "Együtt vagyunk, otthon vagyunk és itt maradunk" pályázat keretében foglalkoztatott 2 fő prevenciós munkatárs</t>
  </si>
  <si>
    <t>- Szakmai asszisztens (2 fő, ebből 1 fő napi 4 órában)</t>
  </si>
  <si>
    <t>mentor vezető (részm. napi 4 órában)</t>
  </si>
  <si>
    <t>mentor (10 fő napi 2 órában)</t>
  </si>
  <si>
    <t>Angol nyelvtanár (2 fő részm. napi 1 órában)</t>
  </si>
  <si>
    <t>Mentor (4 fő napi 1 órában)</t>
  </si>
  <si>
    <t>Szakmai vezető (részm. napi 4 órában)</t>
  </si>
  <si>
    <t>- Iskolai és óvodai szoc. segítő m.</t>
  </si>
  <si>
    <t>Szociális segítő (1 fő + 1fő részm. napi 4 óra)</t>
  </si>
  <si>
    <t>fejlesztő pedagógus</t>
  </si>
  <si>
    <t>fejlesztő pedagógus (2 fő napi 4 órában)</t>
  </si>
  <si>
    <t>kiegészítő fejlesztés zeneovi és angol (2 fő heti 2 és 1 órában)</t>
  </si>
  <si>
    <t>Gyógypedagógus (1 fő heti 10 órában)</t>
  </si>
  <si>
    <t>szakmai koordinátor</t>
  </si>
  <si>
    <t>pénzügyi asszisztens (napi 4 óra)</t>
  </si>
  <si>
    <t>Radnóti u-i óvoda 1 db létra, irodai szék, porszívó és magnó pótlása</t>
  </si>
  <si>
    <t xml:space="preserve">Bölcsődében 1 db létra vásárlása </t>
  </si>
  <si>
    <t>1. melléklet az 1/2019.(II.18.) önkormányzati rendelethez</t>
  </si>
  <si>
    <t>2. melléklet az 1/2019.(II.18.) önkormányzati rendelethez</t>
  </si>
  <si>
    <t>3. melléklet az 1/2019.(II.18.) önkormányzati rendelethez</t>
  </si>
  <si>
    <t>4. melléklet az 1/2019.(II.18.) önkormányzati rendelethez</t>
  </si>
  <si>
    <t>5. melléklet az 1/2019.(II.18.) önkormányzati rendelethez</t>
  </si>
  <si>
    <t>6. melléklet az 1/2019.(II.18.) önkormányzati rendelethez</t>
  </si>
  <si>
    <t>7. melléklet az 1/2019.(II.18.) önkormányzati rendelethez</t>
  </si>
  <si>
    <t>8. melléklet az 1/2019. (II.18.) önkormányzati rendelethez</t>
  </si>
  <si>
    <t>9. melléklet az 1/2019.(II.18.) önkormányzati rendelethez</t>
  </si>
  <si>
    <t>10. melléklet az 1/2019.(II.18.) önkormányzati rendelethez</t>
  </si>
  <si>
    <t>11. melléklet az 1/2019. (II.18.) önkormányzati rendelethez</t>
  </si>
  <si>
    <t>12. melléklet az 1/2019. (II.18.) önkormányzati rendelethez</t>
  </si>
  <si>
    <t>13. melléklet az 1/2019. (II.18.)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</si>
</sst>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i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404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1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5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1" xfId="57" applyFont="1" applyBorder="1" applyAlignment="1">
      <alignment horizontal="center" vertical="center" wrapText="1"/>
      <protection/>
    </xf>
    <xf numFmtId="0" fontId="19" fillId="0" borderId="21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1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1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1" xfId="57" applyFont="1" applyBorder="1" applyAlignment="1">
      <alignment horizontal="left" vertical="center" indent="2"/>
      <protection/>
    </xf>
    <xf numFmtId="16" fontId="22" fillId="0" borderId="21" xfId="57" applyNumberFormat="1" applyFont="1" applyBorder="1" applyAlignment="1">
      <alignment horizontal="left" vertical="center" indent="2"/>
      <protection/>
    </xf>
    <xf numFmtId="0" fontId="22" fillId="0" borderId="21" xfId="57" applyFont="1" applyBorder="1" applyAlignment="1">
      <alignment horizontal="left" indent="2"/>
      <protection/>
    </xf>
    <xf numFmtId="3" fontId="19" fillId="0" borderId="21" xfId="42" applyNumberFormat="1" applyFont="1" applyBorder="1" applyAlignment="1">
      <alignment horizontal="right"/>
    </xf>
    <xf numFmtId="3" fontId="18" fillId="0" borderId="21" xfId="42" applyNumberFormat="1" applyFont="1" applyBorder="1" applyAlignment="1">
      <alignment horizontal="right"/>
    </xf>
    <xf numFmtId="3" fontId="22" fillId="0" borderId="21" xfId="42" applyNumberFormat="1" applyFont="1" applyBorder="1" applyAlignment="1">
      <alignment horizontal="right"/>
    </xf>
    <xf numFmtId="0" fontId="26" fillId="0" borderId="21" xfId="57" applyFont="1" applyBorder="1" applyAlignment="1">
      <alignment horizontal="left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3" fontId="26" fillId="0" borderId="21" xfId="42" applyNumberFormat="1" applyFont="1" applyBorder="1" applyAlignment="1">
      <alignment horizontal="right"/>
    </xf>
    <xf numFmtId="0" fontId="26" fillId="0" borderId="21" xfId="57" applyFont="1" applyBorder="1">
      <alignment/>
      <protection/>
    </xf>
    <xf numFmtId="0" fontId="27" fillId="0" borderId="0" xfId="57" applyFont="1">
      <alignment/>
      <protection/>
    </xf>
    <xf numFmtId="0" fontId="28" fillId="0" borderId="21" xfId="57" applyFont="1" applyBorder="1" applyAlignment="1">
      <alignment horizontal="right"/>
      <protection/>
    </xf>
    <xf numFmtId="0" fontId="29" fillId="0" borderId="0" xfId="57" applyFont="1">
      <alignment/>
      <protection/>
    </xf>
    <xf numFmtId="0" fontId="30" fillId="0" borderId="21" xfId="57" applyFont="1" applyBorder="1" applyAlignment="1">
      <alignment vertical="center"/>
      <protection/>
    </xf>
    <xf numFmtId="3" fontId="30" fillId="0" borderId="21" xfId="42" applyNumberFormat="1" applyFont="1" applyBorder="1" applyAlignment="1">
      <alignment horizontal="right"/>
    </xf>
    <xf numFmtId="0" fontId="30" fillId="0" borderId="21" xfId="57" applyFont="1" applyBorder="1">
      <alignment/>
      <protection/>
    </xf>
    <xf numFmtId="0" fontId="30" fillId="0" borderId="0" xfId="57" applyFont="1">
      <alignment/>
      <protection/>
    </xf>
    <xf numFmtId="0" fontId="30" fillId="0" borderId="21" xfId="57" applyFont="1" applyBorder="1" applyAlignment="1">
      <alignment vertical="center" wrapText="1"/>
      <protection/>
    </xf>
    <xf numFmtId="0" fontId="30" fillId="0" borderId="21" xfId="57" applyFont="1" applyBorder="1" applyAlignment="1">
      <alignment horizontal="left" vertical="center"/>
      <protection/>
    </xf>
    <xf numFmtId="0" fontId="31" fillId="0" borderId="0" xfId="57" applyFont="1">
      <alignment/>
      <protection/>
    </xf>
    <xf numFmtId="0" fontId="30" fillId="0" borderId="21" xfId="57" applyFont="1" applyBorder="1" applyAlignment="1">
      <alignment horizontal="left" vertical="center" wrapText="1"/>
      <protection/>
    </xf>
    <xf numFmtId="0" fontId="32" fillId="0" borderId="0" xfId="57" applyFont="1">
      <alignment/>
      <protection/>
    </xf>
    <xf numFmtId="0" fontId="19" fillId="0" borderId="21" xfId="57" applyFont="1" applyBorder="1" applyAlignment="1">
      <alignment horizontal="left" vertical="center" indent="1"/>
      <protection/>
    </xf>
    <xf numFmtId="0" fontId="19" fillId="0" borderId="21" xfId="57" applyFont="1" applyBorder="1" applyAlignment="1">
      <alignment horizontal="left" indent="1"/>
      <protection/>
    </xf>
    <xf numFmtId="3" fontId="33" fillId="0" borderId="21" xfId="57" applyNumberFormat="1" applyFont="1" applyBorder="1" applyAlignment="1">
      <alignment horizontal="right" vertical="center"/>
      <protection/>
    </xf>
    <xf numFmtId="3" fontId="33" fillId="0" borderId="21" xfId="42" applyNumberFormat="1" applyFont="1" applyBorder="1" applyAlignment="1">
      <alignment horizontal="right"/>
    </xf>
    <xf numFmtId="0" fontId="19" fillId="0" borderId="21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0" fontId="13" fillId="0" borderId="21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1" xfId="61" applyNumberFormat="1" applyFont="1" applyBorder="1" applyAlignment="1">
      <alignment vertical="center"/>
      <protection/>
    </xf>
    <xf numFmtId="0" fontId="21" fillId="0" borderId="21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1" xfId="61" applyNumberFormat="1" applyFont="1" applyBorder="1" applyAlignment="1">
      <alignment horizontal="center" vertical="center"/>
      <protection/>
    </xf>
    <xf numFmtId="49" fontId="21" fillId="32" borderId="21" xfId="61" applyNumberFormat="1" applyFont="1" applyFill="1" applyBorder="1" applyAlignment="1">
      <alignment horizontal="center" vertical="center"/>
      <protection/>
    </xf>
    <xf numFmtId="0" fontId="21" fillId="32" borderId="21" xfId="61" applyFont="1" applyFill="1" applyBorder="1" applyAlignment="1">
      <alignment vertical="center"/>
      <protection/>
    </xf>
    <xf numFmtId="0" fontId="21" fillId="32" borderId="14" xfId="61" applyFont="1" applyFill="1" applyBorder="1" applyAlignment="1">
      <alignment vertical="center" wrapText="1"/>
      <protection/>
    </xf>
    <xf numFmtId="3" fontId="21" fillId="32" borderId="20" xfId="61" applyNumberFormat="1" applyFont="1" applyFill="1" applyBorder="1" applyAlignment="1">
      <alignment vertical="center"/>
      <protection/>
    </xf>
    <xf numFmtId="3" fontId="21" fillId="32" borderId="21" xfId="61" applyNumberFormat="1" applyFont="1" applyFill="1" applyBorder="1" applyAlignment="1">
      <alignment vertical="center"/>
      <protection/>
    </xf>
    <xf numFmtId="3" fontId="21" fillId="32" borderId="22" xfId="61" applyNumberFormat="1" applyFont="1" applyFill="1" applyBorder="1" applyAlignment="1">
      <alignment vertical="center"/>
      <protection/>
    </xf>
    <xf numFmtId="3" fontId="21" fillId="32" borderId="17" xfId="61" applyNumberFormat="1" applyFont="1" applyFill="1" applyBorder="1" applyAlignment="1">
      <alignment vertical="center"/>
      <protection/>
    </xf>
    <xf numFmtId="0" fontId="13" fillId="32" borderId="21" xfId="61" applyFill="1" applyBorder="1">
      <alignment/>
      <protection/>
    </xf>
    <xf numFmtId="0" fontId="21" fillId="32" borderId="21" xfId="61" applyFont="1" applyFill="1" applyBorder="1">
      <alignment/>
      <protection/>
    </xf>
    <xf numFmtId="3" fontId="17" fillId="0" borderId="21" xfId="57" applyNumberFormat="1" applyFont="1" applyBorder="1" applyAlignment="1">
      <alignment vertical="center"/>
      <protection/>
    </xf>
    <xf numFmtId="0" fontId="6" fillId="0" borderId="21" xfId="0" applyFont="1" applyFill="1" applyBorder="1" applyAlignment="1">
      <alignment vertical="center" wrapText="1"/>
    </xf>
    <xf numFmtId="0" fontId="34" fillId="0" borderId="25" xfId="61" applyFont="1" applyBorder="1" applyAlignment="1">
      <alignment horizontal="center" vertical="center" wrapText="1"/>
      <protection/>
    </xf>
    <xf numFmtId="3" fontId="21" fillId="32" borderId="26" xfId="61" applyNumberFormat="1" applyFont="1" applyFill="1" applyBorder="1" applyAlignment="1">
      <alignment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38" fillId="0" borderId="0" xfId="0" applyFont="1" applyAlignment="1">
      <alignment/>
    </xf>
    <xf numFmtId="0" fontId="13" fillId="0" borderId="14" xfId="61" applyFont="1" applyBorder="1" applyAlignment="1">
      <alignment wrapText="1"/>
      <protection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9" fillId="0" borderId="21" xfId="58" applyFont="1" applyBorder="1">
      <alignment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3" fontId="39" fillId="0" borderId="21" xfId="58" applyNumberFormat="1" applyFont="1" applyBorder="1">
      <alignment/>
      <protection/>
    </xf>
    <xf numFmtId="3" fontId="19" fillId="0" borderId="21" xfId="58" applyNumberFormat="1" applyFont="1" applyBorder="1">
      <alignment/>
      <protection/>
    </xf>
    <xf numFmtId="0" fontId="18" fillId="0" borderId="0" xfId="0" applyFont="1" applyAlignment="1">
      <alignment/>
    </xf>
    <xf numFmtId="0" fontId="40" fillId="0" borderId="21" xfId="58" applyFont="1" applyBorder="1">
      <alignment/>
      <protection/>
    </xf>
    <xf numFmtId="3" fontId="40" fillId="0" borderId="21" xfId="58" applyNumberFormat="1" applyFont="1" applyBorder="1">
      <alignment/>
      <protection/>
    </xf>
    <xf numFmtId="0" fontId="41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39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1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1" xfId="58" applyFont="1" applyBorder="1">
      <alignment/>
      <protection/>
    </xf>
    <xf numFmtId="3" fontId="44" fillId="0" borderId="21" xfId="58" applyNumberFormat="1" applyFont="1" applyBorder="1">
      <alignment/>
      <protection/>
    </xf>
    <xf numFmtId="0" fontId="45" fillId="0" borderId="21" xfId="58" applyFont="1" applyBorder="1">
      <alignment/>
      <protection/>
    </xf>
    <xf numFmtId="0" fontId="45" fillId="0" borderId="21" xfId="58" applyFont="1" applyBorder="1" applyAlignment="1">
      <alignment horizontal="left"/>
      <protection/>
    </xf>
    <xf numFmtId="3" fontId="45" fillId="0" borderId="21" xfId="58" applyNumberFormat="1" applyFont="1" applyBorder="1">
      <alignment/>
      <protection/>
    </xf>
    <xf numFmtId="0" fontId="18" fillId="0" borderId="21" xfId="58" applyFont="1" applyBorder="1">
      <alignment/>
      <protection/>
    </xf>
    <xf numFmtId="0" fontId="45" fillId="0" borderId="21" xfId="58" applyFont="1" applyBorder="1" applyAlignment="1">
      <alignment horizontal="right"/>
      <protection/>
    </xf>
    <xf numFmtId="0" fontId="45" fillId="0" borderId="14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1" xfId="58" applyNumberFormat="1" applyFont="1" applyBorder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0" xfId="0" applyFont="1" applyAlignment="1">
      <alignment/>
    </xf>
    <xf numFmtId="0" fontId="39" fillId="0" borderId="21" xfId="0" applyFont="1" applyBorder="1" applyAlignment="1">
      <alignment/>
    </xf>
    <xf numFmtId="3" fontId="39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3" fontId="40" fillId="0" borderId="2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1" xfId="0" applyFont="1" applyFill="1" applyBorder="1" applyAlignment="1">
      <alignment horizontal="left"/>
    </xf>
    <xf numFmtId="0" fontId="22" fillId="0" borderId="21" xfId="0" applyFont="1" applyBorder="1" applyAlignment="1">
      <alignment/>
    </xf>
    <xf numFmtId="0" fontId="45" fillId="0" borderId="21" xfId="0" applyFont="1" applyBorder="1" applyAlignment="1">
      <alignment horizontal="left" vertical="center" wrapText="1"/>
    </xf>
    <xf numFmtId="3" fontId="45" fillId="33" borderId="21" xfId="0" applyNumberFormat="1" applyFont="1" applyFill="1" applyBorder="1" applyAlignment="1">
      <alignment/>
    </xf>
    <xf numFmtId="0" fontId="45" fillId="0" borderId="21" xfId="0" applyFont="1" applyBorder="1" applyAlignment="1">
      <alignment horizontal="left" vertical="top"/>
    </xf>
    <xf numFmtId="0" fontId="45" fillId="0" borderId="21" xfId="0" applyFont="1" applyBorder="1" applyAlignment="1">
      <alignment horizontal="left" wrapText="1"/>
    </xf>
    <xf numFmtId="3" fontId="45" fillId="0" borderId="27" xfId="0" applyNumberFormat="1" applyFont="1" applyFill="1" applyBorder="1" applyAlignment="1">
      <alignment/>
    </xf>
    <xf numFmtId="0" fontId="50" fillId="0" borderId="21" xfId="0" applyFont="1" applyBorder="1" applyAlignment="1">
      <alignment/>
    </xf>
    <xf numFmtId="3" fontId="50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1" xfId="0" applyFont="1" applyBorder="1" applyAlignment="1">
      <alignment horizontal="right"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0" fontId="54" fillId="0" borderId="21" xfId="58" applyFont="1" applyBorder="1" applyAlignment="1">
      <alignment horizontal="left"/>
      <protection/>
    </xf>
    <xf numFmtId="49" fontId="39" fillId="0" borderId="0" xfId="60" applyNumberFormat="1" applyFont="1" applyFill="1" applyAlignment="1">
      <alignment horizontal="center" vertical="center"/>
      <protection/>
    </xf>
    <xf numFmtId="0" fontId="39" fillId="0" borderId="0" xfId="60" applyFont="1" applyFill="1" applyAlignment="1">
      <alignment vertical="center"/>
      <protection/>
    </xf>
    <xf numFmtId="0" fontId="55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0" fillId="0" borderId="28" xfId="60" applyFont="1" applyFill="1" applyBorder="1" applyAlignment="1">
      <alignment horizontal="center" vertical="center"/>
      <protection/>
    </xf>
    <xf numFmtId="0" fontId="20" fillId="0" borderId="24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9" xfId="60" applyFont="1" applyFill="1" applyBorder="1" applyAlignment="1">
      <alignment horizontal="center" vertical="center" wrapText="1"/>
      <protection/>
    </xf>
    <xf numFmtId="49" fontId="39" fillId="0" borderId="30" xfId="60" applyNumberFormat="1" applyFont="1" applyFill="1" applyBorder="1" applyAlignment="1">
      <alignment horizontal="center" vertical="center"/>
      <protection/>
    </xf>
    <xf numFmtId="0" fontId="20" fillId="0" borderId="31" xfId="60" applyFont="1" applyFill="1" applyBorder="1" applyAlignment="1">
      <alignment vertical="center" wrapText="1"/>
      <protection/>
    </xf>
    <xf numFmtId="3" fontId="40" fillId="0" borderId="10" xfId="60" applyNumberFormat="1" applyFont="1" applyFill="1" applyBorder="1" applyAlignment="1">
      <alignment vertical="center" wrapText="1"/>
      <protection/>
    </xf>
    <xf numFmtId="3" fontId="40" fillId="0" borderId="32" xfId="60" applyNumberFormat="1" applyFont="1" applyFill="1" applyBorder="1" applyAlignment="1">
      <alignment vertical="center" wrapText="1"/>
      <protection/>
    </xf>
    <xf numFmtId="3" fontId="40" fillId="0" borderId="33" xfId="60" applyNumberFormat="1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 wrapText="1"/>
      <protection/>
    </xf>
    <xf numFmtId="3" fontId="40" fillId="0" borderId="34" xfId="60" applyNumberFormat="1" applyFont="1" applyFill="1" applyBorder="1" applyAlignment="1">
      <alignment vertical="center" wrapText="1"/>
      <protection/>
    </xf>
    <xf numFmtId="3" fontId="39" fillId="0" borderId="34" xfId="60" applyNumberFormat="1" applyFont="1" applyFill="1" applyBorder="1" applyAlignment="1">
      <alignment vertical="center"/>
      <protection/>
    </xf>
    <xf numFmtId="3" fontId="39" fillId="0" borderId="33" xfId="60" applyNumberFormat="1" applyFont="1" applyFill="1" applyBorder="1" applyAlignment="1">
      <alignment vertical="center"/>
      <protection/>
    </xf>
    <xf numFmtId="3" fontId="20" fillId="0" borderId="26" xfId="60" applyNumberFormat="1" applyFont="1" applyFill="1" applyBorder="1" applyAlignment="1">
      <alignment vertical="center"/>
      <protection/>
    </xf>
    <xf numFmtId="49" fontId="39" fillId="0" borderId="32" xfId="60" applyNumberFormat="1" applyFont="1" applyFill="1" applyBorder="1" applyAlignment="1">
      <alignment horizontal="center" vertical="center"/>
      <protection/>
    </xf>
    <xf numFmtId="3" fontId="40" fillId="0" borderId="35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6" fillId="0" borderId="22" xfId="60" applyNumberFormat="1" applyFont="1" applyFill="1" applyBorder="1" applyAlignment="1">
      <alignment vertical="center"/>
      <protection/>
    </xf>
    <xf numFmtId="49" fontId="39" fillId="0" borderId="20" xfId="60" applyNumberFormat="1" applyFont="1" applyFill="1" applyBorder="1" applyAlignment="1">
      <alignment horizontal="center" vertical="center"/>
      <protection/>
    </xf>
    <xf numFmtId="3" fontId="40" fillId="0" borderId="20" xfId="60" applyNumberFormat="1" applyFont="1" applyFill="1" applyBorder="1" applyAlignment="1">
      <alignment vertical="center" wrapText="1"/>
      <protection/>
    </xf>
    <xf numFmtId="3" fontId="40" fillId="0" borderId="21" xfId="60" applyNumberFormat="1" applyFont="1" applyFill="1" applyBorder="1" applyAlignment="1">
      <alignment vertical="center" wrapText="1"/>
      <protection/>
    </xf>
    <xf numFmtId="3" fontId="40" fillId="0" borderId="17" xfId="60" applyNumberFormat="1" applyFont="1" applyFill="1" applyBorder="1" applyAlignment="1">
      <alignment vertical="center" wrapText="1"/>
      <protection/>
    </xf>
    <xf numFmtId="3" fontId="39" fillId="0" borderId="17" xfId="60" applyNumberFormat="1" applyFont="1" applyFill="1" applyBorder="1" applyAlignment="1">
      <alignment vertical="center"/>
      <protection/>
    </xf>
    <xf numFmtId="3" fontId="39" fillId="0" borderId="21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horizontal="right" vertical="center" wrapText="1"/>
      <protection/>
    </xf>
    <xf numFmtId="3" fontId="40" fillId="0" borderId="22" xfId="60" applyNumberFormat="1" applyFont="1" applyFill="1" applyBorder="1" applyAlignment="1">
      <alignment horizontal="left" vertical="center" wrapText="1"/>
      <protection/>
    </xf>
    <xf numFmtId="3" fontId="40" fillId="0" borderId="20" xfId="60" applyNumberFormat="1" applyFont="1" applyFill="1" applyBorder="1" applyAlignment="1">
      <alignment vertical="center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vertical="center"/>
      <protection/>
    </xf>
    <xf numFmtId="3" fontId="40" fillId="33" borderId="35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6" fillId="0" borderId="21" xfId="60" applyNumberFormat="1" applyFont="1" applyFill="1" applyBorder="1" applyAlignment="1">
      <alignment vertical="center"/>
      <protection/>
    </xf>
    <xf numFmtId="3" fontId="54" fillId="0" borderId="17" xfId="60" applyNumberFormat="1" applyFont="1" applyFill="1" applyBorder="1" applyAlignment="1">
      <alignment vertical="center"/>
      <protection/>
    </xf>
    <xf numFmtId="3" fontId="56" fillId="0" borderId="17" xfId="60" applyNumberFormat="1" applyFont="1" applyFill="1" applyBorder="1" applyAlignment="1">
      <alignment vertical="center"/>
      <protection/>
    </xf>
    <xf numFmtId="3" fontId="50" fillId="0" borderId="29" xfId="60" applyNumberFormat="1" applyFont="1" applyFill="1" applyBorder="1" applyAlignment="1">
      <alignment vertical="center"/>
      <protection/>
    </xf>
    <xf numFmtId="3" fontId="40" fillId="0" borderId="30" xfId="60" applyNumberFormat="1" applyFont="1" applyFill="1" applyBorder="1" applyAlignment="1">
      <alignment vertical="center" wrapText="1"/>
      <protection/>
    </xf>
    <xf numFmtId="3" fontId="40" fillId="0" borderId="31" xfId="60" applyNumberFormat="1" applyFont="1" applyFill="1" applyBorder="1" applyAlignment="1">
      <alignment vertical="center" wrapText="1"/>
      <protection/>
    </xf>
    <xf numFmtId="0" fontId="20" fillId="0" borderId="21" xfId="60" applyFont="1" applyFill="1" applyBorder="1" applyAlignment="1">
      <alignment vertical="center" wrapText="1"/>
      <protection/>
    </xf>
    <xf numFmtId="3" fontId="40" fillId="0" borderId="11" xfId="60" applyNumberFormat="1" applyFont="1" applyFill="1" applyBorder="1" applyAlignment="1">
      <alignment vertical="center" wrapText="1"/>
      <protection/>
    </xf>
    <xf numFmtId="3" fontId="23" fillId="0" borderId="36" xfId="60" applyNumberFormat="1" applyFont="1" applyFill="1" applyBorder="1" applyAlignment="1">
      <alignment vertical="center"/>
      <protection/>
    </xf>
    <xf numFmtId="3" fontId="23" fillId="0" borderId="37" xfId="60" applyNumberFormat="1" applyFont="1" applyFill="1" applyBorder="1" applyAlignment="1">
      <alignment vertical="center"/>
      <protection/>
    </xf>
    <xf numFmtId="3" fontId="40" fillId="0" borderId="38" xfId="60" applyNumberFormat="1" applyFont="1" applyFill="1" applyBorder="1" applyAlignment="1">
      <alignment vertical="center" wrapText="1"/>
      <protection/>
    </xf>
    <xf numFmtId="0" fontId="20" fillId="0" borderId="39" xfId="60" applyFont="1" applyFill="1" applyBorder="1" applyAlignment="1">
      <alignment vertical="center" wrapText="1"/>
      <protection/>
    </xf>
    <xf numFmtId="3" fontId="40" fillId="0" borderId="40" xfId="60" applyNumberFormat="1" applyFont="1" applyFill="1" applyBorder="1" applyAlignment="1">
      <alignment vertical="center" wrapText="1"/>
      <protection/>
    </xf>
    <xf numFmtId="3" fontId="40" fillId="0" borderId="39" xfId="60" applyNumberFormat="1" applyFont="1" applyFill="1" applyBorder="1" applyAlignment="1">
      <alignment vertical="center" wrapText="1"/>
      <protection/>
    </xf>
    <xf numFmtId="3" fontId="23" fillId="0" borderId="41" xfId="60" applyNumberFormat="1" applyFont="1" applyFill="1" applyBorder="1" applyAlignment="1">
      <alignment horizontal="right" vertical="center"/>
      <protection/>
    </xf>
    <xf numFmtId="3" fontId="57" fillId="0" borderId="42" xfId="60" applyNumberFormat="1" applyFont="1" applyFill="1" applyBorder="1" applyAlignment="1">
      <alignment vertical="center"/>
      <protection/>
    </xf>
    <xf numFmtId="3" fontId="57" fillId="0" borderId="28" xfId="60" applyNumberFormat="1" applyFont="1" applyFill="1" applyBorder="1" applyAlignment="1">
      <alignment vertical="center"/>
      <protection/>
    </xf>
    <xf numFmtId="3" fontId="57" fillId="0" borderId="37" xfId="60" applyNumberFormat="1" applyFont="1" applyFill="1" applyBorder="1" applyAlignment="1">
      <alignment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0" fillId="0" borderId="38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/>
    </xf>
    <xf numFmtId="0" fontId="19" fillId="0" borderId="46" xfId="59" applyFont="1" applyBorder="1" applyAlignment="1">
      <alignment horizontal="center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22" fillId="0" borderId="48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49" xfId="59" applyFont="1" applyBorder="1">
      <alignment/>
      <protection/>
    </xf>
    <xf numFmtId="0" fontId="22" fillId="0" borderId="50" xfId="59" applyFont="1" applyBorder="1">
      <alignment/>
      <protection/>
    </xf>
    <xf numFmtId="0" fontId="22" fillId="0" borderId="51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2" xfId="59" applyNumberFormat="1" applyFont="1" applyBorder="1">
      <alignment/>
      <protection/>
    </xf>
    <xf numFmtId="0" fontId="22" fillId="0" borderId="53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4" xfId="59" applyNumberFormat="1" applyFont="1" applyBorder="1" applyAlignment="1">
      <alignment horizontal="right" vertical="center"/>
      <protection/>
    </xf>
    <xf numFmtId="3" fontId="15" fillId="0" borderId="27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4" xfId="60" applyFont="1" applyFill="1" applyBorder="1" applyAlignment="1">
      <alignment horizontal="center" vertical="center" wrapText="1"/>
      <protection/>
    </xf>
    <xf numFmtId="0" fontId="15" fillId="0" borderId="27" xfId="60" applyFont="1" applyFill="1" applyBorder="1" applyAlignment="1">
      <alignment horizontal="center" vertical="center" wrapText="1"/>
      <protection/>
    </xf>
    <xf numFmtId="0" fontId="15" fillId="0" borderId="55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48" xfId="59" applyNumberFormat="1" applyFont="1" applyBorder="1" applyAlignment="1">
      <alignment horizontal="right" vertical="center"/>
      <protection/>
    </xf>
    <xf numFmtId="3" fontId="22" fillId="0" borderId="56" xfId="59" applyNumberFormat="1" applyFont="1" applyBorder="1">
      <alignment/>
      <protection/>
    </xf>
    <xf numFmtId="0" fontId="22" fillId="0" borderId="27" xfId="59" applyFont="1" applyBorder="1">
      <alignment/>
      <protection/>
    </xf>
    <xf numFmtId="0" fontId="57" fillId="0" borderId="51" xfId="59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0" xfId="59" applyFont="1" applyBorder="1" applyAlignment="1">
      <alignment horizontal="right"/>
      <protection/>
    </xf>
    <xf numFmtId="3" fontId="19" fillId="0" borderId="50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1" xfId="59" applyNumberFormat="1" applyFont="1" applyBorder="1">
      <alignment/>
      <protection/>
    </xf>
    <xf numFmtId="3" fontId="57" fillId="0" borderId="48" xfId="59" applyNumberFormat="1" applyFont="1" applyBorder="1" applyAlignment="1">
      <alignment horizontal="right" vertical="center"/>
      <protection/>
    </xf>
    <xf numFmtId="3" fontId="57" fillId="0" borderId="27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>
      <alignment/>
      <protection/>
    </xf>
    <xf numFmtId="3" fontId="22" fillId="0" borderId="27" xfId="59" applyNumberFormat="1" applyFont="1" applyBorder="1">
      <alignment/>
      <protection/>
    </xf>
    <xf numFmtId="3" fontId="57" fillId="0" borderId="51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0" xfId="59" applyFont="1" applyBorder="1" applyAlignment="1">
      <alignment horizontal="right"/>
      <protection/>
    </xf>
    <xf numFmtId="3" fontId="22" fillId="0" borderId="57" xfId="59" applyNumberFormat="1" applyFont="1" applyFill="1" applyBorder="1">
      <alignment/>
      <protection/>
    </xf>
    <xf numFmtId="0" fontId="57" fillId="0" borderId="51" xfId="59" applyFont="1" applyBorder="1">
      <alignment/>
      <protection/>
    </xf>
    <xf numFmtId="3" fontId="22" fillId="0" borderId="57" xfId="59" applyNumberFormat="1" applyFont="1" applyBorder="1">
      <alignment/>
      <protection/>
    </xf>
    <xf numFmtId="3" fontId="57" fillId="0" borderId="48" xfId="59" applyNumberFormat="1" applyFont="1" applyBorder="1">
      <alignment/>
      <protection/>
    </xf>
    <xf numFmtId="3" fontId="57" fillId="0" borderId="27" xfId="59" applyNumberFormat="1" applyFont="1" applyBorder="1">
      <alignment/>
      <protection/>
    </xf>
    <xf numFmtId="3" fontId="57" fillId="0" borderId="56" xfId="59" applyNumberFormat="1" applyFont="1" applyBorder="1">
      <alignment/>
      <protection/>
    </xf>
    <xf numFmtId="3" fontId="57" fillId="0" borderId="51" xfId="59" applyNumberFormat="1" applyFont="1" applyBorder="1">
      <alignment/>
      <protection/>
    </xf>
    <xf numFmtId="0" fontId="18" fillId="0" borderId="48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0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1" xfId="59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58" fillId="0" borderId="48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3" fontId="22" fillId="0" borderId="58" xfId="59" applyNumberFormat="1" applyFont="1" applyBorder="1">
      <alignment/>
      <protection/>
    </xf>
    <xf numFmtId="0" fontId="58" fillId="0" borderId="0" xfId="59" applyFont="1" applyBorder="1">
      <alignment/>
      <protection/>
    </xf>
    <xf numFmtId="0" fontId="18" fillId="0" borderId="45" xfId="59" applyFont="1" applyBorder="1" applyAlignment="1">
      <alignment horizontal="right"/>
      <protection/>
    </xf>
    <xf numFmtId="0" fontId="18" fillId="0" borderId="59" xfId="59" applyFont="1" applyBorder="1" applyAlignment="1">
      <alignment horizontal="right"/>
      <protection/>
    </xf>
    <xf numFmtId="0" fontId="18" fillId="0" borderId="45" xfId="59" applyFont="1" applyBorder="1">
      <alignment/>
      <protection/>
    </xf>
    <xf numFmtId="0" fontId="18" fillId="0" borderId="60" xfId="59" applyFont="1" applyBorder="1">
      <alignment/>
      <protection/>
    </xf>
    <xf numFmtId="0" fontId="22" fillId="0" borderId="45" xfId="59" applyFont="1" applyBorder="1" applyAlignment="1">
      <alignment horizontal="left"/>
      <protection/>
    </xf>
    <xf numFmtId="0" fontId="58" fillId="0" borderId="61" xfId="59" applyFont="1" applyBorder="1" applyAlignment="1">
      <alignment horizontal="left"/>
      <protection/>
    </xf>
    <xf numFmtId="0" fontId="58" fillId="0" borderId="45" xfId="59" applyFont="1" applyBorder="1" applyAlignment="1">
      <alignment horizontal="left"/>
      <protection/>
    </xf>
    <xf numFmtId="3" fontId="58" fillId="0" borderId="45" xfId="59" applyNumberFormat="1" applyFont="1" applyFill="1" applyBorder="1">
      <alignment/>
      <protection/>
    </xf>
    <xf numFmtId="3" fontId="15" fillId="0" borderId="61" xfId="59" applyNumberFormat="1" applyFont="1" applyBorder="1" applyAlignment="1">
      <alignment horizontal="right" vertical="center"/>
      <protection/>
    </xf>
    <xf numFmtId="3" fontId="57" fillId="0" borderId="62" xfId="59" applyNumberFormat="1" applyFont="1" applyBorder="1" applyAlignment="1">
      <alignment horizontal="right" vertical="center"/>
      <protection/>
    </xf>
    <xf numFmtId="3" fontId="57" fillId="0" borderId="63" xfId="59" applyNumberFormat="1" applyFont="1" applyBorder="1" applyAlignment="1">
      <alignment horizontal="right" vertical="center"/>
      <protection/>
    </xf>
    <xf numFmtId="3" fontId="22" fillId="0" borderId="64" xfId="59" applyNumberFormat="1" applyFont="1" applyBorder="1">
      <alignment/>
      <protection/>
    </xf>
    <xf numFmtId="3" fontId="22" fillId="0" borderId="62" xfId="59" applyNumberFormat="1" applyFont="1" applyBorder="1">
      <alignment/>
      <protection/>
    </xf>
    <xf numFmtId="3" fontId="22" fillId="0" borderId="63" xfId="59" applyNumberFormat="1" applyFont="1" applyBorder="1">
      <alignment/>
      <protection/>
    </xf>
    <xf numFmtId="3" fontId="57" fillId="0" borderId="60" xfId="59" applyNumberFormat="1" applyFont="1" applyBorder="1" applyAlignment="1">
      <alignment horizontal="right" vertical="center"/>
      <protection/>
    </xf>
    <xf numFmtId="3" fontId="57" fillId="0" borderId="65" xfId="59" applyNumberFormat="1" applyFont="1" applyBorder="1" applyAlignment="1">
      <alignment horizontal="right" vertical="center"/>
      <protection/>
    </xf>
    <xf numFmtId="0" fontId="18" fillId="0" borderId="53" xfId="59" applyFont="1" applyBorder="1">
      <alignment/>
      <protection/>
    </xf>
    <xf numFmtId="0" fontId="18" fillId="0" borderId="50" xfId="59" applyFont="1" applyBorder="1">
      <alignment/>
      <protection/>
    </xf>
    <xf numFmtId="0" fontId="18" fillId="0" borderId="27" xfId="59" applyFont="1" applyBorder="1">
      <alignment/>
      <protection/>
    </xf>
    <xf numFmtId="3" fontId="58" fillId="0" borderId="57" xfId="59" applyNumberFormat="1" applyFont="1" applyBorder="1" applyAlignment="1">
      <alignment/>
      <protection/>
    </xf>
    <xf numFmtId="0" fontId="18" fillId="0" borderId="66" xfId="59" applyFont="1" applyBorder="1">
      <alignment/>
      <protection/>
    </xf>
    <xf numFmtId="0" fontId="18" fillId="0" borderId="63" xfId="59" applyFont="1" applyBorder="1">
      <alignment/>
      <protection/>
    </xf>
    <xf numFmtId="0" fontId="18" fillId="0" borderId="67" xfId="59" applyFont="1" applyBorder="1">
      <alignment/>
      <protection/>
    </xf>
    <xf numFmtId="3" fontId="19" fillId="0" borderId="27" xfId="59" applyNumberFormat="1" applyFont="1" applyBorder="1" applyAlignment="1">
      <alignment horizontal="right"/>
      <protection/>
    </xf>
    <xf numFmtId="0" fontId="22" fillId="0" borderId="48" xfId="59" applyFont="1" applyBorder="1" applyAlignment="1">
      <alignment horizontal="left"/>
      <protection/>
    </xf>
    <xf numFmtId="3" fontId="57" fillId="0" borderId="68" xfId="59" applyNumberFormat="1" applyFont="1" applyBorder="1" applyAlignment="1">
      <alignment horizontal="right"/>
      <protection/>
    </xf>
    <xf numFmtId="3" fontId="57" fillId="0" borderId="48" xfId="59" applyNumberFormat="1" applyFont="1" applyBorder="1" applyAlignment="1">
      <alignment horizontal="right"/>
      <protection/>
    </xf>
    <xf numFmtId="0" fontId="18" fillId="34" borderId="69" xfId="59" applyFont="1" applyFill="1" applyBorder="1">
      <alignment/>
      <protection/>
    </xf>
    <xf numFmtId="3" fontId="57" fillId="34" borderId="70" xfId="59" applyNumberFormat="1" applyFont="1" applyFill="1" applyBorder="1" applyAlignment="1">
      <alignment horizontal="right"/>
      <protection/>
    </xf>
    <xf numFmtId="3" fontId="57" fillId="34" borderId="71" xfId="59" applyNumberFormat="1" applyFont="1" applyFill="1" applyBorder="1">
      <alignment/>
      <protection/>
    </xf>
    <xf numFmtId="3" fontId="57" fillId="34" borderId="72" xfId="59" applyNumberFormat="1" applyFont="1" applyFill="1" applyBorder="1">
      <alignment/>
      <protection/>
    </xf>
    <xf numFmtId="3" fontId="57" fillId="34" borderId="70" xfId="59" applyNumberFormat="1" applyFont="1" applyFill="1" applyBorder="1">
      <alignment/>
      <protection/>
    </xf>
    <xf numFmtId="0" fontId="18" fillId="0" borderId="73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4" xfId="59" applyFont="1" applyBorder="1" applyAlignment="1">
      <alignment horizontal="right" vertical="center"/>
      <protection/>
    </xf>
    <xf numFmtId="0" fontId="22" fillId="0" borderId="56" xfId="59" applyFont="1" applyBorder="1">
      <alignment/>
      <protection/>
    </xf>
    <xf numFmtId="0" fontId="18" fillId="0" borderId="48" xfId="59" applyFont="1" applyBorder="1">
      <alignment/>
      <protection/>
    </xf>
    <xf numFmtId="0" fontId="18" fillId="0" borderId="27" xfId="59" applyFont="1" applyBorder="1" applyAlignment="1">
      <alignment horizontal="right"/>
      <protection/>
    </xf>
    <xf numFmtId="3" fontId="57" fillId="0" borderId="0" xfId="59" applyNumberFormat="1" applyFont="1" applyBorder="1" applyAlignment="1">
      <alignment horizontal="right" vertical="center"/>
      <protection/>
    </xf>
    <xf numFmtId="3" fontId="18" fillId="0" borderId="0" xfId="59" applyNumberFormat="1" applyFont="1" applyBorder="1">
      <alignment/>
      <protection/>
    </xf>
    <xf numFmtId="0" fontId="18" fillId="0" borderId="75" xfId="59" applyFont="1" applyBorder="1">
      <alignment/>
      <protection/>
    </xf>
    <xf numFmtId="0" fontId="18" fillId="0" borderId="76" xfId="59" applyFont="1" applyBorder="1" applyAlignment="1">
      <alignment horizontal="right"/>
      <protection/>
    </xf>
    <xf numFmtId="0" fontId="18" fillId="0" borderId="77" xfId="59" applyFont="1" applyBorder="1" applyAlignment="1">
      <alignment horizontal="right"/>
      <protection/>
    </xf>
    <xf numFmtId="0" fontId="18" fillId="0" borderId="76" xfId="59" applyFont="1" applyBorder="1">
      <alignment/>
      <protection/>
    </xf>
    <xf numFmtId="0" fontId="18" fillId="0" borderId="65" xfId="59" applyFont="1" applyBorder="1">
      <alignment/>
      <protection/>
    </xf>
    <xf numFmtId="0" fontId="18" fillId="0" borderId="76" xfId="59" applyFont="1" applyBorder="1" applyAlignment="1">
      <alignment/>
      <protection/>
    </xf>
    <xf numFmtId="0" fontId="15" fillId="0" borderId="78" xfId="59" applyFont="1" applyBorder="1" applyAlignment="1">
      <alignment horizontal="right"/>
      <protection/>
    </xf>
    <xf numFmtId="0" fontId="18" fillId="0" borderId="79" xfId="59" applyFont="1" applyBorder="1">
      <alignment/>
      <protection/>
    </xf>
    <xf numFmtId="3" fontId="15" fillId="0" borderId="80" xfId="59" applyNumberFormat="1" applyFont="1" applyBorder="1" applyAlignment="1">
      <alignment horizontal="right"/>
      <protection/>
    </xf>
    <xf numFmtId="0" fontId="15" fillId="0" borderId="76" xfId="59" applyFont="1" applyBorder="1" applyAlignment="1">
      <alignment horizontal="right"/>
      <protection/>
    </xf>
    <xf numFmtId="0" fontId="15" fillId="0" borderId="77" xfId="59" applyFont="1" applyBorder="1" applyAlignment="1">
      <alignment horizontal="right"/>
      <protection/>
    </xf>
    <xf numFmtId="0" fontId="18" fillId="0" borderId="81" xfId="59" applyFont="1" applyBorder="1">
      <alignment/>
      <protection/>
    </xf>
    <xf numFmtId="0" fontId="18" fillId="0" borderId="77" xfId="59" applyFont="1" applyBorder="1">
      <alignment/>
      <protection/>
    </xf>
    <xf numFmtId="0" fontId="57" fillId="0" borderId="82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56" xfId="59" applyFont="1" applyBorder="1">
      <alignment/>
      <protection/>
    </xf>
    <xf numFmtId="0" fontId="22" fillId="0" borderId="57" xfId="59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68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57" xfId="59" applyFont="1" applyBorder="1">
      <alignment/>
      <protection/>
    </xf>
    <xf numFmtId="0" fontId="23" fillId="0" borderId="54" xfId="59" applyFont="1" applyBorder="1" applyAlignment="1">
      <alignment horizontal="right"/>
      <protection/>
    </xf>
    <xf numFmtId="0" fontId="18" fillId="0" borderId="52" xfId="0" applyFont="1" applyBorder="1" applyAlignment="1">
      <alignment horizontal="right"/>
    </xf>
    <xf numFmtId="3" fontId="19" fillId="0" borderId="74" xfId="59" applyNumberFormat="1" applyFont="1" applyBorder="1" applyAlignment="1">
      <alignment horizontal="right"/>
      <protection/>
    </xf>
    <xf numFmtId="3" fontId="19" fillId="0" borderId="52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22" fillId="0" borderId="58" xfId="59" applyNumberFormat="1" applyFont="1" applyBorder="1" applyAlignment="1">
      <alignment/>
      <protection/>
    </xf>
    <xf numFmtId="0" fontId="18" fillId="0" borderId="83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58" xfId="59" applyFont="1" applyBorder="1">
      <alignment/>
      <protection/>
    </xf>
    <xf numFmtId="3" fontId="57" fillId="0" borderId="74" xfId="59" applyNumberFormat="1" applyFont="1" applyBorder="1" applyAlignment="1">
      <alignment horizontal="right" vertical="center"/>
      <protection/>
    </xf>
    <xf numFmtId="3" fontId="57" fillId="0" borderId="84" xfId="59" applyNumberFormat="1" applyFont="1" applyBorder="1">
      <alignment/>
      <protection/>
    </xf>
    <xf numFmtId="3" fontId="57" fillId="0" borderId="54" xfId="59" applyNumberFormat="1" applyFont="1" applyBorder="1">
      <alignment/>
      <protection/>
    </xf>
    <xf numFmtId="3" fontId="57" fillId="0" borderId="74" xfId="59" applyNumberFormat="1" applyFont="1" applyBorder="1">
      <alignment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8" fillId="0" borderId="0" xfId="59" applyNumberFormat="1" applyFont="1" applyBorder="1" applyAlignment="1">
      <alignment/>
      <protection/>
    </xf>
    <xf numFmtId="0" fontId="18" fillId="34" borderId="85" xfId="59" applyFont="1" applyFill="1" applyBorder="1">
      <alignment/>
      <protection/>
    </xf>
    <xf numFmtId="3" fontId="43" fillId="0" borderId="86" xfId="59" applyNumberFormat="1" applyFont="1" applyBorder="1" applyAlignment="1">
      <alignment horizontal="center"/>
      <protection/>
    </xf>
    <xf numFmtId="0" fontId="18" fillId="0" borderId="87" xfId="59" applyFont="1" applyBorder="1">
      <alignment/>
      <protection/>
    </xf>
    <xf numFmtId="3" fontId="15" fillId="0" borderId="88" xfId="59" applyNumberFormat="1" applyFont="1" applyBorder="1">
      <alignment/>
      <protection/>
    </xf>
    <xf numFmtId="0" fontId="18" fillId="0" borderId="73" xfId="59" applyFont="1" applyBorder="1">
      <alignment/>
      <protection/>
    </xf>
    <xf numFmtId="3" fontId="43" fillId="0" borderId="86" xfId="59" applyNumberFormat="1" applyFont="1" applyBorder="1">
      <alignment/>
      <protection/>
    </xf>
    <xf numFmtId="3" fontId="43" fillId="0" borderId="89" xfId="59" applyNumberFormat="1" applyFont="1" applyBorder="1">
      <alignment/>
      <protection/>
    </xf>
    <xf numFmtId="0" fontId="22" fillId="0" borderId="45" xfId="59" applyFont="1" applyBorder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>
      <alignment/>
      <protection/>
    </xf>
    <xf numFmtId="0" fontId="22" fillId="0" borderId="0" xfId="59" applyFont="1" applyFill="1" applyBorder="1">
      <alignment/>
      <protection/>
    </xf>
    <xf numFmtId="0" fontId="39" fillId="0" borderId="90" xfId="59" applyFont="1" applyBorder="1">
      <alignment/>
      <protection/>
    </xf>
    <xf numFmtId="3" fontId="18" fillId="0" borderId="90" xfId="59" applyNumberFormat="1" applyFont="1" applyBorder="1">
      <alignment/>
      <protection/>
    </xf>
    <xf numFmtId="0" fontId="18" fillId="0" borderId="90" xfId="59" applyFont="1" applyBorder="1">
      <alignment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59" applyFont="1">
      <alignment/>
      <protection/>
    </xf>
    <xf numFmtId="3" fontId="19" fillId="0" borderId="0" xfId="59" applyNumberFormat="1" applyFont="1">
      <alignment/>
      <protection/>
    </xf>
    <xf numFmtId="0" fontId="19" fillId="0" borderId="91" xfId="59" applyFont="1" applyBorder="1" applyAlignment="1">
      <alignment horizontal="center"/>
      <protection/>
    </xf>
    <xf numFmtId="0" fontId="19" fillId="0" borderId="92" xfId="59" applyFont="1" applyBorder="1" applyAlignment="1">
      <alignment horizontal="center" vertical="center"/>
      <protection/>
    </xf>
    <xf numFmtId="0" fontId="19" fillId="0" borderId="91" xfId="59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58" fillId="0" borderId="53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3" fontId="19" fillId="34" borderId="70" xfId="59" applyNumberFormat="1" applyFont="1" applyFill="1" applyBorder="1" applyAlignment="1">
      <alignment horizontal="right"/>
      <protection/>
    </xf>
    <xf numFmtId="3" fontId="19" fillId="34" borderId="85" xfId="59" applyNumberFormat="1" applyFont="1" applyFill="1" applyBorder="1">
      <alignment/>
      <protection/>
    </xf>
    <xf numFmtId="3" fontId="19" fillId="34" borderId="93" xfId="59" applyNumberFormat="1" applyFont="1" applyFill="1" applyBorder="1">
      <alignment/>
      <protection/>
    </xf>
    <xf numFmtId="3" fontId="22" fillId="0" borderId="58" xfId="0" applyNumberFormat="1" applyFont="1" applyBorder="1" applyAlignment="1">
      <alignment/>
    </xf>
    <xf numFmtId="3" fontId="22" fillId="0" borderId="57" xfId="0" applyNumberFormat="1" applyFont="1" applyBorder="1" applyAlignment="1">
      <alignment/>
    </xf>
    <xf numFmtId="0" fontId="22" fillId="34" borderId="72" xfId="59" applyFont="1" applyFill="1" applyBorder="1" applyAlignment="1">
      <alignment horizontal="left"/>
      <protection/>
    </xf>
    <xf numFmtId="3" fontId="15" fillId="34" borderId="94" xfId="59" applyNumberFormat="1" applyFont="1" applyFill="1" applyBorder="1" applyAlignment="1">
      <alignment horizontal="right"/>
      <protection/>
    </xf>
    <xf numFmtId="3" fontId="15" fillId="34" borderId="95" xfId="59" applyNumberFormat="1" applyFont="1" applyFill="1" applyBorder="1" applyAlignment="1">
      <alignment horizontal="right"/>
      <protection/>
    </xf>
    <xf numFmtId="3" fontId="57" fillId="34" borderId="85" xfId="59" applyNumberFormat="1" applyFont="1" applyFill="1" applyBorder="1" applyAlignment="1">
      <alignment horizontal="right"/>
      <protection/>
    </xf>
    <xf numFmtId="3" fontId="57" fillId="34" borderId="93" xfId="59" applyNumberFormat="1" applyFont="1" applyFill="1" applyBorder="1" applyAlignment="1">
      <alignment horizontal="right" vertical="center"/>
      <protection/>
    </xf>
    <xf numFmtId="0" fontId="18" fillId="0" borderId="49" xfId="0" applyFont="1" applyBorder="1" applyAlignment="1">
      <alignment horizontal="right"/>
    </xf>
    <xf numFmtId="0" fontId="18" fillId="34" borderId="69" xfId="59" applyFont="1" applyFill="1" applyBorder="1" applyAlignment="1">
      <alignment vertical="center"/>
      <protection/>
    </xf>
    <xf numFmtId="3" fontId="15" fillId="34" borderId="94" xfId="59" applyNumberFormat="1" applyFont="1" applyFill="1" applyBorder="1" applyAlignment="1">
      <alignment vertical="center"/>
      <protection/>
    </xf>
    <xf numFmtId="0" fontId="18" fillId="34" borderId="85" xfId="59" applyFont="1" applyFill="1" applyBorder="1" applyAlignment="1">
      <alignment vertical="center"/>
      <protection/>
    </xf>
    <xf numFmtId="3" fontId="15" fillId="34" borderId="79" xfId="59" applyNumberFormat="1" applyFont="1" applyFill="1" applyBorder="1" applyAlignment="1">
      <alignment vertical="center"/>
      <protection/>
    </xf>
    <xf numFmtId="3" fontId="57" fillId="34" borderId="96" xfId="59" applyNumberFormat="1" applyFont="1" applyFill="1" applyBorder="1" applyAlignment="1">
      <alignment vertical="center"/>
      <protection/>
    </xf>
    <xf numFmtId="3" fontId="57" fillId="34" borderId="86" xfId="59" applyNumberFormat="1" applyFont="1" applyFill="1" applyBorder="1" applyAlignment="1">
      <alignment vertical="center"/>
      <protection/>
    </xf>
    <xf numFmtId="3" fontId="57" fillId="34" borderId="82" xfId="59" applyNumberFormat="1" applyFont="1" applyFill="1" applyBorder="1" applyAlignment="1">
      <alignment vertical="center"/>
      <protection/>
    </xf>
    <xf numFmtId="3" fontId="57" fillId="34" borderId="97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 applyAlignment="1">
      <alignment vertical="center"/>
      <protection/>
    </xf>
    <xf numFmtId="3" fontId="22" fillId="0" borderId="44" xfId="59" applyNumberFormat="1" applyFont="1" applyFill="1" applyBorder="1" applyAlignment="1">
      <alignment vertical="center"/>
      <protection/>
    </xf>
    <xf numFmtId="3" fontId="22" fillId="0" borderId="57" xfId="59" applyNumberFormat="1" applyFont="1" applyFill="1" applyBorder="1" applyAlignment="1">
      <alignment vertical="center"/>
      <protection/>
    </xf>
    <xf numFmtId="3" fontId="22" fillId="0" borderId="57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58" xfId="59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 wrapText="1"/>
      <protection/>
    </xf>
    <xf numFmtId="0" fontId="42" fillId="0" borderId="76" xfId="60" applyFont="1" applyFill="1" applyBorder="1" applyAlignment="1">
      <alignment vertical="center" wrapText="1"/>
      <protection/>
    </xf>
    <xf numFmtId="0" fontId="18" fillId="0" borderId="62" xfId="59" applyFont="1" applyBorder="1" applyAlignment="1">
      <alignment horizontal="right"/>
      <protection/>
    </xf>
    <xf numFmtId="3" fontId="22" fillId="0" borderId="98" xfId="0" applyNumberFormat="1" applyFont="1" applyBorder="1" applyAlignment="1">
      <alignment/>
    </xf>
    <xf numFmtId="3" fontId="23" fillId="0" borderId="99" xfId="60" applyNumberFormat="1" applyFont="1" applyFill="1" applyBorder="1" applyAlignment="1">
      <alignment horizontal="right" vertical="center"/>
      <protection/>
    </xf>
    <xf numFmtId="3" fontId="23" fillId="0" borderId="91" xfId="60" applyNumberFormat="1" applyFont="1" applyFill="1" applyBorder="1" applyAlignment="1">
      <alignment horizontal="right" vertical="center"/>
      <protection/>
    </xf>
    <xf numFmtId="3" fontId="57" fillId="0" borderId="36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0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39" fillId="0" borderId="90" xfId="0" applyFont="1" applyFill="1" applyBorder="1" applyAlignment="1">
      <alignment horizontal="center" vertical="center" wrapText="1"/>
    </xf>
    <xf numFmtId="49" fontId="39" fillId="0" borderId="90" xfId="0" applyNumberFormat="1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3" fontId="40" fillId="0" borderId="33" xfId="0" applyNumberFormat="1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49" fontId="39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vertical="center" wrapText="1"/>
    </xf>
    <xf numFmtId="3" fontId="55" fillId="0" borderId="23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vertical="center"/>
    </xf>
    <xf numFmtId="3" fontId="40" fillId="0" borderId="21" xfId="0" applyNumberFormat="1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55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55" fillId="0" borderId="21" xfId="0" applyNumberFormat="1" applyFont="1" applyFill="1" applyBorder="1" applyAlignment="1">
      <alignment vertical="center"/>
    </xf>
    <xf numFmtId="3" fontId="55" fillId="0" borderId="21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left" vertical="center" wrapText="1"/>
    </xf>
    <xf numFmtId="3" fontId="40" fillId="0" borderId="21" xfId="0" applyNumberFormat="1" applyFont="1" applyFill="1" applyBorder="1" applyAlignment="1">
      <alignment horizontal="right" vertical="center"/>
    </xf>
    <xf numFmtId="49" fontId="39" fillId="0" borderId="40" xfId="0" applyNumberFormat="1" applyFont="1" applyFill="1" applyBorder="1" applyAlignment="1">
      <alignment horizontal="center" vertical="center"/>
    </xf>
    <xf numFmtId="3" fontId="40" fillId="0" borderId="39" xfId="0" applyNumberFormat="1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40" fillId="0" borderId="10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39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1" fillId="0" borderId="29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2" xfId="0" applyFont="1" applyFill="1" applyBorder="1" applyAlignment="1">
      <alignment horizontal="center" vertical="center"/>
    </xf>
    <xf numFmtId="4" fontId="21" fillId="0" borderId="20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0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26" xfId="61" applyNumberFormat="1" applyFont="1" applyBorder="1" applyAlignment="1">
      <alignment vertical="center"/>
      <protection/>
    </xf>
    <xf numFmtId="3" fontId="13" fillId="0" borderId="20" xfId="61" applyNumberForma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26" xfId="61" applyNumberFormat="1" applyBorder="1" applyAlignment="1">
      <alignment vertical="center"/>
      <protection/>
    </xf>
    <xf numFmtId="3" fontId="13" fillId="32" borderId="20" xfId="61" applyNumberFormat="1" applyFill="1" applyBorder="1" applyAlignment="1">
      <alignment vertical="center"/>
      <protection/>
    </xf>
    <xf numFmtId="3" fontId="13" fillId="32" borderId="21" xfId="61" applyNumberFormat="1" applyFill="1" applyBorder="1" applyAlignment="1">
      <alignment vertical="center"/>
      <protection/>
    </xf>
    <xf numFmtId="3" fontId="13" fillId="32" borderId="17" xfId="61" applyNumberFormat="1" applyFill="1" applyBorder="1" applyAlignment="1">
      <alignment vertical="center"/>
      <protection/>
    </xf>
    <xf numFmtId="169" fontId="13" fillId="0" borderId="20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0" xfId="61" applyNumberFormat="1" applyFont="1" applyFill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169" fontId="21" fillId="0" borderId="20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0" xfId="61" applyNumberFormat="1" applyFont="1" applyFill="1" applyBorder="1" applyAlignment="1">
      <alignment horizontal="center"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4" fontId="21" fillId="32" borderId="20" xfId="61" applyNumberFormat="1" applyFont="1" applyFill="1" applyBorder="1" applyAlignment="1">
      <alignment vertical="center"/>
      <protection/>
    </xf>
    <xf numFmtId="4" fontId="21" fillId="32" borderId="17" xfId="61" applyNumberFormat="1" applyFont="1" applyFill="1" applyBorder="1" applyAlignment="1">
      <alignment vertical="center"/>
      <protection/>
    </xf>
    <xf numFmtId="2" fontId="13" fillId="0" borderId="20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0" xfId="61" applyNumberFormat="1" applyBorder="1" applyAlignment="1">
      <alignment vertical="center"/>
      <protection/>
    </xf>
    <xf numFmtId="3" fontId="13" fillId="0" borderId="21" xfId="61" applyNumberFormat="1" applyFill="1" applyBorder="1" applyAlignment="1">
      <alignment vertical="center"/>
      <protection/>
    </xf>
    <xf numFmtId="3" fontId="13" fillId="0" borderId="26" xfId="61" applyNumberFormat="1" applyFont="1" applyBorder="1" applyAlignment="1">
      <alignment vertical="center"/>
      <protection/>
    </xf>
    <xf numFmtId="4" fontId="13" fillId="0" borderId="20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2" borderId="20" xfId="61" applyNumberFormat="1" applyFont="1" applyFill="1" applyBorder="1" applyAlignment="1">
      <alignment horizontal="center" vertical="center"/>
      <protection/>
    </xf>
    <xf numFmtId="3" fontId="2" fillId="32" borderId="21" xfId="61" applyNumberFormat="1" applyFont="1" applyFill="1" applyBorder="1" applyAlignment="1">
      <alignment horizontal="center" vertical="center"/>
      <protection/>
    </xf>
    <xf numFmtId="3" fontId="1" fillId="32" borderId="22" xfId="61" applyNumberFormat="1" applyFont="1" applyFill="1" applyBorder="1" applyAlignment="1">
      <alignment vertical="center"/>
      <protection/>
    </xf>
    <xf numFmtId="3" fontId="2" fillId="32" borderId="17" xfId="61" applyNumberFormat="1" applyFont="1" applyFill="1" applyBorder="1" applyAlignment="1">
      <alignment horizontal="center" vertical="center"/>
      <protection/>
    </xf>
    <xf numFmtId="3" fontId="21" fillId="32" borderId="26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6" fillId="32" borderId="20" xfId="61" applyNumberFormat="1" applyFont="1" applyFill="1" applyBorder="1" applyAlignment="1">
      <alignment horizontal="center" vertical="center"/>
      <protection/>
    </xf>
    <xf numFmtId="3" fontId="36" fillId="32" borderId="21" xfId="61" applyNumberFormat="1" applyFont="1" applyFill="1" applyBorder="1" applyAlignment="1">
      <alignment horizontal="center" vertical="center"/>
      <protection/>
    </xf>
    <xf numFmtId="3" fontId="36" fillId="32" borderId="22" xfId="61" applyNumberFormat="1" applyFont="1" applyFill="1" applyBorder="1" applyAlignment="1">
      <alignment vertical="center"/>
      <protection/>
    </xf>
    <xf numFmtId="3" fontId="36" fillId="32" borderId="17" xfId="61" applyNumberFormat="1" applyFont="1" applyFill="1" applyBorder="1" applyAlignment="1">
      <alignment horizontal="center" vertical="center"/>
      <protection/>
    </xf>
    <xf numFmtId="3" fontId="37" fillId="32" borderId="26" xfId="61" applyNumberFormat="1" applyFont="1" applyFill="1" applyBorder="1" applyAlignment="1">
      <alignment vertical="center"/>
      <protection/>
    </xf>
    <xf numFmtId="0" fontId="39" fillId="0" borderId="21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46" fillId="0" borderId="102" xfId="0" applyNumberFormat="1" applyFont="1" applyBorder="1" applyAlignment="1">
      <alignment/>
    </xf>
    <xf numFmtId="3" fontId="20" fillId="0" borderId="102" xfId="0" applyNumberFormat="1" applyFont="1" applyBorder="1" applyAlignment="1">
      <alignment/>
    </xf>
    <xf numFmtId="3" fontId="44" fillId="0" borderId="102" xfId="0" applyNumberFormat="1" applyFont="1" applyBorder="1" applyAlignment="1">
      <alignment/>
    </xf>
    <xf numFmtId="3" fontId="49" fillId="0" borderId="102" xfId="0" applyNumberFormat="1" applyFont="1" applyBorder="1" applyAlignment="1">
      <alignment/>
    </xf>
    <xf numFmtId="3" fontId="51" fillId="0" borderId="102" xfId="0" applyNumberFormat="1" applyFont="1" applyBorder="1" applyAlignment="1">
      <alignment/>
    </xf>
    <xf numFmtId="3" fontId="53" fillId="0" borderId="102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15" fillId="0" borderId="102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4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/>
      <protection/>
    </xf>
    <xf numFmtId="0" fontId="18" fillId="0" borderId="50" xfId="0" applyFont="1" applyBorder="1" applyAlignment="1">
      <alignment horizontal="right"/>
    </xf>
    <xf numFmtId="0" fontId="45" fillId="0" borderId="17" xfId="58" applyFont="1" applyBorder="1" applyAlignment="1">
      <alignment horizontal="left" wrapText="1"/>
      <protection/>
    </xf>
    <xf numFmtId="3" fontId="19" fillId="0" borderId="102" xfId="58" applyNumberFormat="1" applyFont="1" applyBorder="1">
      <alignment/>
      <protection/>
    </xf>
    <xf numFmtId="3" fontId="44" fillId="0" borderId="102" xfId="58" applyNumberFormat="1" applyFont="1" applyBorder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 wrapText="1"/>
    </xf>
    <xf numFmtId="3" fontId="16" fillId="0" borderId="10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36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vertical="center"/>
    </xf>
    <xf numFmtId="3" fontId="17" fillId="0" borderId="103" xfId="0" applyNumberFormat="1" applyFont="1" applyFill="1" applyBorder="1" applyAlignment="1">
      <alignment vertical="center"/>
    </xf>
    <xf numFmtId="3" fontId="17" fillId="0" borderId="104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3" fontId="109" fillId="0" borderId="32" xfId="60" applyNumberFormat="1" applyFont="1" applyFill="1" applyBorder="1" applyAlignment="1">
      <alignment vertical="center" wrapText="1"/>
      <protection/>
    </xf>
    <xf numFmtId="3" fontId="109" fillId="0" borderId="33" xfId="60" applyNumberFormat="1" applyFont="1" applyFill="1" applyBorder="1" applyAlignment="1">
      <alignment vertical="center" wrapText="1"/>
      <protection/>
    </xf>
    <xf numFmtId="3" fontId="109" fillId="0" borderId="20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0" xfId="60" applyNumberFormat="1" applyFont="1" applyFill="1" applyBorder="1" applyAlignment="1">
      <alignment vertical="center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34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3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57" fillId="0" borderId="104" xfId="60" applyNumberFormat="1" applyFont="1" applyFill="1" applyBorder="1" applyAlignment="1">
      <alignment vertical="center"/>
      <protection/>
    </xf>
    <xf numFmtId="3" fontId="57" fillId="0" borderId="103" xfId="60" applyNumberFormat="1" applyFont="1" applyFill="1" applyBorder="1" applyAlignment="1">
      <alignment vertical="center"/>
      <protection/>
    </xf>
    <xf numFmtId="3" fontId="57" fillId="0" borderId="105" xfId="60" applyNumberFormat="1" applyFont="1" applyFill="1" applyBorder="1" applyAlignment="1">
      <alignment vertical="center"/>
      <protection/>
    </xf>
    <xf numFmtId="3" fontId="109" fillId="0" borderId="40" xfId="60" applyNumberFormat="1" applyFont="1" applyFill="1" applyBorder="1" applyAlignment="1">
      <alignment vertical="center"/>
      <protection/>
    </xf>
    <xf numFmtId="3" fontId="109" fillId="0" borderId="39" xfId="60" applyNumberFormat="1" applyFont="1" applyFill="1" applyBorder="1" applyAlignment="1">
      <alignment vertical="center"/>
      <protection/>
    </xf>
    <xf numFmtId="3" fontId="40" fillId="0" borderId="100" xfId="60" applyNumberFormat="1" applyFont="1" applyFill="1" applyBorder="1" applyAlignment="1">
      <alignment vertical="center"/>
      <protection/>
    </xf>
    <xf numFmtId="3" fontId="39" fillId="0" borderId="100" xfId="60" applyNumberFormat="1" applyFont="1" applyFill="1" applyBorder="1" applyAlignment="1">
      <alignment vertical="center"/>
      <protection/>
    </xf>
    <xf numFmtId="3" fontId="23" fillId="0" borderId="103" xfId="60" applyNumberFormat="1" applyFont="1" applyFill="1" applyBorder="1" applyAlignment="1">
      <alignment vertical="center"/>
      <protection/>
    </xf>
    <xf numFmtId="3" fontId="23" fillId="0" borderId="104" xfId="60" applyNumberFormat="1" applyFont="1" applyFill="1" applyBorder="1" applyAlignment="1">
      <alignment vertical="center"/>
      <protection/>
    </xf>
    <xf numFmtId="3" fontId="19" fillId="34" borderId="77" xfId="59" applyNumberFormat="1" applyFont="1" applyFill="1" applyBorder="1" applyAlignment="1">
      <alignment vertical="center"/>
      <protection/>
    </xf>
    <xf numFmtId="3" fontId="19" fillId="34" borderId="106" xfId="59" applyNumberFormat="1" applyFont="1" applyFill="1" applyBorder="1" applyAlignment="1">
      <alignment vertical="center"/>
      <protection/>
    </xf>
    <xf numFmtId="3" fontId="43" fillId="0" borderId="82" xfId="59" applyNumberFormat="1" applyFont="1" applyBorder="1">
      <alignment/>
      <protection/>
    </xf>
    <xf numFmtId="164" fontId="6" fillId="0" borderId="3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0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0" fillId="0" borderId="57" xfId="0" applyBorder="1" applyAlignment="1">
      <alignment/>
    </xf>
    <xf numFmtId="0" fontId="18" fillId="0" borderId="26" xfId="0" applyFont="1" applyBorder="1" applyAlignment="1">
      <alignment horizontal="center"/>
    </xf>
    <xf numFmtId="0" fontId="0" fillId="0" borderId="113" xfId="0" applyBorder="1" applyAlignment="1">
      <alignment/>
    </xf>
    <xf numFmtId="3" fontId="21" fillId="4" borderId="113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35" borderId="31" xfId="0" applyNumberFormat="1" applyFill="1" applyBorder="1" applyAlignment="1">
      <alignment/>
    </xf>
    <xf numFmtId="3" fontId="0" fillId="4" borderId="114" xfId="0" applyNumberFormat="1" applyFill="1" applyBorder="1" applyAlignment="1">
      <alignment/>
    </xf>
    <xf numFmtId="0" fontId="0" fillId="0" borderId="115" xfId="0" applyBorder="1" applyAlignment="1">
      <alignment/>
    </xf>
    <xf numFmtId="3" fontId="21" fillId="4" borderId="116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4" borderId="26" xfId="0" applyNumberFormat="1" applyFill="1" applyBorder="1" applyAlignment="1">
      <alignment/>
    </xf>
    <xf numFmtId="0" fontId="21" fillId="0" borderId="37" xfId="0" applyFont="1" applyBorder="1" applyAlignment="1">
      <alignment/>
    </xf>
    <xf numFmtId="3" fontId="21" fillId="4" borderId="41" xfId="0" applyNumberFormat="1" applyFont="1" applyFill="1" applyBorder="1" applyAlignment="1">
      <alignment/>
    </xf>
    <xf numFmtId="3" fontId="21" fillId="36" borderId="91" xfId="0" applyNumberFormat="1" applyFont="1" applyFill="1" applyBorder="1" applyAlignment="1">
      <alignment/>
    </xf>
    <xf numFmtId="3" fontId="21" fillId="35" borderId="91" xfId="0" applyNumberFormat="1" applyFont="1" applyFill="1" applyBorder="1" applyAlignment="1">
      <alignment/>
    </xf>
    <xf numFmtId="3" fontId="21" fillId="35" borderId="117" xfId="0" applyNumberFormat="1" applyFont="1" applyFill="1" applyBorder="1" applyAlignment="1">
      <alignment/>
    </xf>
    <xf numFmtId="3" fontId="21" fillId="35" borderId="104" xfId="0" applyNumberFormat="1" applyFont="1" applyFill="1" applyBorder="1" applyAlignment="1">
      <alignment/>
    </xf>
    <xf numFmtId="3" fontId="21" fillId="4" borderId="36" xfId="0" applyNumberFormat="1" applyFont="1" applyFill="1" applyBorder="1" applyAlignment="1">
      <alignment/>
    </xf>
    <xf numFmtId="0" fontId="18" fillId="0" borderId="118" xfId="0" applyFont="1" applyBorder="1" applyAlignment="1">
      <alignment horizontal="center"/>
    </xf>
    <xf numFmtId="0" fontId="0" fillId="0" borderId="32" xfId="0" applyBorder="1" applyAlignment="1">
      <alignment horizontal="left"/>
    </xf>
    <xf numFmtId="3" fontId="0" fillId="4" borderId="30" xfId="0" applyNumberFormat="1" applyFill="1" applyBorder="1" applyAlignment="1">
      <alignment/>
    </xf>
    <xf numFmtId="0" fontId="0" fillId="0" borderId="119" xfId="0" applyBorder="1" applyAlignment="1">
      <alignment horizontal="right"/>
    </xf>
    <xf numFmtId="0" fontId="0" fillId="0" borderId="40" xfId="0" applyBorder="1" applyAlignment="1">
      <alignment horizontal="left"/>
    </xf>
    <xf numFmtId="3" fontId="0" fillId="4" borderId="20" xfId="0" applyNumberForma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0" fontId="21" fillId="0" borderId="69" xfId="0" applyFont="1" applyBorder="1" applyAlignment="1">
      <alignment/>
    </xf>
    <xf numFmtId="3" fontId="21" fillId="4" borderId="69" xfId="0" applyNumberFormat="1" applyFont="1" applyFill="1" applyBorder="1" applyAlignment="1">
      <alignment/>
    </xf>
    <xf numFmtId="3" fontId="21" fillId="36" borderId="120" xfId="0" applyNumberFormat="1" applyFont="1" applyFill="1" applyBorder="1" applyAlignment="1">
      <alignment horizontal="right"/>
    </xf>
    <xf numFmtId="3" fontId="21" fillId="4" borderId="94" xfId="0" applyNumberFormat="1" applyFont="1" applyFill="1" applyBorder="1" applyAlignment="1">
      <alignment/>
    </xf>
    <xf numFmtId="0" fontId="18" fillId="0" borderId="107" xfId="0" applyFont="1" applyBorder="1" applyAlignment="1">
      <alignment horizontal="center" vertical="center"/>
    </xf>
    <xf numFmtId="3" fontId="13" fillId="4" borderId="30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3" fontId="13" fillId="4" borderId="4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18" fillId="0" borderId="111" xfId="0" applyFont="1" applyBorder="1" applyAlignment="1">
      <alignment horizontal="center"/>
    </xf>
    <xf numFmtId="0" fontId="21" fillId="0" borderId="94" xfId="0" applyFont="1" applyBorder="1" applyAlignment="1">
      <alignment/>
    </xf>
    <xf numFmtId="3" fontId="21" fillId="36" borderId="70" xfId="0" applyNumberFormat="1" applyFont="1" applyFill="1" applyBorder="1" applyAlignment="1">
      <alignment/>
    </xf>
    <xf numFmtId="3" fontId="0" fillId="0" borderId="119" xfId="0" applyNumberFormat="1" applyBorder="1" applyAlignment="1">
      <alignment/>
    </xf>
    <xf numFmtId="3" fontId="0" fillId="35" borderId="74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29" xfId="0" applyNumberFormat="1" applyFill="1" applyBorder="1" applyAlignment="1">
      <alignment/>
    </xf>
    <xf numFmtId="0" fontId="0" fillId="0" borderId="31" xfId="0" applyBorder="1" applyAlignment="1">
      <alignment horizontal="right"/>
    </xf>
    <xf numFmtId="0" fontId="0" fillId="0" borderId="121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22" xfId="0" applyBorder="1" applyAlignment="1">
      <alignment/>
    </xf>
    <xf numFmtId="3" fontId="0" fillId="4" borderId="24" xfId="0" applyNumberFormat="1" applyFill="1" applyBorder="1" applyAlignment="1">
      <alignment/>
    </xf>
    <xf numFmtId="3" fontId="0" fillId="35" borderId="91" xfId="0" applyNumberFormat="1" applyFill="1" applyBorder="1" applyAlignment="1">
      <alignment/>
    </xf>
    <xf numFmtId="3" fontId="0" fillId="35" borderId="104" xfId="0" applyNumberFormat="1" applyFill="1" applyBorder="1" applyAlignment="1">
      <alignment/>
    </xf>
    <xf numFmtId="3" fontId="0" fillId="35" borderId="70" xfId="0" applyNumberFormat="1" applyFill="1" applyBorder="1" applyAlignment="1">
      <alignment/>
    </xf>
    <xf numFmtId="3" fontId="0" fillId="35" borderId="123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14" xfId="0" applyBorder="1" applyAlignment="1">
      <alignment/>
    </xf>
    <xf numFmtId="3" fontId="22" fillId="0" borderId="58" xfId="59" applyNumberFormat="1" applyFont="1" applyBorder="1" applyAlignment="1">
      <alignment vertical="center"/>
      <protection/>
    </xf>
    <xf numFmtId="3" fontId="22" fillId="0" borderId="98" xfId="59" applyNumberFormat="1" applyFont="1" applyBorder="1" applyAlignment="1">
      <alignment vertical="center"/>
      <protection/>
    </xf>
    <xf numFmtId="3" fontId="22" fillId="0" borderId="124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4" borderId="70" xfId="59" applyNumberFormat="1" applyFont="1" applyFill="1" applyBorder="1" applyAlignment="1">
      <alignment horizontal="right" vertical="center"/>
      <protection/>
    </xf>
    <xf numFmtId="3" fontId="19" fillId="34" borderId="85" xfId="59" applyNumberFormat="1" applyFont="1" applyFill="1" applyBorder="1" applyAlignment="1">
      <alignment vertical="center"/>
      <protection/>
    </xf>
    <xf numFmtId="3" fontId="19" fillId="34" borderId="93" xfId="59" applyNumberFormat="1" applyFont="1" applyFill="1" applyBorder="1" applyAlignment="1">
      <alignment vertical="center"/>
      <protection/>
    </xf>
    <xf numFmtId="0" fontId="22" fillId="34" borderId="72" xfId="59" applyFont="1" applyFill="1" applyBorder="1" applyAlignment="1">
      <alignment horizontal="left" vertical="center"/>
      <protection/>
    </xf>
    <xf numFmtId="3" fontId="15" fillId="34" borderId="94" xfId="59" applyNumberFormat="1" applyFont="1" applyFill="1" applyBorder="1" applyAlignment="1">
      <alignment horizontal="right" vertical="center"/>
      <protection/>
    </xf>
    <xf numFmtId="3" fontId="15" fillId="34" borderId="95" xfId="59" applyNumberFormat="1" applyFont="1" applyFill="1" applyBorder="1" applyAlignment="1">
      <alignment horizontal="right" vertical="center"/>
      <protection/>
    </xf>
    <xf numFmtId="3" fontId="57" fillId="34" borderId="85" xfId="59" applyNumberFormat="1" applyFont="1" applyFill="1" applyBorder="1" applyAlignment="1">
      <alignment horizontal="right" vertical="center"/>
      <protection/>
    </xf>
    <xf numFmtId="3" fontId="57" fillId="34" borderId="70" xfId="59" applyNumberFormat="1" applyFont="1" applyFill="1" applyBorder="1" applyAlignment="1">
      <alignment horizontal="right" vertical="center"/>
      <protection/>
    </xf>
    <xf numFmtId="3" fontId="57" fillId="34" borderId="71" xfId="59" applyNumberFormat="1" applyFont="1" applyFill="1" applyBorder="1" applyAlignment="1">
      <alignment vertical="center"/>
      <protection/>
    </xf>
    <xf numFmtId="3" fontId="57" fillId="34" borderId="72" xfId="59" applyNumberFormat="1" applyFont="1" applyFill="1" applyBorder="1" applyAlignment="1">
      <alignment vertical="center"/>
      <protection/>
    </xf>
    <xf numFmtId="3" fontId="57" fillId="34" borderId="7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5" xfId="59" applyFont="1" applyBorder="1" applyAlignment="1">
      <alignment horizontal="center" vertical="center"/>
      <protection/>
    </xf>
    <xf numFmtId="3" fontId="15" fillId="0" borderId="87" xfId="59" applyNumberFormat="1" applyFont="1" applyBorder="1">
      <alignment/>
      <protection/>
    </xf>
    <xf numFmtId="3" fontId="43" fillId="0" borderId="96" xfId="59" applyNumberFormat="1" applyFont="1" applyBorder="1">
      <alignment/>
      <protection/>
    </xf>
    <xf numFmtId="3" fontId="57" fillId="0" borderId="68" xfId="59" applyNumberFormat="1" applyFont="1" applyBorder="1" applyAlignment="1">
      <alignment horizontal="right" vertical="center"/>
      <protection/>
    </xf>
    <xf numFmtId="0" fontId="15" fillId="0" borderId="126" xfId="59" applyFont="1" applyBorder="1" applyAlignment="1">
      <alignment horizontal="right" vertical="center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127" xfId="60" applyFont="1" applyFill="1" applyBorder="1" applyAlignment="1">
      <alignment horizontal="center" vertical="center" wrapText="1"/>
      <protection/>
    </xf>
    <xf numFmtId="0" fontId="19" fillId="0" borderId="41" xfId="59" applyFont="1" applyBorder="1" applyAlignment="1">
      <alignment horizontal="center" vertical="center"/>
      <protection/>
    </xf>
    <xf numFmtId="0" fontId="19" fillId="0" borderId="117" xfId="59" applyFont="1" applyBorder="1" applyAlignment="1">
      <alignment horizontal="center" vertical="center"/>
      <protection/>
    </xf>
    <xf numFmtId="0" fontId="23" fillId="0" borderId="75" xfId="59" applyFont="1" applyBorder="1" applyAlignment="1">
      <alignment horizontal="right" vertical="center"/>
      <protection/>
    </xf>
    <xf numFmtId="3" fontId="19" fillId="0" borderId="77" xfId="59" applyNumberFormat="1" applyFont="1" applyBorder="1" applyAlignment="1">
      <alignment horizontal="right" vertical="center"/>
      <protection/>
    </xf>
    <xf numFmtId="3" fontId="19" fillId="0" borderId="76" xfId="59" applyNumberFormat="1" applyFont="1" applyBorder="1" applyAlignment="1">
      <alignment vertical="center"/>
      <protection/>
    </xf>
    <xf numFmtId="3" fontId="19" fillId="0" borderId="65" xfId="59" applyNumberFormat="1" applyFont="1" applyBorder="1" applyAlignment="1">
      <alignment vertical="center"/>
      <protection/>
    </xf>
    <xf numFmtId="3" fontId="58" fillId="0" borderId="76" xfId="59" applyNumberFormat="1" applyFont="1" applyBorder="1" applyAlignment="1">
      <alignment vertical="center"/>
      <protection/>
    </xf>
    <xf numFmtId="3" fontId="23" fillId="0" borderId="76" xfId="59" applyNumberFormat="1" applyFont="1" applyFill="1" applyBorder="1" applyAlignment="1">
      <alignment vertical="center"/>
      <protection/>
    </xf>
    <xf numFmtId="3" fontId="15" fillId="0" borderId="79" xfId="59" applyNumberFormat="1" applyFont="1" applyBorder="1" applyAlignment="1">
      <alignment vertical="center"/>
      <protection/>
    </xf>
    <xf numFmtId="3" fontId="57" fillId="0" borderId="75" xfId="59" applyNumberFormat="1" applyFont="1" applyBorder="1" applyAlignment="1">
      <alignment vertical="center"/>
      <protection/>
    </xf>
    <xf numFmtId="3" fontId="57" fillId="0" borderId="77" xfId="59" applyNumberFormat="1" applyFont="1" applyBorder="1" applyAlignment="1">
      <alignment vertical="center"/>
      <protection/>
    </xf>
    <xf numFmtId="3" fontId="57" fillId="0" borderId="81" xfId="59" applyNumberFormat="1" applyFont="1" applyBorder="1" applyAlignment="1">
      <alignment vertical="center"/>
      <protection/>
    </xf>
    <xf numFmtId="0" fontId="19" fillId="0" borderId="99" xfId="59" applyFont="1" applyBorder="1" applyAlignment="1">
      <alignment horizontal="center"/>
      <protection/>
    </xf>
    <xf numFmtId="0" fontId="19" fillId="0" borderId="99" xfId="59" applyFont="1" applyBorder="1" applyAlignment="1">
      <alignment horizontal="center" vertical="center"/>
      <protection/>
    </xf>
    <xf numFmtId="3" fontId="19" fillId="34" borderId="94" xfId="59" applyNumberFormat="1" applyFont="1" applyFill="1" applyBorder="1" applyAlignment="1">
      <alignment horizontal="right" vertical="center"/>
      <protection/>
    </xf>
    <xf numFmtId="3" fontId="57" fillId="34" borderId="72" xfId="59" applyNumberFormat="1" applyFont="1" applyFill="1" applyBorder="1" applyAlignment="1">
      <alignment horizontal="right" vertical="center"/>
      <protection/>
    </xf>
    <xf numFmtId="3" fontId="57" fillId="34" borderId="93" xfId="59" applyNumberFormat="1" applyFont="1" applyFill="1" applyBorder="1" applyAlignment="1">
      <alignment vertical="center"/>
      <protection/>
    </xf>
    <xf numFmtId="0" fontId="22" fillId="0" borderId="53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3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2" xfId="59" applyFont="1" applyBorder="1" applyAlignment="1">
      <alignment horizontal="right" vertical="center"/>
      <protection/>
    </xf>
    <xf numFmtId="0" fontId="23" fillId="0" borderId="28" xfId="59" applyFont="1" applyBorder="1" applyAlignment="1">
      <alignment horizontal="right" vertical="center"/>
      <protection/>
    </xf>
    <xf numFmtId="0" fontId="23" fillId="0" borderId="42" xfId="59" applyFont="1" applyBorder="1" applyAlignment="1">
      <alignment horizontal="right" vertical="center"/>
      <protection/>
    </xf>
    <xf numFmtId="3" fontId="19" fillId="0" borderId="128" xfId="59" applyNumberFormat="1" applyFont="1" applyBorder="1" applyAlignment="1">
      <alignment horizontal="right" vertical="center"/>
      <protection/>
    </xf>
    <xf numFmtId="3" fontId="19" fillId="0" borderId="129" xfId="59" applyNumberFormat="1" applyFont="1" applyBorder="1" applyAlignment="1">
      <alignment horizontal="right" vertical="center"/>
      <protection/>
    </xf>
    <xf numFmtId="3" fontId="40" fillId="0" borderId="121" xfId="60" applyNumberFormat="1" applyFont="1" applyFill="1" applyBorder="1" applyAlignment="1">
      <alignment vertical="center" wrapText="1"/>
      <protection/>
    </xf>
    <xf numFmtId="3" fontId="40" fillId="0" borderId="50" xfId="60" applyNumberFormat="1" applyFont="1" applyFill="1" applyBorder="1" applyAlignment="1">
      <alignment vertical="center" wrapText="1"/>
      <protection/>
    </xf>
    <xf numFmtId="0" fontId="18" fillId="0" borderId="68" xfId="59" applyFont="1" applyBorder="1">
      <alignment/>
      <protection/>
    </xf>
    <xf numFmtId="3" fontId="19" fillId="0" borderId="42" xfId="59" applyNumberFormat="1" applyFont="1" applyBorder="1" applyAlignment="1">
      <alignment horizontal="right" vertical="center"/>
      <protection/>
    </xf>
    <xf numFmtId="0" fontId="22" fillId="34" borderId="85" xfId="59" applyFont="1" applyFill="1" applyBorder="1" applyAlignment="1">
      <alignment horizontal="left" vertical="center" wrapText="1"/>
      <protection/>
    </xf>
    <xf numFmtId="0" fontId="22" fillId="0" borderId="73" xfId="59" applyFont="1" applyBorder="1" applyAlignment="1">
      <alignment horizontal="left"/>
      <protection/>
    </xf>
    <xf numFmtId="3" fontId="22" fillId="0" borderId="0" xfId="59" applyNumberFormat="1" applyFont="1" applyBorder="1" applyAlignment="1">
      <alignment/>
      <protection/>
    </xf>
    <xf numFmtId="3" fontId="57" fillId="0" borderId="126" xfId="59" applyNumberFormat="1" applyFont="1" applyBorder="1" applyAlignment="1">
      <alignment vertical="center"/>
      <protection/>
    </xf>
    <xf numFmtId="3" fontId="57" fillId="0" borderId="130" xfId="59" applyNumberFormat="1" applyFont="1" applyBorder="1" applyAlignment="1">
      <alignment vertical="center"/>
      <protection/>
    </xf>
    <xf numFmtId="0" fontId="2" fillId="33" borderId="0" xfId="61" applyFont="1" applyFill="1" applyBorder="1" applyAlignment="1">
      <alignment horizontal="right"/>
      <protection/>
    </xf>
    <xf numFmtId="3" fontId="2" fillId="33" borderId="0" xfId="61" applyNumberFormat="1" applyFont="1" applyFill="1" applyBorder="1" applyAlignment="1">
      <alignment horizontal="center" vertical="center"/>
      <protection/>
    </xf>
    <xf numFmtId="3" fontId="1" fillId="33" borderId="0" xfId="61" applyNumberFormat="1" applyFont="1" applyFill="1" applyBorder="1" applyAlignment="1">
      <alignment vertical="center"/>
      <protection/>
    </xf>
    <xf numFmtId="3" fontId="21" fillId="33" borderId="0" xfId="61" applyNumberFormat="1" applyFont="1" applyFill="1" applyBorder="1" applyAlignment="1">
      <alignment vertical="center"/>
      <protection/>
    </xf>
    <xf numFmtId="3" fontId="2" fillId="33" borderId="0" xfId="61" applyNumberFormat="1" applyFont="1" applyFill="1">
      <alignment/>
      <protection/>
    </xf>
    <xf numFmtId="3" fontId="1" fillId="33" borderId="0" xfId="61" applyNumberFormat="1" applyFont="1" applyFill="1">
      <alignment/>
      <protection/>
    </xf>
    <xf numFmtId="0" fontId="2" fillId="33" borderId="0" xfId="61" applyFont="1" applyFill="1">
      <alignment/>
      <protection/>
    </xf>
    <xf numFmtId="0" fontId="13" fillId="33" borderId="0" xfId="61" applyFill="1">
      <alignment/>
      <protection/>
    </xf>
    <xf numFmtId="3" fontId="0" fillId="4" borderId="32" xfId="0" applyNumberFormat="1" applyFill="1" applyBorder="1" applyAlignment="1">
      <alignment/>
    </xf>
    <xf numFmtId="0" fontId="0" fillId="0" borderId="26" xfId="0" applyBorder="1" applyAlignment="1">
      <alignment horizontal="left"/>
    </xf>
    <xf numFmtId="0" fontId="0" fillId="0" borderId="131" xfId="0" applyBorder="1" applyAlignment="1">
      <alignment horizontal="left"/>
    </xf>
    <xf numFmtId="3" fontId="0" fillId="35" borderId="31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/>
    </xf>
    <xf numFmtId="3" fontId="0" fillId="4" borderId="115" xfId="0" applyNumberFormat="1" applyFill="1" applyBorder="1" applyAlignment="1">
      <alignment/>
    </xf>
    <xf numFmtId="3" fontId="0" fillId="4" borderId="122" xfId="0" applyNumberFormat="1" applyFill="1" applyBorder="1" applyAlignment="1">
      <alignment/>
    </xf>
    <xf numFmtId="3" fontId="0" fillId="35" borderId="132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3" fontId="0" fillId="35" borderId="133" xfId="0" applyNumberFormat="1" applyFill="1" applyBorder="1" applyAlignment="1">
      <alignment horizontal="right" vertical="center"/>
    </xf>
    <xf numFmtId="3" fontId="0" fillId="0" borderId="19" xfId="0" applyNumberFormat="1" applyBorder="1" applyAlignment="1">
      <alignment/>
    </xf>
    <xf numFmtId="3" fontId="0" fillId="4" borderId="131" xfId="0" applyNumberFormat="1" applyFill="1" applyBorder="1" applyAlignment="1">
      <alignment/>
    </xf>
    <xf numFmtId="3" fontId="0" fillId="4" borderId="134" xfId="0" applyNumberFormat="1" applyFill="1" applyBorder="1" applyAlignment="1">
      <alignment/>
    </xf>
    <xf numFmtId="0" fontId="20" fillId="0" borderId="21" xfId="57" applyFont="1" applyBorder="1" applyAlignment="1">
      <alignment horizontal="center" vertical="center"/>
      <protection/>
    </xf>
    <xf numFmtId="3" fontId="40" fillId="0" borderId="21" xfId="58" applyNumberFormat="1" applyFont="1" applyBorder="1" applyAlignment="1">
      <alignment vertical="center"/>
      <protection/>
    </xf>
    <xf numFmtId="3" fontId="19" fillId="0" borderId="21" xfId="58" applyNumberFormat="1" applyFont="1" applyBorder="1" applyAlignment="1">
      <alignment vertical="center"/>
      <protection/>
    </xf>
    <xf numFmtId="3" fontId="45" fillId="0" borderId="21" xfId="58" applyNumberFormat="1" applyFont="1" applyBorder="1" applyAlignment="1">
      <alignment vertical="center"/>
      <protection/>
    </xf>
    <xf numFmtId="3" fontId="44" fillId="0" borderId="21" xfId="58" applyNumberFormat="1" applyFont="1" applyBorder="1" applyAlignment="1">
      <alignment vertical="center"/>
      <protection/>
    </xf>
    <xf numFmtId="0" fontId="45" fillId="0" borderId="17" xfId="58" applyFont="1" applyBorder="1" applyAlignment="1">
      <alignment horizontal="left" vertical="center" wrapText="1"/>
      <protection/>
    </xf>
    <xf numFmtId="3" fontId="26" fillId="0" borderId="21" xfId="42" applyNumberFormat="1" applyFont="1" applyBorder="1" applyAlignment="1">
      <alignment horizontal="right" vertical="center"/>
    </xf>
    <xf numFmtId="0" fontId="26" fillId="0" borderId="21" xfId="57" applyFont="1" applyBorder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0" fillId="0" borderId="9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7" xfId="0" applyBorder="1" applyAlignment="1">
      <alignment vertical="center"/>
    </xf>
    <xf numFmtId="0" fontId="18" fillId="0" borderId="88" xfId="0" applyFont="1" applyBorder="1" applyAlignment="1">
      <alignment horizontal="center" vertical="center"/>
    </xf>
    <xf numFmtId="0" fontId="18" fillId="37" borderId="88" xfId="0" applyFont="1" applyFill="1" applyBorder="1" applyAlignment="1">
      <alignment horizontal="center" vertical="center"/>
    </xf>
    <xf numFmtId="3" fontId="13" fillId="4" borderId="32" xfId="0" applyNumberFormat="1" applyFont="1" applyFill="1" applyBorder="1" applyAlignment="1">
      <alignment horizontal="right"/>
    </xf>
    <xf numFmtId="3" fontId="0" fillId="35" borderId="33" xfId="0" applyNumberFormat="1" applyFill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4" borderId="25" xfId="0" applyNumberFormat="1" applyFill="1" applyBorder="1" applyAlignment="1">
      <alignment/>
    </xf>
    <xf numFmtId="0" fontId="18" fillId="0" borderId="135" xfId="0" applyFont="1" applyBorder="1" applyAlignment="1">
      <alignment horizontal="center" vertical="center"/>
    </xf>
    <xf numFmtId="0" fontId="0" fillId="0" borderId="136" xfId="0" applyBorder="1" applyAlignment="1">
      <alignment vertical="center"/>
    </xf>
    <xf numFmtId="0" fontId="18" fillId="37" borderId="88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164" fontId="16" fillId="0" borderId="21" xfId="0" applyNumberFormat="1" applyFont="1" applyBorder="1" applyAlignment="1">
      <alignment vertical="center"/>
    </xf>
    <xf numFmtId="164" fontId="17" fillId="0" borderId="21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3" fontId="16" fillId="0" borderId="21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0" xfId="62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3" fontId="20" fillId="0" borderId="21" xfId="62" applyNumberFormat="1" applyFont="1" applyBorder="1" applyAlignment="1">
      <alignment horizontal="center" vertical="center" wrapText="1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/>
      <protection/>
    </xf>
    <xf numFmtId="164" fontId="14" fillId="0" borderId="21" xfId="62" applyNumberFormat="1" applyFont="1" applyFill="1" applyBorder="1" applyAlignment="1">
      <alignment horizontal="right" vertical="center"/>
      <protection/>
    </xf>
    <xf numFmtId="164" fontId="14" fillId="0" borderId="21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Border="1" applyAlignment="1">
      <alignment horizontal="right" vertical="center" wrapText="1"/>
      <protection/>
    </xf>
    <xf numFmtId="164" fontId="14" fillId="33" borderId="21" xfId="62" applyNumberFormat="1" applyFont="1" applyFill="1" applyBorder="1" applyAlignment="1">
      <alignment horizontal="right" vertical="center"/>
      <protection/>
    </xf>
    <xf numFmtId="164" fontId="14" fillId="33" borderId="21" xfId="62" applyNumberFormat="1" applyFont="1" applyFill="1" applyBorder="1" applyAlignment="1">
      <alignment horizontal="right" vertical="center" wrapText="1"/>
      <protection/>
    </xf>
    <xf numFmtId="0" fontId="20" fillId="0" borderId="24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3" borderId="18" xfId="62" applyNumberFormat="1" applyFont="1" applyFill="1" applyBorder="1" applyAlignment="1">
      <alignment horizontal="right" vertical="center"/>
      <protection/>
    </xf>
    <xf numFmtId="164" fontId="14" fillId="33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29" xfId="62" applyNumberFormat="1" applyFont="1" applyBorder="1" applyAlignment="1">
      <alignment horizontal="right" vertical="center" wrapText="1"/>
      <protection/>
    </xf>
    <xf numFmtId="0" fontId="14" fillId="33" borderId="0" xfId="62" applyFont="1" applyFill="1" applyAlignment="1">
      <alignment vertical="center"/>
      <protection/>
    </xf>
    <xf numFmtId="164" fontId="110" fillId="0" borderId="21" xfId="0" applyNumberFormat="1" applyFont="1" applyBorder="1" applyAlignment="1">
      <alignment vertical="center"/>
    </xf>
    <xf numFmtId="0" fontId="67" fillId="0" borderId="21" xfId="0" applyFont="1" applyBorder="1" applyAlignment="1">
      <alignment horizontal="right" vertical="center"/>
    </xf>
    <xf numFmtId="0" fontId="67" fillId="0" borderId="21" xfId="0" applyFont="1" applyBorder="1" applyAlignment="1">
      <alignment horizontal="right" vertical="center" wrapText="1"/>
    </xf>
    <xf numFmtId="164" fontId="67" fillId="0" borderId="21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22" fillId="0" borderId="48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 vertical="center"/>
      <protection/>
    </xf>
    <xf numFmtId="3" fontId="19" fillId="0" borderId="27" xfId="59" applyNumberFormat="1" applyFont="1" applyBorder="1" applyAlignment="1">
      <alignment horizontal="right" vertical="center"/>
      <protection/>
    </xf>
    <xf numFmtId="3" fontId="19" fillId="0" borderId="51" xfId="59" applyNumberFormat="1" applyFont="1" applyBorder="1" applyAlignment="1">
      <alignment horizontal="right" vertical="center"/>
      <protection/>
    </xf>
    <xf numFmtId="3" fontId="19" fillId="0" borderId="50" xfId="59" applyNumberFormat="1" applyFont="1" applyBorder="1" applyAlignment="1">
      <alignment horizontal="right" vertical="center"/>
      <protection/>
    </xf>
    <xf numFmtId="3" fontId="16" fillId="33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3" fontId="16" fillId="0" borderId="39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0" fontId="7" fillId="0" borderId="12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8" borderId="20" xfId="0" applyFont="1" applyFill="1" applyBorder="1" applyAlignment="1">
      <alignment vertical="center"/>
    </xf>
    <xf numFmtId="0" fontId="21" fillId="38" borderId="21" xfId="0" applyFont="1" applyFill="1" applyBorder="1" applyAlignment="1">
      <alignment/>
    </xf>
    <xf numFmtId="49" fontId="62" fillId="39" borderId="20" xfId="0" applyNumberFormat="1" applyFont="1" applyFill="1" applyBorder="1" applyAlignment="1">
      <alignment vertical="center" wrapText="1"/>
    </xf>
    <xf numFmtId="0" fontId="62" fillId="39" borderId="21" xfId="0" applyFont="1" applyFill="1" applyBorder="1" applyAlignment="1">
      <alignment/>
    </xf>
    <xf numFmtId="49" fontId="69" fillId="0" borderId="20" xfId="0" applyNumberFormat="1" applyFont="1" applyBorder="1" applyAlignment="1">
      <alignment wrapText="1"/>
    </xf>
    <xf numFmtId="0" fontId="69" fillId="0" borderId="21" xfId="0" applyFont="1" applyBorder="1" applyAlignment="1">
      <alignment/>
    </xf>
    <xf numFmtId="49" fontId="69" fillId="0" borderId="20" xfId="0" applyNumberFormat="1" applyFont="1" applyBorder="1" applyAlignment="1">
      <alignment/>
    </xf>
    <xf numFmtId="49" fontId="13" fillId="39" borderId="20" xfId="0" applyNumberFormat="1" applyFont="1" applyFill="1" applyBorder="1" applyAlignment="1">
      <alignment vertical="center" wrapText="1"/>
    </xf>
    <xf numFmtId="0" fontId="13" fillId="39" borderId="21" xfId="0" applyFont="1" applyFill="1" applyBorder="1" applyAlignment="1">
      <alignment/>
    </xf>
    <xf numFmtId="0" fontId="21" fillId="38" borderId="20" xfId="0" applyFont="1" applyFill="1" applyBorder="1" applyAlignment="1">
      <alignment vertical="center" wrapText="1"/>
    </xf>
    <xf numFmtId="0" fontId="21" fillId="38" borderId="21" xfId="0" applyFont="1" applyFill="1" applyBorder="1" applyAlignment="1">
      <alignment vertical="center"/>
    </xf>
    <xf numFmtId="0" fontId="69" fillId="0" borderId="20" xfId="0" applyFont="1" applyBorder="1" applyAlignment="1">
      <alignment wrapText="1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49" fontId="70" fillId="0" borderId="20" xfId="0" applyNumberFormat="1" applyFont="1" applyBorder="1" applyAlignment="1">
      <alignment/>
    </xf>
    <xf numFmtId="49" fontId="69" fillId="0" borderId="20" xfId="0" applyNumberFormat="1" applyFont="1" applyBorder="1" applyAlignment="1">
      <alignment/>
    </xf>
    <xf numFmtId="0" fontId="69" fillId="0" borderId="21" xfId="0" applyFont="1" applyFill="1" applyBorder="1" applyAlignment="1">
      <alignment/>
    </xf>
    <xf numFmtId="0" fontId="21" fillId="5" borderId="20" xfId="0" applyFont="1" applyFill="1" applyBorder="1" applyAlignment="1">
      <alignment vertical="center" wrapText="1"/>
    </xf>
    <xf numFmtId="0" fontId="21" fillId="5" borderId="21" xfId="0" applyFont="1" applyFill="1" applyBorder="1" applyAlignment="1">
      <alignment vertical="center"/>
    </xf>
    <xf numFmtId="49" fontId="69" fillId="0" borderId="20" xfId="0" applyNumberFormat="1" applyFont="1" applyBorder="1" applyAlignment="1">
      <alignment vertical="center" wrapText="1"/>
    </xf>
    <xf numFmtId="0" fontId="69" fillId="0" borderId="21" xfId="0" applyFont="1" applyBorder="1" applyAlignment="1">
      <alignment vertical="center"/>
    </xf>
    <xf numFmtId="0" fontId="22" fillId="0" borderId="48" xfId="59" applyFont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67" fillId="0" borderId="21" xfId="0" applyFont="1" applyBorder="1" applyAlignment="1">
      <alignment vertical="center" wrapText="1"/>
    </xf>
    <xf numFmtId="3" fontId="0" fillId="0" borderId="50" xfId="0" applyNumberFormat="1" applyBorder="1" applyAlignment="1">
      <alignment/>
    </xf>
    <xf numFmtId="3" fontId="0" fillId="4" borderId="107" xfId="0" applyNumberFormat="1" applyFill="1" applyBorder="1" applyAlignment="1">
      <alignment/>
    </xf>
    <xf numFmtId="3" fontId="22" fillId="0" borderId="57" xfId="59" applyNumberFormat="1" applyFont="1" applyBorder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0" borderId="21" xfId="0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3" fontId="40" fillId="0" borderId="21" xfId="0" applyNumberFormat="1" applyFont="1" applyBorder="1" applyAlignment="1">
      <alignment vertical="center"/>
    </xf>
    <xf numFmtId="3" fontId="44" fillId="0" borderId="21" xfId="0" applyNumberFormat="1" applyFont="1" applyBorder="1" applyAlignment="1">
      <alignment vertical="center"/>
    </xf>
    <xf numFmtId="3" fontId="44" fillId="0" borderId="102" xfId="0" applyNumberFormat="1" applyFont="1" applyBorder="1" applyAlignment="1">
      <alignment vertical="center"/>
    </xf>
    <xf numFmtId="0" fontId="21" fillId="0" borderId="21" xfId="61" applyFont="1" applyBorder="1" applyAlignment="1">
      <alignment vertical="center"/>
      <protection/>
    </xf>
    <xf numFmtId="0" fontId="13" fillId="0" borderId="21" xfId="61" applyFont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7" fillId="0" borderId="2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8" fillId="0" borderId="101" xfId="0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33" xfId="0" applyFont="1" applyFill="1" applyBorder="1" applyAlignment="1">
      <alignment vertical="center"/>
    </xf>
    <xf numFmtId="3" fontId="22" fillId="0" borderId="44" xfId="59" applyNumberFormat="1" applyFont="1" applyBorder="1" applyAlignment="1">
      <alignment horizontal="right" vertical="center"/>
      <protection/>
    </xf>
    <xf numFmtId="0" fontId="22" fillId="0" borderId="53" xfId="59" applyFont="1" applyBorder="1" applyAlignment="1">
      <alignment horizontal="left" vertical="center"/>
      <protection/>
    </xf>
    <xf numFmtId="0" fontId="18" fillId="0" borderId="107" xfId="0" applyFont="1" applyBorder="1" applyAlignment="1">
      <alignment horizontal="center"/>
    </xf>
    <xf numFmtId="0" fontId="21" fillId="0" borderId="53" xfId="0" applyFont="1" applyBorder="1" applyAlignment="1">
      <alignment/>
    </xf>
    <xf numFmtId="3" fontId="21" fillId="4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21" fillId="36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horizontal="center"/>
    </xf>
    <xf numFmtId="3" fontId="21" fillId="4" borderId="57" xfId="0" applyNumberFormat="1" applyFon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21" fillId="0" borderId="79" xfId="0" applyFont="1" applyBorder="1" applyAlignment="1">
      <alignment/>
    </xf>
    <xf numFmtId="3" fontId="0" fillId="33" borderId="33" xfId="0" applyNumberFormat="1" applyFill="1" applyBorder="1" applyAlignment="1">
      <alignment/>
    </xf>
    <xf numFmtId="3" fontId="0" fillId="33" borderId="7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91" xfId="0" applyNumberFormat="1" applyFill="1" applyBorder="1" applyAlignment="1">
      <alignment/>
    </xf>
    <xf numFmtId="3" fontId="0" fillId="33" borderId="104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21" fillId="33" borderId="76" xfId="0" applyNumberFormat="1" applyFon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6" xfId="0" applyNumberFormat="1" applyFill="1" applyBorder="1" applyAlignment="1">
      <alignment horizontal="center"/>
    </xf>
    <xf numFmtId="3" fontId="21" fillId="33" borderId="124" xfId="0" applyNumberFormat="1" applyFont="1" applyFill="1" applyBorder="1" applyAlignment="1">
      <alignment/>
    </xf>
    <xf numFmtId="0" fontId="21" fillId="33" borderId="79" xfId="0" applyFont="1" applyFill="1" applyBorder="1" applyAlignment="1">
      <alignment/>
    </xf>
    <xf numFmtId="3" fontId="22" fillId="0" borderId="52" xfId="59" applyNumberFormat="1" applyFont="1" applyBorder="1" applyAlignment="1">
      <alignment vertical="center"/>
      <protection/>
    </xf>
    <xf numFmtId="0" fontId="22" fillId="0" borderId="58" xfId="59" applyFont="1" applyBorder="1" applyAlignment="1">
      <alignment horizontal="right" vertical="center" wrapText="1"/>
      <protection/>
    </xf>
    <xf numFmtId="3" fontId="19" fillId="0" borderId="0" xfId="59" applyNumberFormat="1" applyFont="1" applyBorder="1" applyAlignment="1">
      <alignment vertical="center"/>
      <protection/>
    </xf>
    <xf numFmtId="3" fontId="19" fillId="0" borderId="51" xfId="59" applyNumberFormat="1" applyFont="1" applyBorder="1" applyAlignment="1">
      <alignment vertical="center"/>
      <protection/>
    </xf>
    <xf numFmtId="3" fontId="57" fillId="0" borderId="27" xfId="59" applyNumberFormat="1" applyFont="1" applyBorder="1" applyAlignment="1">
      <alignment vertical="center"/>
      <protection/>
    </xf>
    <xf numFmtId="3" fontId="57" fillId="0" borderId="56" xfId="59" applyNumberFormat="1" applyFont="1" applyBorder="1" applyAlignment="1">
      <alignment vertical="center"/>
      <protection/>
    </xf>
    <xf numFmtId="3" fontId="57" fillId="0" borderId="48" xfId="59" applyNumberFormat="1" applyFont="1" applyBorder="1" applyAlignment="1">
      <alignment vertical="center"/>
      <protection/>
    </xf>
    <xf numFmtId="3" fontId="57" fillId="0" borderId="51" xfId="59" applyNumberFormat="1" applyFont="1" applyBorder="1" applyAlignment="1">
      <alignment vertical="center"/>
      <protection/>
    </xf>
    <xf numFmtId="3" fontId="40" fillId="0" borderId="101" xfId="60" applyNumberFormat="1" applyFont="1" applyFill="1" applyBorder="1" applyAlignment="1">
      <alignment vertical="center" wrapText="1"/>
      <protection/>
    </xf>
    <xf numFmtId="3" fontId="40" fillId="0" borderId="14" xfId="60" applyNumberFormat="1" applyFont="1" applyFill="1" applyBorder="1" applyAlignment="1">
      <alignment vertical="center" wrapText="1"/>
      <protection/>
    </xf>
    <xf numFmtId="0" fontId="18" fillId="0" borderId="0" xfId="0" applyFont="1" applyBorder="1" applyAlignment="1">
      <alignment horizontal="right" vertical="center"/>
    </xf>
    <xf numFmtId="0" fontId="18" fillId="0" borderId="50" xfId="0" applyFont="1" applyBorder="1" applyAlignment="1">
      <alignment horizontal="right" vertical="center"/>
    </xf>
    <xf numFmtId="0" fontId="18" fillId="0" borderId="53" xfId="59" applyFont="1" applyBorder="1" applyAlignment="1">
      <alignment vertical="center"/>
      <protection/>
    </xf>
    <xf numFmtId="0" fontId="18" fillId="0" borderId="0" xfId="59" applyFont="1" applyBorder="1" applyAlignment="1">
      <alignment vertical="center"/>
      <protection/>
    </xf>
    <xf numFmtId="0" fontId="18" fillId="0" borderId="57" xfId="59" applyFont="1" applyBorder="1" applyAlignment="1">
      <alignment vertical="center"/>
      <protection/>
    </xf>
    <xf numFmtId="0" fontId="22" fillId="0" borderId="57" xfId="59" applyFont="1" applyBorder="1" applyAlignment="1">
      <alignment vertical="center"/>
      <protection/>
    </xf>
    <xf numFmtId="0" fontId="69" fillId="33" borderId="21" xfId="0" applyFont="1" applyFill="1" applyBorder="1" applyAlignment="1">
      <alignment/>
    </xf>
    <xf numFmtId="0" fontId="0" fillId="0" borderId="0" xfId="0" applyFont="1" applyAlignment="1">
      <alignment/>
    </xf>
    <xf numFmtId="49" fontId="39" fillId="0" borderId="137" xfId="60" applyNumberFormat="1" applyFont="1" applyFill="1" applyBorder="1" applyAlignment="1">
      <alignment horizontal="center" vertical="center"/>
      <protection/>
    </xf>
    <xf numFmtId="0" fontId="20" fillId="0" borderId="101" xfId="60" applyFont="1" applyFill="1" applyBorder="1" applyAlignment="1">
      <alignment vertical="center" wrapText="1"/>
      <protection/>
    </xf>
    <xf numFmtId="3" fontId="40" fillId="0" borderId="43" xfId="60" applyNumberFormat="1" applyFont="1" applyFill="1" applyBorder="1" applyAlignment="1">
      <alignment vertical="center" wrapText="1"/>
      <protection/>
    </xf>
    <xf numFmtId="3" fontId="20" fillId="0" borderId="25" xfId="60" applyNumberFormat="1" applyFont="1" applyFill="1" applyBorder="1" applyAlignment="1">
      <alignment vertical="center"/>
      <protection/>
    </xf>
    <xf numFmtId="3" fontId="22" fillId="33" borderId="57" xfId="59" applyNumberFormat="1" applyFont="1" applyFill="1" applyBorder="1" applyAlignment="1">
      <alignment vertical="center"/>
      <protection/>
    </xf>
    <xf numFmtId="0" fontId="22" fillId="0" borderId="99" xfId="59" applyFont="1" applyBorder="1" applyAlignment="1">
      <alignment horizontal="left"/>
      <protection/>
    </xf>
    <xf numFmtId="0" fontId="22" fillId="0" borderId="99" xfId="0" applyFont="1" applyFill="1" applyBorder="1" applyAlignment="1">
      <alignment/>
    </xf>
    <xf numFmtId="3" fontId="15" fillId="0" borderId="37" xfId="59" applyNumberFormat="1" applyFont="1" applyBorder="1" applyAlignment="1">
      <alignment horizontal="right" vertical="center"/>
      <protection/>
    </xf>
    <xf numFmtId="3" fontId="22" fillId="0" borderId="105" xfId="59" applyNumberFormat="1" applyFont="1" applyBorder="1" applyAlignment="1">
      <alignment vertical="center"/>
      <protection/>
    </xf>
    <xf numFmtId="3" fontId="22" fillId="0" borderId="99" xfId="59" applyNumberFormat="1" applyFont="1" applyBorder="1" applyAlignment="1">
      <alignment vertical="center"/>
      <protection/>
    </xf>
    <xf numFmtId="3" fontId="57" fillId="0" borderId="99" xfId="59" applyNumberFormat="1" applyFont="1" applyBorder="1" applyAlignment="1">
      <alignment horizontal="right" vertical="center"/>
      <protection/>
    </xf>
    <xf numFmtId="3" fontId="57" fillId="0" borderId="91" xfId="59" applyNumberFormat="1" applyFont="1" applyBorder="1" applyAlignment="1">
      <alignment horizontal="right" vertical="center"/>
      <protection/>
    </xf>
    <xf numFmtId="3" fontId="22" fillId="0" borderId="127" xfId="59" applyNumberFormat="1" applyFont="1" applyBorder="1">
      <alignment/>
      <protection/>
    </xf>
    <xf numFmtId="3" fontId="22" fillId="0" borderId="46" xfId="59" applyNumberFormat="1" applyFont="1" applyBorder="1">
      <alignment/>
      <protection/>
    </xf>
    <xf numFmtId="3" fontId="22" fillId="0" borderId="91" xfId="59" applyNumberFormat="1" applyFont="1" applyBorder="1">
      <alignment/>
      <protection/>
    </xf>
    <xf numFmtId="3" fontId="57" fillId="0" borderId="47" xfId="59" applyNumberFormat="1" applyFont="1" applyBorder="1" applyAlignment="1">
      <alignment horizontal="right"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164" fontId="6" fillId="0" borderId="138" xfId="0" applyNumberFormat="1" applyFont="1" applyFill="1" applyBorder="1" applyAlignment="1">
      <alignment vertical="center"/>
    </xf>
    <xf numFmtId="3" fontId="0" fillId="0" borderId="33" xfId="0" applyNumberFormat="1" applyBorder="1" applyAlignment="1">
      <alignment/>
    </xf>
    <xf numFmtId="3" fontId="0" fillId="35" borderId="27" xfId="0" applyNumberFormat="1" applyFill="1" applyBorder="1" applyAlignment="1">
      <alignment/>
    </xf>
    <xf numFmtId="3" fontId="0" fillId="35" borderId="102" xfId="0" applyNumberFormat="1" applyFill="1" applyBorder="1" applyAlignment="1">
      <alignment/>
    </xf>
    <xf numFmtId="0" fontId="21" fillId="0" borderId="139" xfId="0" applyFont="1" applyBorder="1" applyAlignment="1">
      <alignment/>
    </xf>
    <xf numFmtId="3" fontId="21" fillId="4" borderId="83" xfId="0" applyNumberFormat="1" applyFont="1" applyFill="1" applyBorder="1" applyAlignment="1">
      <alignment/>
    </xf>
    <xf numFmtId="3" fontId="21" fillId="36" borderId="74" xfId="0" applyNumberFormat="1" applyFont="1" applyFill="1" applyBorder="1" applyAlignment="1">
      <alignment/>
    </xf>
    <xf numFmtId="3" fontId="0" fillId="35" borderId="140" xfId="0" applyNumberFormat="1" applyFill="1" applyBorder="1" applyAlignment="1">
      <alignment/>
    </xf>
    <xf numFmtId="0" fontId="18" fillId="0" borderId="141" xfId="0" applyFont="1" applyBorder="1" applyAlignment="1">
      <alignment horizontal="center"/>
    </xf>
    <xf numFmtId="3" fontId="0" fillId="35" borderId="102" xfId="0" applyNumberFormat="1" applyFill="1" applyBorder="1" applyAlignment="1">
      <alignment horizontal="right" vertical="center"/>
    </xf>
    <xf numFmtId="3" fontId="0" fillId="0" borderId="34" xfId="0" applyNumberFormat="1" applyBorder="1" applyAlignment="1">
      <alignment/>
    </xf>
    <xf numFmtId="0" fontId="0" fillId="0" borderId="30" xfId="0" applyBorder="1" applyAlignment="1">
      <alignment horizontal="left" wrapText="1"/>
    </xf>
    <xf numFmtId="3" fontId="0" fillId="4" borderId="121" xfId="0" applyNumberFormat="1" applyFill="1" applyBorder="1" applyAlignment="1">
      <alignment/>
    </xf>
    <xf numFmtId="3" fontId="0" fillId="4" borderId="53" xfId="0" applyNumberFormat="1" applyFill="1" applyBorder="1" applyAlignment="1">
      <alignment/>
    </xf>
    <xf numFmtId="0" fontId="0" fillId="0" borderId="27" xfId="0" applyBorder="1" applyAlignment="1">
      <alignment horizontal="right"/>
    </xf>
    <xf numFmtId="3" fontId="0" fillId="35" borderId="22" xfId="0" applyNumberFormat="1" applyFill="1" applyBorder="1" applyAlignment="1">
      <alignment/>
    </xf>
    <xf numFmtId="3" fontId="21" fillId="35" borderId="31" xfId="0" applyNumberFormat="1" applyFont="1" applyFill="1" applyBorder="1" applyAlignment="1">
      <alignment/>
    </xf>
    <xf numFmtId="0" fontId="0" fillId="0" borderId="114" xfId="0" applyBorder="1" applyAlignment="1">
      <alignment horizontal="left"/>
    </xf>
    <xf numFmtId="0" fontId="18" fillId="0" borderId="131" xfId="0" applyFont="1" applyBorder="1" applyAlignment="1">
      <alignment horizontal="center"/>
    </xf>
    <xf numFmtId="3" fontId="21" fillId="4" borderId="37" xfId="0" applyNumberFormat="1" applyFont="1" applyFill="1" applyBorder="1" applyAlignment="1">
      <alignment/>
    </xf>
    <xf numFmtId="0" fontId="39" fillId="0" borderId="21" xfId="0" applyFont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39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9" fillId="0" borderId="14" xfId="58" applyFont="1" applyBorder="1" applyAlignment="1">
      <alignment horizontal="left" wrapText="1"/>
      <protection/>
    </xf>
    <xf numFmtId="0" fontId="39" fillId="0" borderId="17" xfId="58" applyFont="1" applyBorder="1" applyAlignment="1">
      <alignment horizontal="left" wrapText="1"/>
      <protection/>
    </xf>
    <xf numFmtId="0" fontId="39" fillId="0" borderId="21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40" fillId="0" borderId="14" xfId="58" applyFont="1" applyBorder="1" applyAlignment="1">
      <alignment horizontal="left" wrapText="1"/>
      <protection/>
    </xf>
    <xf numFmtId="0" fontId="40" fillId="0" borderId="17" xfId="58" applyFont="1" applyBorder="1" applyAlignment="1">
      <alignment horizontal="left" wrapText="1"/>
      <protection/>
    </xf>
    <xf numFmtId="0" fontId="19" fillId="0" borderId="21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 vertical="center" wrapText="1"/>
      <protection/>
    </xf>
    <xf numFmtId="0" fontId="39" fillId="0" borderId="17" xfId="58" applyFont="1" applyBorder="1" applyAlignment="1">
      <alignment horizontal="left" vertical="center" wrapText="1"/>
      <protection/>
    </xf>
    <xf numFmtId="0" fontId="18" fillId="0" borderId="0" xfId="58" applyFont="1" applyAlignment="1">
      <alignment horizontal="right" vertical="center"/>
      <protection/>
    </xf>
    <xf numFmtId="0" fontId="42" fillId="0" borderId="0" xfId="58" applyFont="1" applyFill="1" applyAlignment="1">
      <alignment horizontal="center" vertical="center"/>
      <protection/>
    </xf>
    <xf numFmtId="0" fontId="43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39" fillId="0" borderId="14" xfId="58" applyFont="1" applyBorder="1" applyAlignment="1">
      <alignment horizontal="left"/>
      <protection/>
    </xf>
    <xf numFmtId="0" fontId="39" fillId="0" borderId="16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0" fontId="20" fillId="0" borderId="142" xfId="0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 wrapText="1"/>
    </xf>
    <xf numFmtId="0" fontId="20" fillId="0" borderId="13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4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60" fillId="0" borderId="132" xfId="0" applyFont="1" applyFill="1" applyBorder="1" applyAlignment="1">
      <alignment horizontal="center" vertical="center" wrapText="1"/>
    </xf>
    <xf numFmtId="0" fontId="60" fillId="0" borderId="102" xfId="0" applyFont="1" applyFill="1" applyBorder="1" applyAlignment="1">
      <alignment horizontal="center" vertical="center" wrapText="1"/>
    </xf>
    <xf numFmtId="0" fontId="60" fillId="0" borderId="10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3" fillId="0" borderId="115" xfId="0" applyNumberFormat="1" applyFont="1" applyFill="1" applyBorder="1" applyAlignment="1">
      <alignment horizontal="left" vertical="center"/>
    </xf>
    <xf numFmtId="49" fontId="43" fillId="0" borderId="16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49" fontId="43" fillId="0" borderId="122" xfId="0" applyNumberFormat="1" applyFont="1" applyFill="1" applyBorder="1" applyAlignment="1">
      <alignment horizontal="left" vertical="center"/>
    </xf>
    <xf numFmtId="49" fontId="43" fillId="0" borderId="90" xfId="0" applyNumberFormat="1" applyFont="1" applyFill="1" applyBorder="1" applyAlignment="1">
      <alignment horizontal="left" vertical="center"/>
    </xf>
    <xf numFmtId="49" fontId="43" fillId="0" borderId="23" xfId="0" applyNumberFormat="1" applyFont="1" applyFill="1" applyBorder="1" applyAlignment="1">
      <alignment horizontal="left" vertical="center"/>
    </xf>
    <xf numFmtId="49" fontId="43" fillId="0" borderId="113" xfId="0" applyNumberFormat="1" applyFont="1" applyFill="1" applyBorder="1" applyAlignment="1">
      <alignment horizontal="left" vertical="center"/>
    </xf>
    <xf numFmtId="49" fontId="43" fillId="0" borderId="143" xfId="0" applyNumberFormat="1" applyFont="1" applyFill="1" applyBorder="1" applyAlignment="1">
      <alignment horizontal="left" vertical="center"/>
    </xf>
    <xf numFmtId="49" fontId="43" fillId="0" borderId="144" xfId="0" applyNumberFormat="1" applyFont="1" applyFill="1" applyBorder="1" applyAlignment="1">
      <alignment horizontal="left" vertical="center"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7" fillId="0" borderId="139" xfId="60" applyFont="1" applyFill="1" applyBorder="1" applyAlignment="1">
      <alignment horizontal="center" vertical="center" wrapText="1"/>
      <protection/>
    </xf>
    <xf numFmtId="0" fontId="17" fillId="0" borderId="107" xfId="60" applyFont="1" applyFill="1" applyBorder="1" applyAlignment="1">
      <alignment horizontal="center" vertical="center" wrapText="1"/>
      <protection/>
    </xf>
    <xf numFmtId="0" fontId="17" fillId="0" borderId="145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20" fillId="0" borderId="57" xfId="60" applyFont="1" applyFill="1" applyBorder="1" applyAlignment="1">
      <alignment horizontal="center" vertical="center" wrapText="1"/>
      <protection/>
    </xf>
    <xf numFmtId="0" fontId="20" fillId="0" borderId="44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35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1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57" fillId="0" borderId="116" xfId="60" applyFont="1" applyFill="1" applyBorder="1" applyAlignment="1">
      <alignment horizontal="left" vertical="center"/>
      <protection/>
    </xf>
    <xf numFmtId="0" fontId="57" fillId="0" borderId="146" xfId="60" applyFont="1" applyFill="1" applyBorder="1" applyAlignment="1">
      <alignment horizontal="left" vertical="center"/>
      <protection/>
    </xf>
    <xf numFmtId="0" fontId="57" fillId="0" borderId="13" xfId="60" applyFont="1" applyFill="1" applyBorder="1" applyAlignment="1">
      <alignment horizontal="left" vertical="center"/>
      <protection/>
    </xf>
    <xf numFmtId="0" fontId="23" fillId="0" borderId="41" xfId="60" applyFont="1" applyFill="1" applyBorder="1" applyAlignment="1">
      <alignment horizontal="left" vertical="center"/>
      <protection/>
    </xf>
    <xf numFmtId="0" fontId="23" fillId="0" borderId="99" xfId="60" applyFont="1" applyFill="1" applyBorder="1" applyAlignment="1">
      <alignment horizontal="left" vertical="center"/>
      <protection/>
    </xf>
    <xf numFmtId="0" fontId="23" fillId="0" borderId="105" xfId="60" applyFont="1" applyFill="1" applyBorder="1" applyAlignment="1">
      <alignment horizontal="left" vertical="center"/>
      <protection/>
    </xf>
    <xf numFmtId="0" fontId="23" fillId="0" borderId="41" xfId="60" applyFont="1" applyFill="1" applyBorder="1" applyAlignment="1">
      <alignment horizontal="left" vertical="center" wrapText="1"/>
      <protection/>
    </xf>
    <xf numFmtId="0" fontId="23" fillId="0" borderId="99" xfId="60" applyFont="1" applyFill="1" applyBorder="1" applyAlignment="1">
      <alignment horizontal="left" vertical="center" wrapText="1"/>
      <protection/>
    </xf>
    <xf numFmtId="0" fontId="23" fillId="0" borderId="105" xfId="60" applyFont="1" applyFill="1" applyBorder="1" applyAlignment="1">
      <alignment horizontal="left" vertical="center" wrapText="1"/>
      <protection/>
    </xf>
    <xf numFmtId="0" fontId="20" fillId="0" borderId="74" xfId="60" applyFont="1" applyFill="1" applyBorder="1" applyAlignment="1">
      <alignment horizontal="center" vertical="center"/>
      <protection/>
    </xf>
    <xf numFmtId="0" fontId="20" fillId="0" borderId="27" xfId="60" applyFont="1" applyFill="1" applyBorder="1" applyAlignment="1">
      <alignment horizontal="center" vertical="center"/>
      <protection/>
    </xf>
    <xf numFmtId="0" fontId="20" fillId="0" borderId="128" xfId="60" applyFont="1" applyFill="1" applyBorder="1" applyAlignment="1">
      <alignment horizontal="center" vertical="center"/>
      <protection/>
    </xf>
    <xf numFmtId="49" fontId="20" fillId="0" borderId="134" xfId="60" applyNumberFormat="1" applyFont="1" applyFill="1" applyBorder="1" applyAlignment="1">
      <alignment horizontal="center" vertical="center"/>
      <protection/>
    </xf>
    <xf numFmtId="49" fontId="20" fillId="0" borderId="121" xfId="60" applyNumberFormat="1" applyFont="1" applyFill="1" applyBorder="1" applyAlignment="1">
      <alignment horizontal="center" vertical="center"/>
      <protection/>
    </xf>
    <xf numFmtId="49" fontId="20" fillId="0" borderId="137" xfId="60" applyNumberFormat="1" applyFont="1" applyFill="1" applyBorder="1" applyAlignment="1">
      <alignment horizontal="center" vertical="center"/>
      <protection/>
    </xf>
    <xf numFmtId="0" fontId="15" fillId="0" borderId="99" xfId="60" applyFont="1" applyFill="1" applyBorder="1" applyAlignment="1">
      <alignment horizontal="center" vertical="center"/>
      <protection/>
    </xf>
    <xf numFmtId="0" fontId="15" fillId="0" borderId="105" xfId="60" applyFont="1" applyFill="1" applyBorder="1" applyAlignment="1">
      <alignment horizontal="center" vertical="center"/>
      <protection/>
    </xf>
    <xf numFmtId="0" fontId="57" fillId="34" borderId="85" xfId="59" applyFont="1" applyFill="1" applyBorder="1" applyAlignment="1">
      <alignment/>
      <protection/>
    </xf>
    <xf numFmtId="0" fontId="57" fillId="34" borderId="147" xfId="59" applyFont="1" applyFill="1" applyBorder="1" applyAlignment="1">
      <alignment/>
      <protection/>
    </xf>
    <xf numFmtId="3" fontId="15" fillId="0" borderId="139" xfId="59" applyNumberFormat="1" applyFont="1" applyBorder="1" applyAlignment="1">
      <alignment horizontal="right" vertical="center"/>
      <protection/>
    </xf>
    <xf numFmtId="3" fontId="15" fillId="0" borderId="107" xfId="59" applyNumberFormat="1" applyFont="1" applyBorder="1" applyAlignment="1">
      <alignment horizontal="right" vertical="center"/>
      <protection/>
    </xf>
    <xf numFmtId="0" fontId="57" fillId="34" borderId="85" xfId="59" applyFont="1" applyFill="1" applyBorder="1" applyAlignment="1">
      <alignment vertical="center"/>
      <protection/>
    </xf>
    <xf numFmtId="0" fontId="57" fillId="34" borderId="147" xfId="59" applyFont="1" applyFill="1" applyBorder="1" applyAlignment="1">
      <alignment vertical="center"/>
      <protection/>
    </xf>
    <xf numFmtId="0" fontId="22" fillId="0" borderId="83" xfId="59" applyFont="1" applyBorder="1" applyAlignment="1">
      <alignment horizontal="left" wrapText="1"/>
      <protection/>
    </xf>
    <xf numFmtId="0" fontId="22" fillId="0" borderId="52" xfId="59" applyFont="1" applyBorder="1" applyAlignment="1">
      <alignment horizontal="left" wrapText="1"/>
      <protection/>
    </xf>
    <xf numFmtId="0" fontId="22" fillId="33" borderId="53" xfId="59" applyFont="1" applyFill="1" applyBorder="1" applyAlignment="1">
      <alignment horizontal="left" vertical="center" wrapText="1"/>
      <protection/>
    </xf>
    <xf numFmtId="0" fontId="22" fillId="33" borderId="0" xfId="59" applyFont="1" applyFill="1" applyBorder="1" applyAlignment="1">
      <alignment horizontal="left" vertical="center" wrapText="1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52" xfId="59" applyFont="1" applyBorder="1" applyAlignment="1">
      <alignment horizontal="left" vertical="center" wrapText="1"/>
      <protection/>
    </xf>
    <xf numFmtId="0" fontId="22" fillId="0" borderId="53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2" fillId="0" borderId="53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57" fillId="0" borderId="61" xfId="60" applyFont="1" applyFill="1" applyBorder="1" applyAlignment="1">
      <alignment horizontal="center" vertical="center" wrapText="1"/>
      <protection/>
    </xf>
    <xf numFmtId="0" fontId="18" fillId="0" borderId="45" xfId="0" applyFont="1" applyBorder="1" applyAlignment="1">
      <alignment/>
    </xf>
    <xf numFmtId="0" fontId="18" fillId="0" borderId="98" xfId="0" applyFont="1" applyBorder="1" applyAlignment="1">
      <alignment/>
    </xf>
    <xf numFmtId="0" fontId="18" fillId="0" borderId="148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44" xfId="0" applyFont="1" applyBorder="1" applyAlignment="1">
      <alignment/>
    </xf>
    <xf numFmtId="3" fontId="22" fillId="0" borderId="58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/>
      <protection/>
    </xf>
    <xf numFmtId="0" fontId="23" fillId="0" borderId="50" xfId="59" applyFont="1" applyBorder="1" applyAlignment="1">
      <alignment horizontal="right"/>
      <protection/>
    </xf>
    <xf numFmtId="3" fontId="22" fillId="0" borderId="58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0" fontId="57" fillId="0" borderId="62" xfId="59" applyFont="1" applyBorder="1" applyAlignment="1">
      <alignment horizontal="center" vertical="center" wrapText="1"/>
      <protection/>
    </xf>
    <xf numFmtId="0" fontId="18" fillId="0" borderId="45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92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22" fillId="0" borderId="48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57" fillId="0" borderId="62" xfId="59" applyFont="1" applyBorder="1" applyAlignment="1">
      <alignment horizontal="center" vertical="center"/>
      <protection/>
    </xf>
    <xf numFmtId="0" fontId="18" fillId="0" borderId="92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41" xfId="59" applyFont="1" applyBorder="1" applyAlignment="1">
      <alignment horizontal="left" vertical="center"/>
      <protection/>
    </xf>
    <xf numFmtId="0" fontId="22" fillId="0" borderId="99" xfId="59" applyFont="1" applyBorder="1" applyAlignment="1">
      <alignment horizontal="left" vertical="center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52" xfId="59" applyFont="1" applyBorder="1" applyAlignment="1">
      <alignment horizontal="left" vertical="center"/>
      <protection/>
    </xf>
    <xf numFmtId="0" fontId="22" fillId="0" borderId="53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48" xfId="59" applyFont="1" applyBorder="1" applyAlignment="1">
      <alignment horizontal="left" vertical="center" wrapText="1"/>
      <protection/>
    </xf>
    <xf numFmtId="0" fontId="22" fillId="0" borderId="41" xfId="59" applyFont="1" applyBorder="1" applyAlignment="1">
      <alignment horizontal="left" vertical="center" wrapText="1"/>
      <protection/>
    </xf>
    <xf numFmtId="0" fontId="22" fillId="0" borderId="99" xfId="59" applyFont="1" applyBorder="1" applyAlignment="1">
      <alignment horizontal="left" vertical="center" wrapText="1"/>
      <protection/>
    </xf>
    <xf numFmtId="0" fontId="15" fillId="0" borderId="149" xfId="60" applyFont="1" applyFill="1" applyBorder="1" applyAlignment="1">
      <alignment horizontal="center" vertical="center" wrapText="1"/>
      <protection/>
    </xf>
    <xf numFmtId="0" fontId="18" fillId="0" borderId="150" xfId="0" applyFont="1" applyBorder="1" applyAlignment="1">
      <alignment horizontal="center" vertical="center" wrapText="1"/>
    </xf>
    <xf numFmtId="0" fontId="18" fillId="0" borderId="151" xfId="0" applyFont="1" applyBorder="1" applyAlignment="1">
      <alignment horizontal="center" vertical="center" wrapText="1"/>
    </xf>
    <xf numFmtId="3" fontId="15" fillId="0" borderId="152" xfId="59" applyNumberFormat="1" applyFont="1" applyBorder="1" applyAlignment="1">
      <alignment horizontal="right" vertical="center"/>
      <protection/>
    </xf>
    <xf numFmtId="3" fontId="15" fillId="0" borderId="153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/>
      <protection/>
    </xf>
    <xf numFmtId="0" fontId="22" fillId="0" borderId="83" xfId="59" applyFont="1" applyBorder="1" applyAlignment="1">
      <alignment horizontal="left"/>
      <protection/>
    </xf>
    <xf numFmtId="0" fontId="15" fillId="0" borderId="61" xfId="60" applyFont="1" applyFill="1" applyBorder="1" applyAlignment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3" fontId="22" fillId="0" borderId="44" xfId="59" applyNumberFormat="1" applyFont="1" applyBorder="1" applyAlignment="1">
      <alignment horizontal="right" vertical="center"/>
      <protection/>
    </xf>
    <xf numFmtId="3" fontId="57" fillId="0" borderId="74" xfId="59" applyNumberFormat="1" applyFont="1" applyBorder="1" applyAlignment="1">
      <alignment horizontal="right" vertical="center"/>
      <protection/>
    </xf>
    <xf numFmtId="3" fontId="57" fillId="0" borderId="27" xfId="59" applyNumberFormat="1" applyFont="1" applyBorder="1" applyAlignment="1">
      <alignment horizontal="right" vertical="center"/>
      <protection/>
    </xf>
    <xf numFmtId="3" fontId="57" fillId="0" borderId="77" xfId="59" applyNumberFormat="1" applyFont="1" applyBorder="1" applyAlignment="1">
      <alignment horizontal="right" vertic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3" fontId="15" fillId="0" borderId="53" xfId="59" applyNumberFormat="1" applyFont="1" applyBorder="1" applyAlignment="1">
      <alignment horizontal="right" vertical="center"/>
      <protection/>
    </xf>
    <xf numFmtId="3" fontId="15" fillId="0" borderId="148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 wrapText="1"/>
      <protection/>
    </xf>
    <xf numFmtId="0" fontId="57" fillId="0" borderId="76" xfId="59" applyFont="1" applyBorder="1" applyAlignment="1">
      <alignment/>
      <protection/>
    </xf>
    <xf numFmtId="0" fontId="57" fillId="0" borderId="124" xfId="59" applyFont="1" applyBorder="1" applyAlignment="1">
      <alignment/>
      <protection/>
    </xf>
    <xf numFmtId="0" fontId="22" fillId="0" borderId="48" xfId="59" applyFont="1" applyBorder="1" applyAlignment="1">
      <alignment horizontal="left" vertical="center"/>
      <protection/>
    </xf>
    <xf numFmtId="0" fontId="19" fillId="0" borderId="0" xfId="59" applyFont="1" applyAlignment="1">
      <alignment horizontal="center"/>
      <protection/>
    </xf>
    <xf numFmtId="0" fontId="18" fillId="0" borderId="0" xfId="0" applyFont="1" applyAlignment="1">
      <alignment/>
    </xf>
    <xf numFmtId="3" fontId="15" fillId="0" borderId="139" xfId="59" applyNumberFormat="1" applyFont="1" applyBorder="1" applyAlignment="1">
      <alignment horizontal="center" vertical="center"/>
      <protection/>
    </xf>
    <xf numFmtId="3" fontId="15" fillId="0" borderId="107" xfId="59" applyNumberFormat="1" applyFont="1" applyBorder="1" applyAlignment="1">
      <alignment horizontal="center" vertical="center"/>
      <protection/>
    </xf>
    <xf numFmtId="0" fontId="18" fillId="0" borderId="0" xfId="59" applyFont="1" applyAlignment="1">
      <alignment horizontal="center"/>
      <protection/>
    </xf>
    <xf numFmtId="0" fontId="15" fillId="34" borderId="85" xfId="59" applyFont="1" applyFill="1" applyBorder="1" applyAlignment="1">
      <alignment vertical="center"/>
      <protection/>
    </xf>
    <xf numFmtId="0" fontId="15" fillId="34" borderId="85" xfId="0" applyFont="1" applyFill="1" applyBorder="1" applyAlignment="1">
      <alignment vertical="center"/>
    </xf>
    <xf numFmtId="0" fontId="15" fillId="34" borderId="147" xfId="0" applyFont="1" applyFill="1" applyBorder="1" applyAlignment="1">
      <alignment vertical="center"/>
    </xf>
    <xf numFmtId="3" fontId="19" fillId="0" borderId="74" xfId="59" applyNumberFormat="1" applyFont="1" applyBorder="1" applyAlignment="1">
      <alignment horizontal="right" vertical="center"/>
      <protection/>
    </xf>
    <xf numFmtId="3" fontId="19" fillId="0" borderId="27" xfId="59" applyNumberFormat="1" applyFont="1" applyBorder="1" applyAlignment="1">
      <alignment horizontal="right" vertical="center"/>
      <protection/>
    </xf>
    <xf numFmtId="0" fontId="43" fillId="0" borderId="45" xfId="59" applyFont="1" applyBorder="1" applyAlignment="1">
      <alignment horizontal="center"/>
      <protection/>
    </xf>
    <xf numFmtId="0" fontId="18" fillId="0" borderId="45" xfId="0" applyFont="1" applyBorder="1" applyAlignment="1">
      <alignment horizontal="center"/>
    </xf>
    <xf numFmtId="0" fontId="22" fillId="0" borderId="48" xfId="59" applyFont="1" applyBorder="1" applyAlignment="1">
      <alignment horizontal="left" wrapText="1"/>
      <protection/>
    </xf>
    <xf numFmtId="0" fontId="15" fillId="0" borderId="76" xfId="59" applyFont="1" applyBorder="1" applyAlignment="1">
      <alignment/>
      <protection/>
    </xf>
    <xf numFmtId="0" fontId="15" fillId="0" borderId="76" xfId="0" applyFont="1" applyBorder="1" applyAlignment="1">
      <alignment/>
    </xf>
    <xf numFmtId="0" fontId="15" fillId="0" borderId="124" xfId="0" applyFont="1" applyBorder="1" applyAlignment="1">
      <alignment/>
    </xf>
    <xf numFmtId="3" fontId="19" fillId="0" borderId="55" xfId="59" applyNumberFormat="1" applyFont="1" applyBorder="1" applyAlignment="1">
      <alignment horizontal="right" vertical="center"/>
      <protection/>
    </xf>
    <xf numFmtId="3" fontId="19" fillId="0" borderId="51" xfId="59" applyNumberFormat="1" applyFont="1" applyBorder="1" applyAlignment="1">
      <alignment horizontal="right" vertical="center"/>
      <protection/>
    </xf>
    <xf numFmtId="0" fontId="22" fillId="0" borderId="148" xfId="59" applyFont="1" applyBorder="1" applyAlignment="1">
      <alignment horizontal="left" vertical="center" wrapText="1"/>
      <protection/>
    </xf>
    <xf numFmtId="0" fontId="22" fillId="0" borderId="28" xfId="59" applyFont="1" applyBorder="1" applyAlignment="1">
      <alignment horizontal="left" vertical="center" wrapText="1"/>
      <protection/>
    </xf>
    <xf numFmtId="3" fontId="15" fillId="0" borderId="145" xfId="59" applyNumberFormat="1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/>
      <protection/>
    </xf>
    <xf numFmtId="0" fontId="18" fillId="0" borderId="0" xfId="0" applyFont="1" applyBorder="1" applyAlignment="1">
      <alignment horizontal="right"/>
    </xf>
    <xf numFmtId="0" fontId="18" fillId="0" borderId="50" xfId="0" applyFont="1" applyBorder="1" applyAlignment="1">
      <alignment horizontal="right"/>
    </xf>
    <xf numFmtId="0" fontId="57" fillId="34" borderId="75" xfId="59" applyFont="1" applyFill="1" applyBorder="1" applyAlignment="1">
      <alignment vertical="center" wrapText="1"/>
      <protection/>
    </xf>
    <xf numFmtId="0" fontId="14" fillId="34" borderId="76" xfId="0" applyFont="1" applyFill="1" applyBorder="1" applyAlignment="1">
      <alignment vertical="center" wrapText="1"/>
    </xf>
    <xf numFmtId="0" fontId="14" fillId="34" borderId="106" xfId="0" applyFont="1" applyFill="1" applyBorder="1" applyAlignment="1">
      <alignment vertical="center" wrapText="1"/>
    </xf>
    <xf numFmtId="0" fontId="22" fillId="0" borderId="54" xfId="59" applyFont="1" applyBorder="1" applyAlignment="1">
      <alignment horizontal="left" vertical="center" wrapText="1"/>
      <protection/>
    </xf>
    <xf numFmtId="0" fontId="43" fillId="0" borderId="154" xfId="59" applyFont="1" applyBorder="1" applyAlignment="1">
      <alignment horizontal="center"/>
      <protection/>
    </xf>
    <xf numFmtId="0" fontId="18" fillId="0" borderId="73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23" fillId="0" borderId="54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49" xfId="59" applyFont="1" applyBorder="1" applyAlignment="1">
      <alignment horizontal="right" vertical="center"/>
      <protection/>
    </xf>
    <xf numFmtId="0" fontId="23" fillId="0" borderId="48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 vertical="center"/>
      <protection/>
    </xf>
    <xf numFmtId="0" fontId="15" fillId="0" borderId="67" xfId="60" applyFont="1" applyFill="1" applyBorder="1" applyAlignment="1">
      <alignment horizontal="center" vertical="center" wrapText="1"/>
      <protection/>
    </xf>
    <xf numFmtId="0" fontId="18" fillId="0" borderId="64" xfId="0" applyFont="1" applyBorder="1" applyAlignment="1">
      <alignment/>
    </xf>
    <xf numFmtId="0" fontId="15" fillId="34" borderId="85" xfId="59" applyFont="1" applyFill="1" applyBorder="1" applyAlignment="1">
      <alignment/>
      <protection/>
    </xf>
    <xf numFmtId="0" fontId="15" fillId="34" borderId="85" xfId="0" applyFont="1" applyFill="1" applyBorder="1" applyAlignment="1">
      <alignment/>
    </xf>
    <xf numFmtId="0" fontId="15" fillId="34" borderId="147" xfId="0" applyFont="1" applyFill="1" applyBorder="1" applyAlignment="1">
      <alignment/>
    </xf>
    <xf numFmtId="0" fontId="57" fillId="0" borderId="45" xfId="59" applyFont="1" applyBorder="1" applyAlignment="1">
      <alignment horizontal="center" vertical="center" wrapText="1"/>
      <protection/>
    </xf>
    <xf numFmtId="0" fontId="57" fillId="0" borderId="92" xfId="59" applyFont="1" applyBorder="1" applyAlignment="1">
      <alignment horizontal="center" vertical="center" wrapText="1"/>
      <protection/>
    </xf>
    <xf numFmtId="0" fontId="57" fillId="0" borderId="28" xfId="59" applyFont="1" applyBorder="1" applyAlignment="1">
      <alignment horizontal="center" vertical="center" wrapText="1"/>
      <protection/>
    </xf>
    <xf numFmtId="0" fontId="15" fillId="34" borderId="72" xfId="59" applyFont="1" applyFill="1" applyBorder="1" applyAlignment="1">
      <alignment horizontal="right" vertical="center" wrapText="1"/>
      <protection/>
    </xf>
    <xf numFmtId="0" fontId="18" fillId="34" borderId="85" xfId="0" applyFont="1" applyFill="1" applyBorder="1" applyAlignment="1">
      <alignment horizontal="right" vertical="center" wrapText="1"/>
    </xf>
    <xf numFmtId="0" fontId="18" fillId="34" borderId="155" xfId="0" applyFont="1" applyFill="1" applyBorder="1" applyAlignment="1">
      <alignment horizontal="right" vertical="center" wrapText="1"/>
    </xf>
    <xf numFmtId="0" fontId="57" fillId="0" borderId="45" xfId="59" applyFont="1" applyBorder="1" applyAlignment="1">
      <alignment horizontal="center" vertical="center"/>
      <protection/>
    </xf>
    <xf numFmtId="0" fontId="57" fillId="0" borderId="98" xfId="59" applyFont="1" applyBorder="1" applyAlignment="1">
      <alignment horizontal="center" vertical="center"/>
      <protection/>
    </xf>
    <xf numFmtId="0" fontId="57" fillId="0" borderId="92" xfId="59" applyFont="1" applyBorder="1" applyAlignment="1">
      <alignment horizontal="center" vertical="center"/>
      <protection/>
    </xf>
    <xf numFmtId="0" fontId="57" fillId="0" borderId="28" xfId="59" applyFont="1" applyBorder="1" applyAlignment="1">
      <alignment horizontal="center" vertical="center"/>
      <protection/>
    </xf>
    <xf numFmtId="0" fontId="57" fillId="0" borderId="44" xfId="59" applyFont="1" applyBorder="1" applyAlignment="1">
      <alignment horizontal="center" vertical="center"/>
      <protection/>
    </xf>
    <xf numFmtId="0" fontId="15" fillId="34" borderId="72" xfId="59" applyFont="1" applyFill="1" applyBorder="1" applyAlignment="1">
      <alignment horizontal="right"/>
      <protection/>
    </xf>
    <xf numFmtId="0" fontId="18" fillId="34" borderId="85" xfId="0" applyFont="1" applyFill="1" applyBorder="1" applyAlignment="1">
      <alignment horizontal="right"/>
    </xf>
    <xf numFmtId="0" fontId="18" fillId="34" borderId="155" xfId="0" applyFont="1" applyFill="1" applyBorder="1" applyAlignment="1">
      <alignment horizontal="right"/>
    </xf>
    <xf numFmtId="0" fontId="15" fillId="34" borderId="72" xfId="59" applyFont="1" applyFill="1" applyBorder="1" applyAlignment="1">
      <alignment horizontal="right" vertical="center"/>
      <protection/>
    </xf>
    <xf numFmtId="0" fontId="18" fillId="34" borderId="85" xfId="0" applyFont="1" applyFill="1" applyBorder="1" applyAlignment="1">
      <alignment horizontal="right" vertical="center"/>
    </xf>
    <xf numFmtId="0" fontId="18" fillId="34" borderId="155" xfId="0" applyFont="1" applyFill="1" applyBorder="1" applyAlignment="1">
      <alignment horizontal="right" vertical="center"/>
    </xf>
    <xf numFmtId="0" fontId="22" fillId="0" borderId="54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48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57" fillId="0" borderId="45" xfId="60" applyFont="1" applyFill="1" applyBorder="1" applyAlignment="1">
      <alignment horizontal="center" vertical="center" wrapText="1"/>
      <protection/>
    </xf>
    <xf numFmtId="0" fontId="57" fillId="0" borderId="98" xfId="60" applyFont="1" applyFill="1" applyBorder="1" applyAlignment="1">
      <alignment horizontal="center" vertical="center" wrapText="1"/>
      <protection/>
    </xf>
    <xf numFmtId="0" fontId="57" fillId="0" borderId="148" xfId="60" applyFont="1" applyFill="1" applyBorder="1" applyAlignment="1">
      <alignment horizontal="center" vertical="center" wrapText="1"/>
      <protection/>
    </xf>
    <xf numFmtId="0" fontId="57" fillId="0" borderId="28" xfId="60" applyFont="1" applyFill="1" applyBorder="1" applyAlignment="1">
      <alignment horizontal="center" vertical="center" wrapText="1"/>
      <protection/>
    </xf>
    <xf numFmtId="0" fontId="57" fillId="0" borderId="44" xfId="60" applyFont="1" applyFill="1" applyBorder="1" applyAlignment="1">
      <alignment horizontal="center" vertical="center" wrapText="1"/>
      <protection/>
    </xf>
    <xf numFmtId="0" fontId="18" fillId="0" borderId="156" xfId="0" applyFont="1" applyBorder="1" applyAlignment="1">
      <alignment/>
    </xf>
    <xf numFmtId="3" fontId="15" fillId="0" borderId="157" xfId="59" applyNumberFormat="1" applyFont="1" applyBorder="1" applyAlignment="1">
      <alignment horizontal="right" vertical="center"/>
      <protection/>
    </xf>
    <xf numFmtId="0" fontId="22" fillId="0" borderId="148" xfId="59" applyFont="1" applyBorder="1" applyAlignment="1">
      <alignment horizontal="left" wrapText="1"/>
      <protection/>
    </xf>
    <xf numFmtId="0" fontId="22" fillId="0" borderId="28" xfId="59" applyFont="1" applyBorder="1" applyAlignment="1">
      <alignment horizontal="left" wrapText="1"/>
      <protection/>
    </xf>
    <xf numFmtId="0" fontId="16" fillId="0" borderId="0" xfId="0" applyFont="1" applyAlignment="1">
      <alignment/>
    </xf>
    <xf numFmtId="0" fontId="15" fillId="0" borderId="62" xfId="60" applyFont="1" applyFill="1" applyBorder="1" applyAlignment="1">
      <alignment horizontal="center" vertical="center" wrapText="1"/>
      <protection/>
    </xf>
    <xf numFmtId="0" fontId="23" fillId="0" borderId="76" xfId="59" applyFont="1" applyBorder="1" applyAlignment="1">
      <alignment horizontal="right" vertical="center"/>
      <protection/>
    </xf>
    <xf numFmtId="0" fontId="23" fillId="0" borderId="106" xfId="59" applyFont="1" applyBorder="1" applyAlignment="1">
      <alignment horizontal="right" vertical="center"/>
      <protection/>
    </xf>
    <xf numFmtId="0" fontId="22" fillId="0" borderId="53" xfId="59" applyFont="1" applyBorder="1" applyAlignment="1">
      <alignment horizontal="left"/>
      <protection/>
    </xf>
    <xf numFmtId="0" fontId="22" fillId="0" borderId="61" xfId="59" applyFont="1" applyBorder="1" applyAlignment="1">
      <alignment horizontal="left" vertical="center"/>
      <protection/>
    </xf>
    <xf numFmtId="0" fontId="22" fillId="0" borderId="45" xfId="59" applyFont="1" applyBorder="1" applyAlignment="1">
      <alignment horizontal="left" vertical="center"/>
      <protection/>
    </xf>
    <xf numFmtId="0" fontId="18" fillId="0" borderId="45" xfId="59" applyFont="1" applyBorder="1" applyAlignment="1">
      <alignment horizontal="center" vertical="center"/>
      <protection/>
    </xf>
    <xf numFmtId="0" fontId="18" fillId="0" borderId="98" xfId="59" applyFont="1" applyBorder="1" applyAlignment="1">
      <alignment horizontal="center" vertical="center"/>
      <protection/>
    </xf>
    <xf numFmtId="0" fontId="18" fillId="0" borderId="92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center" vertical="center"/>
      <protection/>
    </xf>
    <xf numFmtId="0" fontId="18" fillId="0" borderId="44" xfId="59" applyFont="1" applyBorder="1" applyAlignment="1">
      <alignment horizontal="center" vertical="center"/>
      <protection/>
    </xf>
    <xf numFmtId="0" fontId="42" fillId="0" borderId="0" xfId="60" applyFont="1" applyFill="1" applyAlignment="1">
      <alignment horizontal="center" vertical="center" wrapText="1"/>
      <protection/>
    </xf>
    <xf numFmtId="3" fontId="15" fillId="0" borderId="139" xfId="59" applyNumberFormat="1" applyFont="1" applyBorder="1" applyAlignment="1">
      <alignment horizontal="right" vertical="center" wrapText="1"/>
      <protection/>
    </xf>
    <xf numFmtId="3" fontId="15" fillId="0" borderId="107" xfId="59" applyNumberFormat="1" applyFont="1" applyBorder="1" applyAlignment="1">
      <alignment horizontal="right" vertical="center" wrapText="1"/>
      <protection/>
    </xf>
    <xf numFmtId="3" fontId="15" fillId="0" borderId="158" xfId="59" applyNumberFormat="1" applyFont="1" applyBorder="1" applyAlignment="1">
      <alignment horizontal="right" vertical="center"/>
      <protection/>
    </xf>
    <xf numFmtId="3" fontId="15" fillId="0" borderId="78" xfId="59" applyNumberFormat="1" applyFont="1" applyBorder="1" applyAlignment="1">
      <alignment horizontal="right" vertical="center"/>
      <protection/>
    </xf>
    <xf numFmtId="3" fontId="15" fillId="0" borderId="61" xfId="59" applyNumberFormat="1" applyFont="1" applyBorder="1" applyAlignment="1">
      <alignment horizontal="right" vertical="center"/>
      <protection/>
    </xf>
    <xf numFmtId="0" fontId="58" fillId="0" borderId="48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0" fontId="22" fillId="0" borderId="79" xfId="59" applyFont="1" applyBorder="1" applyAlignment="1">
      <alignment horizontal="left" vertical="center"/>
      <protection/>
    </xf>
    <xf numFmtId="0" fontId="22" fillId="0" borderId="76" xfId="59" applyFont="1" applyBorder="1" applyAlignment="1">
      <alignment horizontal="left" vertical="center"/>
      <protection/>
    </xf>
    <xf numFmtId="0" fontId="22" fillId="0" borderId="62" xfId="59" applyFont="1" applyBorder="1" applyAlignment="1">
      <alignment horizontal="left"/>
      <protection/>
    </xf>
    <xf numFmtId="0" fontId="22" fillId="0" borderId="45" xfId="59" applyFont="1" applyBorder="1" applyAlignment="1">
      <alignment horizontal="left"/>
      <protection/>
    </xf>
    <xf numFmtId="0" fontId="58" fillId="0" borderId="75" xfId="59" applyFont="1" applyBorder="1" applyAlignment="1">
      <alignment horizontal="left" vertical="center"/>
      <protection/>
    </xf>
    <xf numFmtId="0" fontId="58" fillId="0" borderId="76" xfId="59" applyFont="1" applyBorder="1" applyAlignment="1">
      <alignment horizontal="left" vertical="center"/>
      <protection/>
    </xf>
    <xf numFmtId="0" fontId="58" fillId="0" borderId="53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0" fontId="58" fillId="0" borderId="53" xfId="59" applyFont="1" applyBorder="1" applyAlignment="1">
      <alignment horizontal="left"/>
      <protection/>
    </xf>
    <xf numFmtId="0" fontId="57" fillId="0" borderId="64" xfId="60" applyFont="1" applyFill="1" applyBorder="1" applyAlignment="1">
      <alignment horizontal="center" vertical="center" wrapText="1"/>
      <protection/>
    </xf>
    <xf numFmtId="0" fontId="57" fillId="0" borderId="156" xfId="60" applyFont="1" applyFill="1" applyBorder="1" applyAlignment="1">
      <alignment horizontal="center" vertical="center" wrapText="1"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7" fillId="0" borderId="51" xfId="59" applyNumberFormat="1" applyFont="1" applyBorder="1" applyAlignment="1">
      <alignment horizontal="right" vertical="center"/>
      <protection/>
    </xf>
    <xf numFmtId="3" fontId="57" fillId="0" borderId="65" xfId="59" applyNumberFormat="1" applyFont="1" applyBorder="1" applyAlignment="1">
      <alignment horizontal="right" vertical="center"/>
      <protection/>
    </xf>
    <xf numFmtId="3" fontId="57" fillId="0" borderId="126" xfId="59" applyNumberFormat="1" applyFont="1" applyBorder="1" applyAlignment="1">
      <alignment horizontal="right" vertical="center"/>
      <protection/>
    </xf>
    <xf numFmtId="3" fontId="57" fillId="0" borderId="68" xfId="59" applyNumberFormat="1" applyFont="1" applyBorder="1" applyAlignment="1">
      <alignment horizontal="right" vertical="center"/>
      <protection/>
    </xf>
    <xf numFmtId="3" fontId="57" fillId="0" borderId="159" xfId="59" applyNumberFormat="1" applyFont="1" applyBorder="1" applyAlignment="1">
      <alignment horizontal="right" vertical="center"/>
      <protection/>
    </xf>
    <xf numFmtId="0" fontId="22" fillId="0" borderId="48" xfId="59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38" fillId="0" borderId="0" xfId="0" applyFont="1" applyAlignment="1">
      <alignment/>
    </xf>
    <xf numFmtId="0" fontId="7" fillId="0" borderId="101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0" xfId="62" applyFont="1" applyBorder="1" applyAlignment="1">
      <alignment horizontal="center"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15" fillId="0" borderId="31" xfId="62" applyFont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2" fillId="32" borderId="21" xfId="61" applyFont="1" applyFill="1" applyBorder="1" applyAlignment="1">
      <alignment horizontal="right"/>
      <protection/>
    </xf>
    <xf numFmtId="0" fontId="2" fillId="32" borderId="14" xfId="61" applyFont="1" applyFill="1" applyBorder="1" applyAlignment="1">
      <alignment horizontal="right"/>
      <protection/>
    </xf>
    <xf numFmtId="0" fontId="36" fillId="32" borderId="21" xfId="61" applyFont="1" applyFill="1" applyBorder="1" applyAlignment="1">
      <alignment horizontal="left"/>
      <protection/>
    </xf>
    <xf numFmtId="0" fontId="36" fillId="32" borderId="14" xfId="61" applyFont="1" applyFill="1" applyBorder="1" applyAlignment="1">
      <alignment horizontal="left"/>
      <protection/>
    </xf>
    <xf numFmtId="0" fontId="1" fillId="0" borderId="139" xfId="61" applyFont="1" applyBorder="1" applyAlignment="1">
      <alignment horizontal="center" vertical="center" wrapText="1"/>
      <protection/>
    </xf>
    <xf numFmtId="0" fontId="13" fillId="0" borderId="25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0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142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 wrapText="1"/>
      <protection/>
    </xf>
    <xf numFmtId="0" fontId="1" fillId="0" borderId="119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5" borderId="139" xfId="0" applyNumberFormat="1" applyFill="1" applyBorder="1" applyAlignment="1">
      <alignment horizontal="center"/>
    </xf>
    <xf numFmtId="3" fontId="0" fillId="35" borderId="107" xfId="0" applyNumberFormat="1" applyFill="1" applyBorder="1" applyAlignment="1">
      <alignment horizontal="center"/>
    </xf>
    <xf numFmtId="3" fontId="0" fillId="35" borderId="78" xfId="0" applyNumberFormat="1" applyFill="1" applyBorder="1" applyAlignment="1">
      <alignment horizontal="center"/>
    </xf>
    <xf numFmtId="0" fontId="0" fillId="33" borderId="87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160" xfId="0" applyFill="1" applyBorder="1" applyAlignment="1">
      <alignment horizontal="center"/>
    </xf>
    <xf numFmtId="0" fontId="65" fillId="0" borderId="161" xfId="0" applyFont="1" applyBorder="1" applyAlignment="1">
      <alignment horizontal="left" vertical="center"/>
    </xf>
    <xf numFmtId="0" fontId="65" fillId="0" borderId="162" xfId="0" applyFont="1" applyBorder="1" applyAlignment="1">
      <alignment horizontal="left" vertical="center"/>
    </xf>
    <xf numFmtId="0" fontId="65" fillId="0" borderId="163" xfId="0" applyFont="1" applyBorder="1" applyAlignment="1">
      <alignment horizontal="left" vertical="center"/>
    </xf>
    <xf numFmtId="3" fontId="0" fillId="35" borderId="145" xfId="0" applyNumberFormat="1" applyFill="1" applyBorder="1" applyAlignment="1">
      <alignment horizontal="center"/>
    </xf>
    <xf numFmtId="3" fontId="0" fillId="35" borderId="58" xfId="0" applyNumberFormat="1" applyFill="1" applyBorder="1" applyAlignment="1">
      <alignment horizontal="center"/>
    </xf>
    <xf numFmtId="3" fontId="0" fillId="35" borderId="57" xfId="0" applyNumberForma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3" xfId="0" applyBorder="1" applyAlignment="1">
      <alignment horizontal="center"/>
    </xf>
    <xf numFmtId="3" fontId="21" fillId="33" borderId="154" xfId="0" applyNumberFormat="1" applyFont="1" applyFill="1" applyBorder="1" applyAlignment="1">
      <alignment horizontal="center"/>
    </xf>
    <xf numFmtId="3" fontId="21" fillId="33" borderId="73" xfId="0" applyNumberFormat="1" applyFont="1" applyFill="1" applyBorder="1" applyAlignment="1">
      <alignment horizontal="center"/>
    </xf>
    <xf numFmtId="3" fontId="21" fillId="33" borderId="89" xfId="0" applyNumberFormat="1" applyFont="1" applyFill="1" applyBorder="1" applyAlignment="1">
      <alignment horizontal="center"/>
    </xf>
    <xf numFmtId="0" fontId="65" fillId="33" borderId="164" xfId="0" applyFont="1" applyFill="1" applyBorder="1" applyAlignment="1">
      <alignment horizontal="left" vertical="center"/>
    </xf>
    <xf numFmtId="0" fontId="65" fillId="33" borderId="150" xfId="0" applyFont="1" applyFill="1" applyBorder="1" applyAlignment="1">
      <alignment horizontal="left" vertical="center"/>
    </xf>
    <xf numFmtId="0" fontId="65" fillId="33" borderId="136" xfId="0" applyFont="1" applyFill="1" applyBorder="1" applyAlignment="1">
      <alignment horizontal="left" vertical="center"/>
    </xf>
    <xf numFmtId="0" fontId="64" fillId="40" borderId="87" xfId="0" applyFont="1" applyFill="1" applyBorder="1" applyAlignment="1">
      <alignment horizontal="center" vertical="center"/>
    </xf>
    <xf numFmtId="0" fontId="64" fillId="40" borderId="73" xfId="0" applyFont="1" applyFill="1" applyBorder="1" applyAlignment="1">
      <alignment horizontal="center" vertical="center"/>
    </xf>
    <xf numFmtId="0" fontId="64" fillId="40" borderId="160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65" fillId="0" borderId="161" xfId="0" applyFont="1" applyBorder="1" applyAlignment="1">
      <alignment horizontal="left" vertical="center" wrapText="1"/>
    </xf>
    <xf numFmtId="0" fontId="65" fillId="0" borderId="162" xfId="0" applyFont="1" applyBorder="1" applyAlignment="1">
      <alignment horizontal="left" vertical="center" wrapText="1"/>
    </xf>
    <xf numFmtId="0" fontId="65" fillId="0" borderId="163" xfId="0" applyFont="1" applyBorder="1" applyAlignment="1">
      <alignment horizontal="left" vertical="center" wrapText="1"/>
    </xf>
    <xf numFmtId="0" fontId="65" fillId="0" borderId="164" xfId="0" applyFont="1" applyBorder="1" applyAlignment="1">
      <alignment horizontal="left" vertical="center" wrapText="1"/>
    </xf>
    <xf numFmtId="0" fontId="65" fillId="0" borderId="150" xfId="0" applyFont="1" applyBorder="1" applyAlignment="1">
      <alignment horizontal="left" vertical="center" wrapText="1"/>
    </xf>
    <xf numFmtId="0" fontId="21" fillId="0" borderId="87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16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19" fillId="0" borderId="139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62" fillId="0" borderId="83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122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142" xfId="0" applyFont="1" applyBorder="1" applyAlignment="1">
      <alignment horizontal="center" vertical="center" wrapText="1"/>
    </xf>
    <xf numFmtId="0" fontId="63" fillId="0" borderId="139" xfId="0" applyFont="1" applyBorder="1" applyAlignment="1">
      <alignment horizontal="center" vertical="center" wrapText="1"/>
    </xf>
    <xf numFmtId="0" fontId="63" fillId="0" borderId="10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58" xfId="0" applyBorder="1" applyAlignment="1">
      <alignment horizontal="center"/>
    </xf>
    <xf numFmtId="0" fontId="65" fillId="33" borderId="161" xfId="0" applyFont="1" applyFill="1" applyBorder="1" applyAlignment="1">
      <alignment horizontal="left" vertical="center" wrapText="1"/>
    </xf>
    <xf numFmtId="0" fontId="65" fillId="33" borderId="162" xfId="0" applyFont="1" applyFill="1" applyBorder="1" applyAlignment="1">
      <alignment horizontal="left" vertical="center" wrapText="1"/>
    </xf>
    <xf numFmtId="0" fontId="65" fillId="33" borderId="163" xfId="0" applyFont="1" applyFill="1" applyBorder="1" applyAlignment="1">
      <alignment horizontal="left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0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134" customWidth="1"/>
    <col min="2" max="3" width="9.125" style="134" customWidth="1"/>
    <col min="4" max="4" width="5.875" style="134" customWidth="1"/>
    <col min="5" max="5" width="49.875" style="134" customWidth="1"/>
    <col min="6" max="6" width="16.125" style="134" bestFit="1" customWidth="1"/>
    <col min="7" max="7" width="13.625" style="134" customWidth="1"/>
    <col min="8" max="9" width="15.125" style="134" customWidth="1"/>
    <col min="10" max="10" width="15.875" style="134" bestFit="1" customWidth="1"/>
    <col min="11" max="11" width="9.125" style="269" customWidth="1"/>
    <col min="12" max="16384" width="9.125" style="134" customWidth="1"/>
  </cols>
  <sheetData>
    <row r="1" spans="1:10" ht="12.75">
      <c r="A1" s="80"/>
      <c r="B1" s="161"/>
      <c r="C1" s="161"/>
      <c r="D1" s="161"/>
      <c r="E1" s="162"/>
      <c r="F1" s="1004" t="s">
        <v>1249</v>
      </c>
      <c r="G1" s="1005"/>
      <c r="H1" s="1005"/>
      <c r="I1" s="1005"/>
      <c r="J1" s="1005"/>
    </row>
    <row r="2" spans="1:10" ht="15.75">
      <c r="A2" s="1009" t="s">
        <v>770</v>
      </c>
      <c r="B2" s="1009"/>
      <c r="C2" s="1009"/>
      <c r="D2" s="1009"/>
      <c r="E2" s="1009"/>
      <c r="F2" s="1009"/>
      <c r="G2" s="1009"/>
      <c r="H2" s="1009"/>
      <c r="I2" s="1009"/>
      <c r="J2" s="1009"/>
    </row>
    <row r="3" spans="1:10" ht="12.75">
      <c r="A3" s="80"/>
      <c r="B3" s="80"/>
      <c r="C3" s="80"/>
      <c r="D3" s="80"/>
      <c r="E3" s="80"/>
      <c r="F3" s="161"/>
      <c r="G3" s="161"/>
      <c r="H3" s="161"/>
      <c r="I3" s="161"/>
      <c r="J3" s="161"/>
    </row>
    <row r="4" spans="1:10" ht="12.75">
      <c r="A4" s="80"/>
      <c r="B4" s="161"/>
      <c r="C4" s="161"/>
      <c r="D4" s="161"/>
      <c r="E4" s="161"/>
      <c r="F4" s="161"/>
      <c r="G4" s="161"/>
      <c r="H4" s="161"/>
      <c r="I4" s="161"/>
      <c r="J4" s="162" t="s">
        <v>629</v>
      </c>
    </row>
    <row r="5" spans="1:10" ht="60">
      <c r="A5" s="995" t="s">
        <v>0</v>
      </c>
      <c r="B5" s="996"/>
      <c r="C5" s="996"/>
      <c r="D5" s="996"/>
      <c r="E5" s="997"/>
      <c r="F5" s="141" t="s">
        <v>89</v>
      </c>
      <c r="G5" s="141" t="s">
        <v>367</v>
      </c>
      <c r="H5" s="141" t="s">
        <v>769</v>
      </c>
      <c r="I5" s="141" t="s">
        <v>851</v>
      </c>
      <c r="J5" s="141" t="s">
        <v>361</v>
      </c>
    </row>
    <row r="6" spans="1:11" s="145" customFormat="1" ht="15">
      <c r="A6" s="163" t="s">
        <v>420</v>
      </c>
      <c r="B6" s="1006" t="s">
        <v>421</v>
      </c>
      <c r="C6" s="1007"/>
      <c r="D6" s="1007"/>
      <c r="E6" s="1008"/>
      <c r="F6" s="164" t="s">
        <v>422</v>
      </c>
      <c r="G6" s="164" t="s">
        <v>423</v>
      </c>
      <c r="H6" s="164" t="s">
        <v>424</v>
      </c>
      <c r="I6" s="164" t="s">
        <v>425</v>
      </c>
      <c r="J6" s="164" t="s">
        <v>427</v>
      </c>
      <c r="K6" s="569"/>
    </row>
    <row r="7" spans="1:11" s="167" customFormat="1" ht="12.75">
      <c r="A7" s="165" t="s">
        <v>219</v>
      </c>
      <c r="B7" s="998" t="s">
        <v>220</v>
      </c>
      <c r="C7" s="998"/>
      <c r="D7" s="998"/>
      <c r="E7" s="998"/>
      <c r="F7" s="166">
        <f>SUM(F8+F15+F16+F17+F28+F29)</f>
        <v>952797185</v>
      </c>
      <c r="G7" s="166">
        <f>SUM(G8+G15+G16+G17+G28+G29)</f>
        <v>3882312</v>
      </c>
      <c r="H7" s="166">
        <f>SUM(H8+H15+H16+H17+H28+H29)</f>
        <v>44149359</v>
      </c>
      <c r="I7" s="166">
        <f>SUM(I8+I15+I16+I17+I28+I29)</f>
        <v>0</v>
      </c>
      <c r="J7" s="166">
        <f>SUM(F7:I7)</f>
        <v>1000828856</v>
      </c>
      <c r="K7" s="570"/>
    </row>
    <row r="8" spans="1:11" ht="12.75">
      <c r="A8" s="168"/>
      <c r="B8" s="168" t="s">
        <v>221</v>
      </c>
      <c r="C8" s="994" t="s">
        <v>222</v>
      </c>
      <c r="D8" s="994"/>
      <c r="E8" s="994"/>
      <c r="F8" s="169">
        <f>SUM(F9:F14)</f>
        <v>547392416</v>
      </c>
      <c r="G8" s="169">
        <f>SUM(G9:G14)</f>
        <v>0</v>
      </c>
      <c r="H8" s="169">
        <f>SUM(H9:H14)</f>
        <v>0</v>
      </c>
      <c r="I8" s="169">
        <f>SUM(I9:I14)</f>
        <v>0</v>
      </c>
      <c r="J8" s="170">
        <f aca="true" t="shared" si="0" ref="J8:J72">SUM(F8:I8)</f>
        <v>547392416</v>
      </c>
      <c r="K8" s="571"/>
    </row>
    <row r="9" spans="1:11" ht="12.75">
      <c r="A9" s="171"/>
      <c r="B9" s="171"/>
      <c r="C9" s="171" t="s">
        <v>223</v>
      </c>
      <c r="D9" s="171"/>
      <c r="E9" s="171" t="s">
        <v>651</v>
      </c>
      <c r="F9" s="172">
        <f>200053809+140422</f>
        <v>200194231</v>
      </c>
      <c r="G9" s="172">
        <v>0</v>
      </c>
      <c r="H9" s="172">
        <v>0</v>
      </c>
      <c r="I9" s="172">
        <v>0</v>
      </c>
      <c r="J9" s="173">
        <f t="shared" si="0"/>
        <v>200194231</v>
      </c>
      <c r="K9" s="572"/>
    </row>
    <row r="10" spans="1:11" ht="12.75">
      <c r="A10" s="171"/>
      <c r="B10" s="174"/>
      <c r="C10" s="171" t="s">
        <v>224</v>
      </c>
      <c r="D10" s="171"/>
      <c r="E10" s="171" t="s">
        <v>657</v>
      </c>
      <c r="F10" s="172">
        <f>112608900+367584+1341084-824700+1948367</f>
        <v>115441235</v>
      </c>
      <c r="G10" s="172">
        <v>0</v>
      </c>
      <c r="H10" s="172">
        <v>0</v>
      </c>
      <c r="I10" s="172">
        <v>0</v>
      </c>
      <c r="J10" s="173">
        <f t="shared" si="0"/>
        <v>115441235</v>
      </c>
      <c r="K10" s="572"/>
    </row>
    <row r="11" spans="1:11" ht="12.75">
      <c r="A11" s="171"/>
      <c r="B11" s="171"/>
      <c r="C11" s="171" t="s">
        <v>225</v>
      </c>
      <c r="D11" s="171"/>
      <c r="E11" s="171" t="s">
        <v>630</v>
      </c>
      <c r="F11" s="172">
        <f>165550125+9189220+195364-509480-636698+1824296-1798626+172279</f>
        <v>173986480</v>
      </c>
      <c r="G11" s="172">
        <v>0</v>
      </c>
      <c r="H11" s="172">
        <v>0</v>
      </c>
      <c r="I11" s="172">
        <v>0</v>
      </c>
      <c r="J11" s="173">
        <f t="shared" si="0"/>
        <v>173986480</v>
      </c>
      <c r="K11" s="572"/>
    </row>
    <row r="12" spans="1:11" ht="12.75">
      <c r="A12" s="171"/>
      <c r="B12" s="171"/>
      <c r="C12" s="171" t="s">
        <v>226</v>
      </c>
      <c r="D12" s="171"/>
      <c r="E12" s="171" t="s">
        <v>658</v>
      </c>
      <c r="F12" s="172">
        <f>10661310+1004278+95585-239481</f>
        <v>11521692</v>
      </c>
      <c r="G12" s="172">
        <v>0</v>
      </c>
      <c r="H12" s="172">
        <v>0</v>
      </c>
      <c r="I12" s="172">
        <v>0</v>
      </c>
      <c r="J12" s="173">
        <f t="shared" si="0"/>
        <v>11521692</v>
      </c>
      <c r="K12" s="572"/>
    </row>
    <row r="13" spans="1:11" ht="12.75">
      <c r="A13" s="171"/>
      <c r="B13" s="171"/>
      <c r="C13" s="171" t="s">
        <v>227</v>
      </c>
      <c r="D13" s="171"/>
      <c r="E13" s="171" t="s">
        <v>652</v>
      </c>
      <c r="F13" s="172">
        <f>1096532+7265000+30000000-40212+8004000-116754+40212</f>
        <v>46248778</v>
      </c>
      <c r="G13" s="172">
        <v>0</v>
      </c>
      <c r="H13" s="172">
        <v>0</v>
      </c>
      <c r="I13" s="172">
        <v>0</v>
      </c>
      <c r="J13" s="173">
        <f t="shared" si="0"/>
        <v>46248778</v>
      </c>
      <c r="K13" s="572"/>
    </row>
    <row r="14" spans="1:11" ht="12.75">
      <c r="A14" s="175"/>
      <c r="B14" s="175"/>
      <c r="C14" s="171" t="s">
        <v>228</v>
      </c>
      <c r="D14" s="175"/>
      <c r="E14" s="171" t="s">
        <v>546</v>
      </c>
      <c r="F14" s="172">
        <v>0</v>
      </c>
      <c r="G14" s="172">
        <v>0</v>
      </c>
      <c r="H14" s="172">
        <v>0</v>
      </c>
      <c r="I14" s="172">
        <v>0</v>
      </c>
      <c r="J14" s="173">
        <f t="shared" si="0"/>
        <v>0</v>
      </c>
      <c r="K14" s="572"/>
    </row>
    <row r="15" spans="1:11" ht="12.75">
      <c r="A15" s="168"/>
      <c r="B15" s="168" t="s">
        <v>229</v>
      </c>
      <c r="C15" s="994" t="s">
        <v>230</v>
      </c>
      <c r="D15" s="994"/>
      <c r="E15" s="994"/>
      <c r="F15" s="169">
        <v>0</v>
      </c>
      <c r="G15" s="169">
        <v>0</v>
      </c>
      <c r="H15" s="169">
        <v>0</v>
      </c>
      <c r="I15" s="169">
        <v>0</v>
      </c>
      <c r="J15" s="170">
        <f t="shared" si="0"/>
        <v>0</v>
      </c>
      <c r="K15" s="571"/>
    </row>
    <row r="16" spans="1:11" ht="12.75">
      <c r="A16" s="168"/>
      <c r="B16" s="168" t="s">
        <v>231</v>
      </c>
      <c r="C16" s="994" t="s">
        <v>653</v>
      </c>
      <c r="D16" s="994"/>
      <c r="E16" s="994"/>
      <c r="F16" s="169">
        <v>0</v>
      </c>
      <c r="G16" s="169">
        <v>0</v>
      </c>
      <c r="H16" s="169">
        <v>0</v>
      </c>
      <c r="I16" s="169">
        <v>0</v>
      </c>
      <c r="J16" s="170">
        <f t="shared" si="0"/>
        <v>0</v>
      </c>
      <c r="K16" s="571"/>
    </row>
    <row r="17" spans="1:11" ht="12.75">
      <c r="A17" s="168"/>
      <c r="B17" s="168" t="s">
        <v>232</v>
      </c>
      <c r="C17" s="994" t="s">
        <v>654</v>
      </c>
      <c r="D17" s="994"/>
      <c r="E17" s="994"/>
      <c r="F17" s="169">
        <f>SUM(F18:F27)</f>
        <v>0</v>
      </c>
      <c r="G17" s="169">
        <f>SUM(G18:G27)</f>
        <v>0</v>
      </c>
      <c r="H17" s="169">
        <f>SUM(H18:H27)</f>
        <v>0</v>
      </c>
      <c r="I17" s="169">
        <f>SUM(I18:I27)</f>
        <v>0</v>
      </c>
      <c r="J17" s="170">
        <f t="shared" si="0"/>
        <v>0</v>
      </c>
      <c r="K17" s="571"/>
    </row>
    <row r="18" spans="1:11" ht="12.75" hidden="1">
      <c r="A18" s="176"/>
      <c r="B18" s="176"/>
      <c r="C18" s="177" t="s">
        <v>2</v>
      </c>
      <c r="D18" s="177" t="s">
        <v>157</v>
      </c>
      <c r="E18" s="177" t="s">
        <v>158</v>
      </c>
      <c r="F18" s="178">
        <v>0</v>
      </c>
      <c r="G18" s="178">
        <v>0</v>
      </c>
      <c r="H18" s="178">
        <v>0</v>
      </c>
      <c r="I18" s="178">
        <v>0</v>
      </c>
      <c r="J18" s="179">
        <f t="shared" si="0"/>
        <v>0</v>
      </c>
      <c r="K18" s="573"/>
    </row>
    <row r="19" spans="1:11" ht="12.75" hidden="1">
      <c r="A19" s="176"/>
      <c r="B19" s="176"/>
      <c r="C19" s="177"/>
      <c r="D19" s="177" t="s">
        <v>159</v>
      </c>
      <c r="E19" s="177" t="s">
        <v>160</v>
      </c>
      <c r="F19" s="178">
        <v>0</v>
      </c>
      <c r="G19" s="178">
        <v>0</v>
      </c>
      <c r="H19" s="178">
        <v>0</v>
      </c>
      <c r="I19" s="178">
        <v>0</v>
      </c>
      <c r="J19" s="179">
        <f t="shared" si="0"/>
        <v>0</v>
      </c>
      <c r="K19" s="573"/>
    </row>
    <row r="20" spans="1:11" ht="12.75" hidden="1">
      <c r="A20" s="176"/>
      <c r="B20" s="176"/>
      <c r="C20" s="177"/>
      <c r="D20" s="177" t="s">
        <v>161</v>
      </c>
      <c r="E20" s="177" t="s">
        <v>233</v>
      </c>
      <c r="F20" s="178">
        <v>0</v>
      </c>
      <c r="G20" s="178">
        <v>0</v>
      </c>
      <c r="H20" s="178">
        <v>0</v>
      </c>
      <c r="I20" s="178">
        <v>0</v>
      </c>
      <c r="J20" s="179">
        <f t="shared" si="0"/>
        <v>0</v>
      </c>
      <c r="K20" s="573"/>
    </row>
    <row r="21" spans="1:11" ht="12.75" hidden="1">
      <c r="A21" s="176"/>
      <c r="B21" s="176"/>
      <c r="C21" s="177"/>
      <c r="D21" s="177" t="s">
        <v>163</v>
      </c>
      <c r="E21" s="177" t="s">
        <v>164</v>
      </c>
      <c r="F21" s="178">
        <v>0</v>
      </c>
      <c r="G21" s="178">
        <v>0</v>
      </c>
      <c r="H21" s="178">
        <v>0</v>
      </c>
      <c r="I21" s="178">
        <v>0</v>
      </c>
      <c r="J21" s="179">
        <f t="shared" si="0"/>
        <v>0</v>
      </c>
      <c r="K21" s="573"/>
    </row>
    <row r="22" spans="1:11" ht="12.75" hidden="1">
      <c r="A22" s="176"/>
      <c r="B22" s="176"/>
      <c r="C22" s="177"/>
      <c r="D22" s="177" t="s">
        <v>165</v>
      </c>
      <c r="E22" s="177" t="s">
        <v>166</v>
      </c>
      <c r="F22" s="178">
        <v>0</v>
      </c>
      <c r="G22" s="178">
        <v>0</v>
      </c>
      <c r="H22" s="178">
        <v>0</v>
      </c>
      <c r="I22" s="178">
        <v>0</v>
      </c>
      <c r="J22" s="179">
        <f t="shared" si="0"/>
        <v>0</v>
      </c>
      <c r="K22" s="573"/>
    </row>
    <row r="23" spans="1:11" ht="12.75" hidden="1">
      <c r="A23" s="176"/>
      <c r="B23" s="176"/>
      <c r="C23" s="177"/>
      <c r="D23" s="177" t="s">
        <v>167</v>
      </c>
      <c r="E23" s="177" t="s">
        <v>168</v>
      </c>
      <c r="F23" s="178">
        <v>0</v>
      </c>
      <c r="G23" s="178">
        <v>0</v>
      </c>
      <c r="H23" s="178">
        <v>0</v>
      </c>
      <c r="I23" s="178">
        <v>0</v>
      </c>
      <c r="J23" s="179">
        <f t="shared" si="0"/>
        <v>0</v>
      </c>
      <c r="K23" s="573"/>
    </row>
    <row r="24" spans="1:11" ht="12.75" hidden="1">
      <c r="A24" s="176"/>
      <c r="B24" s="176"/>
      <c r="C24" s="177"/>
      <c r="D24" s="177" t="s">
        <v>169</v>
      </c>
      <c r="E24" s="177" t="s">
        <v>170</v>
      </c>
      <c r="F24" s="178">
        <v>0</v>
      </c>
      <c r="G24" s="178">
        <v>0</v>
      </c>
      <c r="H24" s="178">
        <v>0</v>
      </c>
      <c r="I24" s="178">
        <v>0</v>
      </c>
      <c r="J24" s="179">
        <f t="shared" si="0"/>
        <v>0</v>
      </c>
      <c r="K24" s="573"/>
    </row>
    <row r="25" spans="1:11" ht="12.75" hidden="1">
      <c r="A25" s="176"/>
      <c r="B25" s="176"/>
      <c r="C25" s="177"/>
      <c r="D25" s="177" t="s">
        <v>171</v>
      </c>
      <c r="E25" s="177" t="s">
        <v>172</v>
      </c>
      <c r="F25" s="178"/>
      <c r="G25" s="178">
        <v>0</v>
      </c>
      <c r="H25" s="178">
        <v>0</v>
      </c>
      <c r="I25" s="178">
        <v>0</v>
      </c>
      <c r="J25" s="179">
        <f t="shared" si="0"/>
        <v>0</v>
      </c>
      <c r="K25" s="573"/>
    </row>
    <row r="26" spans="1:11" ht="12.75" hidden="1">
      <c r="A26" s="176"/>
      <c r="B26" s="176"/>
      <c r="C26" s="177"/>
      <c r="D26" s="177" t="s">
        <v>173</v>
      </c>
      <c r="E26" s="177" t="s">
        <v>174</v>
      </c>
      <c r="F26" s="178">
        <v>0</v>
      </c>
      <c r="G26" s="178">
        <v>0</v>
      </c>
      <c r="H26" s="178">
        <v>0</v>
      </c>
      <c r="I26" s="178">
        <v>0</v>
      </c>
      <c r="J26" s="179">
        <f t="shared" si="0"/>
        <v>0</v>
      </c>
      <c r="K26" s="573"/>
    </row>
    <row r="27" spans="1:11" ht="12.75" hidden="1">
      <c r="A27" s="176"/>
      <c r="B27" s="176"/>
      <c r="C27" s="177"/>
      <c r="D27" s="177" t="s">
        <v>175</v>
      </c>
      <c r="E27" s="177" t="s">
        <v>176</v>
      </c>
      <c r="F27" s="178">
        <v>0</v>
      </c>
      <c r="G27" s="178">
        <v>0</v>
      </c>
      <c r="H27" s="178">
        <v>0</v>
      </c>
      <c r="I27" s="178">
        <v>0</v>
      </c>
      <c r="J27" s="179">
        <f t="shared" si="0"/>
        <v>0</v>
      </c>
      <c r="K27" s="573"/>
    </row>
    <row r="28" spans="1:11" ht="13.5" customHeight="1">
      <c r="A28" s="168"/>
      <c r="B28" s="168" t="s">
        <v>234</v>
      </c>
      <c r="C28" s="994" t="s">
        <v>655</v>
      </c>
      <c r="D28" s="994"/>
      <c r="E28" s="994"/>
      <c r="F28" s="169">
        <v>0</v>
      </c>
      <c r="G28" s="169">
        <v>0</v>
      </c>
      <c r="H28" s="169">
        <v>0</v>
      </c>
      <c r="I28" s="169">
        <v>0</v>
      </c>
      <c r="J28" s="170">
        <f t="shared" si="0"/>
        <v>0</v>
      </c>
      <c r="K28" s="571"/>
    </row>
    <row r="29" spans="1:11" ht="13.5" customHeight="1">
      <c r="A29" s="168"/>
      <c r="B29" s="168" t="s">
        <v>235</v>
      </c>
      <c r="C29" s="994" t="s">
        <v>656</v>
      </c>
      <c r="D29" s="994"/>
      <c r="E29" s="994"/>
      <c r="F29" s="169">
        <f>SUM(F30:F39)</f>
        <v>405404769</v>
      </c>
      <c r="G29" s="169">
        <f>SUM(G30:G39)</f>
        <v>3882312</v>
      </c>
      <c r="H29" s="169">
        <f>SUM(H30:H39)</f>
        <v>44149359</v>
      </c>
      <c r="I29" s="169">
        <f>SUM(I30:I39)</f>
        <v>0</v>
      </c>
      <c r="J29" s="170">
        <f t="shared" si="0"/>
        <v>453436440</v>
      </c>
      <c r="K29" s="571"/>
    </row>
    <row r="30" spans="1:11" ht="12.75" hidden="1">
      <c r="A30" s="176"/>
      <c r="B30" s="176"/>
      <c r="C30" s="177" t="s">
        <v>2</v>
      </c>
      <c r="D30" s="177" t="s">
        <v>157</v>
      </c>
      <c r="E30" s="177" t="s">
        <v>158</v>
      </c>
      <c r="F30" s="178">
        <v>0</v>
      </c>
      <c r="G30" s="178">
        <v>0</v>
      </c>
      <c r="H30" s="178">
        <v>0</v>
      </c>
      <c r="I30" s="178">
        <v>0</v>
      </c>
      <c r="J30" s="179">
        <f t="shared" si="0"/>
        <v>0</v>
      </c>
      <c r="K30" s="573"/>
    </row>
    <row r="31" spans="1:11" ht="12.75" hidden="1">
      <c r="A31" s="176"/>
      <c r="B31" s="176"/>
      <c r="C31" s="177"/>
      <c r="D31" s="177" t="s">
        <v>159</v>
      </c>
      <c r="E31" s="177" t="s">
        <v>160</v>
      </c>
      <c r="F31" s="178">
        <v>0</v>
      </c>
      <c r="G31" s="178">
        <v>0</v>
      </c>
      <c r="H31" s="178">
        <v>0</v>
      </c>
      <c r="I31" s="178">
        <v>0</v>
      </c>
      <c r="J31" s="179">
        <f t="shared" si="0"/>
        <v>0</v>
      </c>
      <c r="K31" s="573"/>
    </row>
    <row r="32" spans="1:11" ht="12.75">
      <c r="A32" s="180"/>
      <c r="B32" s="180"/>
      <c r="C32" s="177" t="s">
        <v>2</v>
      </c>
      <c r="D32" s="181"/>
      <c r="E32" s="181" t="s">
        <v>659</v>
      </c>
      <c r="F32" s="178">
        <f>63035474+88971424+32379432+17772766+10976885+2000000-2893619+32379432-32379432+99948309-99948309+17772766-17772766+20805062-1250000+7875000+166813-17772766-6000000-11411381</f>
        <v>204655090</v>
      </c>
      <c r="G32" s="178">
        <v>0</v>
      </c>
      <c r="H32" s="178">
        <v>43407259</v>
      </c>
      <c r="I32" s="178">
        <v>0</v>
      </c>
      <c r="J32" s="179">
        <f t="shared" si="0"/>
        <v>248062349</v>
      </c>
      <c r="K32" s="573"/>
    </row>
    <row r="33" spans="1:11" ht="12.75">
      <c r="A33" s="176"/>
      <c r="B33" s="176"/>
      <c r="C33" s="177"/>
      <c r="D33" s="177"/>
      <c r="E33" s="177" t="s">
        <v>164</v>
      </c>
      <c r="F33" s="178">
        <f>29503396+6245115+6018160+1015420</f>
        <v>42782091</v>
      </c>
      <c r="G33" s="178">
        <f>1969798+37116</f>
        <v>2006914</v>
      </c>
      <c r="H33" s="178">
        <v>0</v>
      </c>
      <c r="I33" s="178">
        <v>0</v>
      </c>
      <c r="J33" s="179">
        <f t="shared" si="0"/>
        <v>44789005</v>
      </c>
      <c r="K33" s="573"/>
    </row>
    <row r="34" spans="1:11" ht="12.75">
      <c r="A34" s="176"/>
      <c r="B34" s="176"/>
      <c r="C34" s="177"/>
      <c r="D34" s="177"/>
      <c r="E34" s="177" t="s">
        <v>166</v>
      </c>
      <c r="F34" s="178">
        <f>21588000</f>
        <v>21588000</v>
      </c>
      <c r="G34" s="178">
        <v>0</v>
      </c>
      <c r="H34" s="178">
        <v>0</v>
      </c>
      <c r="I34" s="178">
        <v>0</v>
      </c>
      <c r="J34" s="179">
        <f t="shared" si="0"/>
        <v>21588000</v>
      </c>
      <c r="K34" s="573"/>
    </row>
    <row r="35" spans="1:11" ht="12.75">
      <c r="A35" s="176"/>
      <c r="B35" s="176"/>
      <c r="C35" s="177"/>
      <c r="D35" s="177"/>
      <c r="E35" s="177" t="s">
        <v>168</v>
      </c>
      <c r="F35" s="178">
        <f>11977188+23626850+46614899+38901777-8045171-7935168+1100000+11113165</f>
        <v>117353540</v>
      </c>
      <c r="G35" s="178">
        <f>581210+1294188</f>
        <v>1875398</v>
      </c>
      <c r="H35" s="178">
        <f>0+742100</f>
        <v>742100</v>
      </c>
      <c r="I35" s="178">
        <v>0</v>
      </c>
      <c r="J35" s="179">
        <f t="shared" si="0"/>
        <v>119971038</v>
      </c>
      <c r="K35" s="573"/>
    </row>
    <row r="36" spans="1:11" ht="11.25" customHeight="1">
      <c r="A36" s="176"/>
      <c r="B36" s="176"/>
      <c r="C36" s="177"/>
      <c r="D36" s="177"/>
      <c r="E36" s="177" t="s">
        <v>170</v>
      </c>
      <c r="F36" s="178">
        <f>9462661+3652363+3971695+1407021+1011276-478968</f>
        <v>19026048</v>
      </c>
      <c r="G36" s="178">
        <v>0</v>
      </c>
      <c r="H36" s="178">
        <v>0</v>
      </c>
      <c r="I36" s="178">
        <v>0</v>
      </c>
      <c r="J36" s="179">
        <f t="shared" si="0"/>
        <v>19026048</v>
      </c>
      <c r="K36" s="573"/>
    </row>
    <row r="37" spans="1:11" ht="12.75" hidden="1">
      <c r="A37" s="176"/>
      <c r="B37" s="176"/>
      <c r="C37" s="177"/>
      <c r="D37" s="177"/>
      <c r="E37" s="177" t="s">
        <v>172</v>
      </c>
      <c r="F37" s="178">
        <v>0</v>
      </c>
      <c r="G37" s="178">
        <v>0</v>
      </c>
      <c r="H37" s="178">
        <v>0</v>
      </c>
      <c r="I37" s="178">
        <v>0</v>
      </c>
      <c r="J37" s="179">
        <f t="shared" si="0"/>
        <v>0</v>
      </c>
      <c r="K37" s="573"/>
    </row>
    <row r="38" spans="1:11" ht="12.75" hidden="1">
      <c r="A38" s="176"/>
      <c r="B38" s="176"/>
      <c r="C38" s="177"/>
      <c r="D38" s="177"/>
      <c r="E38" s="177" t="s">
        <v>660</v>
      </c>
      <c r="F38" s="178">
        <v>0</v>
      </c>
      <c r="G38" s="178">
        <v>0</v>
      </c>
      <c r="H38" s="178">
        <v>0</v>
      </c>
      <c r="I38" s="178">
        <v>0</v>
      </c>
      <c r="J38" s="179">
        <f t="shared" si="0"/>
        <v>0</v>
      </c>
      <c r="K38" s="573"/>
    </row>
    <row r="39" spans="1:11" ht="12.75" hidden="1">
      <c r="A39" s="176"/>
      <c r="B39" s="176"/>
      <c r="C39" s="177"/>
      <c r="D39" s="177"/>
      <c r="E39" s="177" t="s">
        <v>661</v>
      </c>
      <c r="F39" s="178">
        <v>0</v>
      </c>
      <c r="G39" s="178">
        <v>0</v>
      </c>
      <c r="H39" s="178">
        <v>0</v>
      </c>
      <c r="I39" s="178">
        <v>0</v>
      </c>
      <c r="J39" s="179">
        <f t="shared" si="0"/>
        <v>0</v>
      </c>
      <c r="K39" s="573"/>
    </row>
    <row r="40" spans="1:11" s="167" customFormat="1" ht="12.75">
      <c r="A40" s="165" t="s">
        <v>236</v>
      </c>
      <c r="B40" s="998" t="s">
        <v>667</v>
      </c>
      <c r="C40" s="998"/>
      <c r="D40" s="998"/>
      <c r="E40" s="998"/>
      <c r="F40" s="166">
        <f>SUM(F41:F45)</f>
        <v>1000727789</v>
      </c>
      <c r="G40" s="166">
        <f>SUM(G41:G45)</f>
        <v>0</v>
      </c>
      <c r="H40" s="166">
        <f>SUM(H41:H45)</f>
        <v>1687190</v>
      </c>
      <c r="I40" s="166">
        <f>SUM(I41:I45)</f>
        <v>0</v>
      </c>
      <c r="J40" s="166">
        <f t="shared" si="0"/>
        <v>1002414979</v>
      </c>
      <c r="K40" s="570"/>
    </row>
    <row r="41" spans="1:11" ht="11.25" customHeight="1">
      <c r="A41" s="168"/>
      <c r="B41" s="168" t="s">
        <v>237</v>
      </c>
      <c r="C41" s="994" t="s">
        <v>662</v>
      </c>
      <c r="D41" s="994"/>
      <c r="E41" s="994"/>
      <c r="F41" s="169">
        <v>29947750</v>
      </c>
      <c r="G41" s="169">
        <v>0</v>
      </c>
      <c r="H41" s="169">
        <v>0</v>
      </c>
      <c r="I41" s="169">
        <v>0</v>
      </c>
      <c r="J41" s="170">
        <f t="shared" si="0"/>
        <v>29947750</v>
      </c>
      <c r="K41" s="571"/>
    </row>
    <row r="42" spans="1:11" ht="12.75" hidden="1">
      <c r="A42" s="168"/>
      <c r="B42" s="168" t="s">
        <v>238</v>
      </c>
      <c r="C42" s="994" t="s">
        <v>663</v>
      </c>
      <c r="D42" s="994"/>
      <c r="E42" s="994"/>
      <c r="F42" s="169">
        <v>0</v>
      </c>
      <c r="G42" s="169">
        <v>0</v>
      </c>
      <c r="H42" s="169">
        <v>0</v>
      </c>
      <c r="I42" s="169">
        <v>0</v>
      </c>
      <c r="J42" s="170">
        <f t="shared" si="0"/>
        <v>0</v>
      </c>
      <c r="K42" s="571"/>
    </row>
    <row r="43" spans="1:11" ht="12.75" hidden="1">
      <c r="A43" s="168"/>
      <c r="B43" s="168" t="s">
        <v>239</v>
      </c>
      <c r="C43" s="994" t="s">
        <v>664</v>
      </c>
      <c r="D43" s="994"/>
      <c r="E43" s="994"/>
      <c r="F43" s="169">
        <v>0</v>
      </c>
      <c r="G43" s="169">
        <v>0</v>
      </c>
      <c r="H43" s="169">
        <v>0</v>
      </c>
      <c r="I43" s="169">
        <v>0</v>
      </c>
      <c r="J43" s="170">
        <f t="shared" si="0"/>
        <v>0</v>
      </c>
      <c r="K43" s="571"/>
    </row>
    <row r="44" spans="1:11" ht="12.75" hidden="1">
      <c r="A44" s="168"/>
      <c r="B44" s="168" t="s">
        <v>240</v>
      </c>
      <c r="C44" s="994" t="s">
        <v>665</v>
      </c>
      <c r="D44" s="994"/>
      <c r="E44" s="994"/>
      <c r="F44" s="169">
        <v>0</v>
      </c>
      <c r="G44" s="169">
        <v>0</v>
      </c>
      <c r="H44" s="169">
        <v>0</v>
      </c>
      <c r="I44" s="169">
        <v>0</v>
      </c>
      <c r="J44" s="170">
        <f t="shared" si="0"/>
        <v>0</v>
      </c>
      <c r="K44" s="571"/>
    </row>
    <row r="45" spans="1:11" ht="12" customHeight="1">
      <c r="A45" s="168"/>
      <c r="B45" s="168" t="s">
        <v>241</v>
      </c>
      <c r="C45" s="994" t="s">
        <v>666</v>
      </c>
      <c r="D45" s="994"/>
      <c r="E45" s="994"/>
      <c r="F45" s="169">
        <f>SUM(F46:F56)</f>
        <v>970780039</v>
      </c>
      <c r="G45" s="169">
        <f>SUM(G46:G55)</f>
        <v>0</v>
      </c>
      <c r="H45" s="169">
        <f>SUM(H46:H55)</f>
        <v>1687190</v>
      </c>
      <c r="I45" s="169">
        <f>SUM(I46:I55)</f>
        <v>0</v>
      </c>
      <c r="J45" s="170">
        <f t="shared" si="0"/>
        <v>972467229</v>
      </c>
      <c r="K45" s="571"/>
    </row>
    <row r="46" spans="1:11" ht="12.75" hidden="1">
      <c r="A46" s="176"/>
      <c r="B46" s="176"/>
      <c r="C46" s="177" t="s">
        <v>2</v>
      </c>
      <c r="D46" s="177" t="s">
        <v>157</v>
      </c>
      <c r="E46" s="177" t="s">
        <v>158</v>
      </c>
      <c r="F46" s="178">
        <v>0</v>
      </c>
      <c r="G46" s="178">
        <v>0</v>
      </c>
      <c r="H46" s="178">
        <v>0</v>
      </c>
      <c r="I46" s="178">
        <v>0</v>
      </c>
      <c r="J46" s="179">
        <f t="shared" si="0"/>
        <v>0</v>
      </c>
      <c r="K46" s="573"/>
    </row>
    <row r="47" spans="1:11" ht="12.75" hidden="1">
      <c r="A47" s="176"/>
      <c r="B47" s="176"/>
      <c r="C47" s="177"/>
      <c r="D47" s="177" t="s">
        <v>159</v>
      </c>
      <c r="E47" s="177" t="s">
        <v>160</v>
      </c>
      <c r="F47" s="178">
        <v>0</v>
      </c>
      <c r="G47" s="178">
        <v>0</v>
      </c>
      <c r="H47" s="178">
        <v>0</v>
      </c>
      <c r="I47" s="178">
        <v>0</v>
      </c>
      <c r="J47" s="179">
        <f t="shared" si="0"/>
        <v>0</v>
      </c>
      <c r="K47" s="573"/>
    </row>
    <row r="48" spans="1:11" ht="12.75">
      <c r="A48" s="180"/>
      <c r="B48" s="180"/>
      <c r="C48" s="177" t="s">
        <v>2</v>
      </c>
      <c r="D48" s="181"/>
      <c r="E48" s="181" t="s">
        <v>233</v>
      </c>
      <c r="F48" s="178">
        <f>2500000+21694288+6019000+5000000+9889960+15511691+2497100+1920000+95000000+106200000+2893619+3832400-3832400+17861888-17861888+100000000-100000000+2500000-2500000+15511691-15511691+2497100-2497100+192470000+47500000+830000+1250000+411888112+19999984+9980698+9889960-9889960+1753187-1920000-2497100+6000000+11411381</f>
        <v>967791920</v>
      </c>
      <c r="G48" s="178">
        <v>0</v>
      </c>
      <c r="H48" s="178">
        <v>1687190</v>
      </c>
      <c r="I48" s="178">
        <v>0</v>
      </c>
      <c r="J48" s="179">
        <f t="shared" si="0"/>
        <v>969479110</v>
      </c>
      <c r="K48" s="573"/>
    </row>
    <row r="49" spans="1:11" ht="12.75" hidden="1">
      <c r="A49" s="176"/>
      <c r="B49" s="176"/>
      <c r="C49" s="177"/>
      <c r="D49" s="177" t="s">
        <v>163</v>
      </c>
      <c r="E49" s="177" t="s">
        <v>164</v>
      </c>
      <c r="F49" s="178">
        <v>0</v>
      </c>
      <c r="G49" s="178">
        <v>0</v>
      </c>
      <c r="H49" s="178">
        <v>0</v>
      </c>
      <c r="I49" s="178">
        <v>0</v>
      </c>
      <c r="J49" s="179">
        <f t="shared" si="0"/>
        <v>0</v>
      </c>
      <c r="K49" s="573"/>
    </row>
    <row r="50" spans="1:11" ht="12.75" hidden="1">
      <c r="A50" s="176"/>
      <c r="B50" s="176"/>
      <c r="C50" s="177"/>
      <c r="D50" s="177" t="s">
        <v>165</v>
      </c>
      <c r="E50" s="177" t="s">
        <v>166</v>
      </c>
      <c r="F50" s="178">
        <v>0</v>
      </c>
      <c r="G50" s="178">
        <v>0</v>
      </c>
      <c r="H50" s="178">
        <v>0</v>
      </c>
      <c r="I50" s="178">
        <v>0</v>
      </c>
      <c r="J50" s="179">
        <f t="shared" si="0"/>
        <v>0</v>
      </c>
      <c r="K50" s="573"/>
    </row>
    <row r="51" spans="1:11" ht="12" customHeight="1">
      <c r="A51" s="176"/>
      <c r="B51" s="176"/>
      <c r="C51" s="177"/>
      <c r="D51" s="177"/>
      <c r="E51" s="177" t="s">
        <v>168</v>
      </c>
      <c r="F51" s="178">
        <f>299888+1846997</f>
        <v>2146885</v>
      </c>
      <c r="G51" s="178">
        <v>0</v>
      </c>
      <c r="H51" s="178">
        <v>0</v>
      </c>
      <c r="I51" s="178">
        <v>0</v>
      </c>
      <c r="J51" s="179">
        <f t="shared" si="0"/>
        <v>2146885</v>
      </c>
      <c r="K51" s="573"/>
    </row>
    <row r="52" spans="1:11" ht="12.75" hidden="1">
      <c r="A52" s="176"/>
      <c r="B52" s="176"/>
      <c r="C52" s="177"/>
      <c r="D52" s="177" t="s">
        <v>169</v>
      </c>
      <c r="E52" s="177" t="s">
        <v>170</v>
      </c>
      <c r="F52" s="178">
        <v>0</v>
      </c>
      <c r="G52" s="178">
        <v>0</v>
      </c>
      <c r="H52" s="178">
        <v>0</v>
      </c>
      <c r="I52" s="178">
        <v>0</v>
      </c>
      <c r="J52" s="179">
        <f t="shared" si="0"/>
        <v>0</v>
      </c>
      <c r="K52" s="573"/>
    </row>
    <row r="53" spans="1:11" ht="12.75" hidden="1">
      <c r="A53" s="176"/>
      <c r="B53" s="176"/>
      <c r="C53" s="177"/>
      <c r="D53" s="177" t="s">
        <v>171</v>
      </c>
      <c r="E53" s="177" t="s">
        <v>172</v>
      </c>
      <c r="F53" s="178">
        <v>0</v>
      </c>
      <c r="G53" s="178">
        <v>0</v>
      </c>
      <c r="H53" s="178">
        <v>0</v>
      </c>
      <c r="I53" s="178">
        <v>0</v>
      </c>
      <c r="J53" s="179">
        <f t="shared" si="0"/>
        <v>0</v>
      </c>
      <c r="K53" s="573"/>
    </row>
    <row r="54" spans="1:11" ht="12.75" hidden="1">
      <c r="A54" s="176"/>
      <c r="B54" s="176"/>
      <c r="C54" s="177"/>
      <c r="D54" s="177" t="s">
        <v>173</v>
      </c>
      <c r="E54" s="177" t="s">
        <v>174</v>
      </c>
      <c r="F54" s="178">
        <v>0</v>
      </c>
      <c r="G54" s="178">
        <v>0</v>
      </c>
      <c r="H54" s="178">
        <v>0</v>
      </c>
      <c r="I54" s="178">
        <v>0</v>
      </c>
      <c r="J54" s="179">
        <f t="shared" si="0"/>
        <v>0</v>
      </c>
      <c r="K54" s="573"/>
    </row>
    <row r="55" spans="1:11" ht="12.75" hidden="1">
      <c r="A55" s="176"/>
      <c r="B55" s="176"/>
      <c r="C55" s="177"/>
      <c r="D55" s="177" t="s">
        <v>175</v>
      </c>
      <c r="E55" s="177" t="s">
        <v>176</v>
      </c>
      <c r="F55" s="178">
        <v>0</v>
      </c>
      <c r="G55" s="178">
        <v>0</v>
      </c>
      <c r="H55" s="178">
        <v>0</v>
      </c>
      <c r="I55" s="178">
        <v>0</v>
      </c>
      <c r="J55" s="179">
        <f t="shared" si="0"/>
        <v>0</v>
      </c>
      <c r="K55" s="573"/>
    </row>
    <row r="56" spans="1:11" ht="12.75">
      <c r="A56" s="176"/>
      <c r="B56" s="176"/>
      <c r="C56" s="177"/>
      <c r="D56" s="177"/>
      <c r="E56" s="177" t="s">
        <v>164</v>
      </c>
      <c r="F56" s="178">
        <v>841234</v>
      </c>
      <c r="G56" s="178">
        <v>0</v>
      </c>
      <c r="H56" s="178">
        <v>0</v>
      </c>
      <c r="I56" s="178">
        <v>0</v>
      </c>
      <c r="J56" s="179">
        <f t="shared" si="0"/>
        <v>841234</v>
      </c>
      <c r="K56" s="573"/>
    </row>
    <row r="57" spans="1:11" s="167" customFormat="1" ht="12.75">
      <c r="A57" s="165" t="s">
        <v>242</v>
      </c>
      <c r="B57" s="998" t="s">
        <v>243</v>
      </c>
      <c r="C57" s="998"/>
      <c r="D57" s="998"/>
      <c r="E57" s="998"/>
      <c r="F57" s="166">
        <f>SUM(F58+F59+F60+F61+F64+F75)</f>
        <v>230116000</v>
      </c>
      <c r="G57" s="166">
        <f>SUM(G58+G59+G60+G61+G64+G75)</f>
        <v>0</v>
      </c>
      <c r="H57" s="166">
        <f>SUM(H58+H59+H60+H61+H64+H75)</f>
        <v>0</v>
      </c>
      <c r="I57" s="166">
        <f>SUM(I58+I59+I60+I61+I64+I75)</f>
        <v>0</v>
      </c>
      <c r="J57" s="166">
        <f t="shared" si="0"/>
        <v>230116000</v>
      </c>
      <c r="K57" s="570"/>
    </row>
    <row r="58" spans="1:11" ht="12.75">
      <c r="A58" s="168"/>
      <c r="B58" s="168" t="s">
        <v>244</v>
      </c>
      <c r="C58" s="994" t="s">
        <v>245</v>
      </c>
      <c r="D58" s="994"/>
      <c r="E58" s="994"/>
      <c r="F58" s="169">
        <v>50000</v>
      </c>
      <c r="G58" s="169">
        <v>0</v>
      </c>
      <c r="H58" s="169">
        <v>0</v>
      </c>
      <c r="I58" s="169">
        <v>0</v>
      </c>
      <c r="J58" s="170">
        <f t="shared" si="0"/>
        <v>50000</v>
      </c>
      <c r="K58" s="571"/>
    </row>
    <row r="59" spans="1:11" ht="12.75">
      <c r="A59" s="168"/>
      <c r="B59" s="168" t="s">
        <v>246</v>
      </c>
      <c r="C59" s="994" t="s">
        <v>247</v>
      </c>
      <c r="D59" s="994"/>
      <c r="E59" s="994"/>
      <c r="F59" s="169">
        <v>0</v>
      </c>
      <c r="G59" s="169">
        <v>0</v>
      </c>
      <c r="H59" s="169">
        <v>0</v>
      </c>
      <c r="I59" s="169">
        <v>0</v>
      </c>
      <c r="J59" s="170">
        <f t="shared" si="0"/>
        <v>0</v>
      </c>
      <c r="K59" s="571"/>
    </row>
    <row r="60" spans="1:11" ht="12.75">
      <c r="A60" s="168"/>
      <c r="B60" s="168" t="s">
        <v>248</v>
      </c>
      <c r="C60" s="994" t="s">
        <v>249</v>
      </c>
      <c r="D60" s="994"/>
      <c r="E60" s="994"/>
      <c r="F60" s="169">
        <v>0</v>
      </c>
      <c r="G60" s="169">
        <v>0</v>
      </c>
      <c r="H60" s="169">
        <v>0</v>
      </c>
      <c r="I60" s="169">
        <v>0</v>
      </c>
      <c r="J60" s="170">
        <f t="shared" si="0"/>
        <v>0</v>
      </c>
      <c r="K60" s="571"/>
    </row>
    <row r="61" spans="1:11" ht="12.75">
      <c r="A61" s="168"/>
      <c r="B61" s="168" t="s">
        <v>250</v>
      </c>
      <c r="C61" s="994" t="s">
        <v>251</v>
      </c>
      <c r="D61" s="994"/>
      <c r="E61" s="994"/>
      <c r="F61" s="169">
        <f>SUM(F62:F63)</f>
        <v>36900000</v>
      </c>
      <c r="G61" s="169">
        <f>SUM(G62:G63)</f>
        <v>0</v>
      </c>
      <c r="H61" s="169">
        <v>0</v>
      </c>
      <c r="I61" s="169">
        <v>0</v>
      </c>
      <c r="J61" s="170">
        <f t="shared" si="0"/>
        <v>36900000</v>
      </c>
      <c r="K61" s="571"/>
    </row>
    <row r="62" spans="1:11" ht="12.75">
      <c r="A62" s="176"/>
      <c r="B62" s="176"/>
      <c r="C62" s="177"/>
      <c r="D62" s="177"/>
      <c r="E62" s="177" t="s">
        <v>252</v>
      </c>
      <c r="F62" s="178">
        <v>36000000</v>
      </c>
      <c r="G62" s="178">
        <v>0</v>
      </c>
      <c r="H62" s="178">
        <v>0</v>
      </c>
      <c r="I62" s="178">
        <v>0</v>
      </c>
      <c r="J62" s="179">
        <f t="shared" si="0"/>
        <v>36000000</v>
      </c>
      <c r="K62" s="573"/>
    </row>
    <row r="63" spans="1:11" ht="12.75">
      <c r="A63" s="176"/>
      <c r="B63" s="176"/>
      <c r="C63" s="177"/>
      <c r="D63" s="177"/>
      <c r="E63" s="177" t="s">
        <v>253</v>
      </c>
      <c r="F63" s="178">
        <v>900000</v>
      </c>
      <c r="G63" s="178">
        <v>0</v>
      </c>
      <c r="H63" s="178">
        <v>0</v>
      </c>
      <c r="I63" s="178">
        <v>0</v>
      </c>
      <c r="J63" s="179">
        <f t="shared" si="0"/>
        <v>900000</v>
      </c>
      <c r="K63" s="573"/>
    </row>
    <row r="64" spans="1:11" ht="12.75">
      <c r="A64" s="168"/>
      <c r="B64" s="168" t="s">
        <v>254</v>
      </c>
      <c r="C64" s="994" t="s">
        <v>255</v>
      </c>
      <c r="D64" s="994"/>
      <c r="E64" s="994"/>
      <c r="F64" s="169">
        <f>SUM(F65+F68+F70+F71+F73)</f>
        <v>192021000</v>
      </c>
      <c r="G64" s="169">
        <f>SUM(G65+G68+G70+G71+G73)</f>
        <v>0</v>
      </c>
      <c r="H64" s="169">
        <v>0</v>
      </c>
      <c r="I64" s="169">
        <v>0</v>
      </c>
      <c r="J64" s="170">
        <f t="shared" si="0"/>
        <v>192021000</v>
      </c>
      <c r="K64" s="571"/>
    </row>
    <row r="65" spans="1:11" ht="12.75">
      <c r="A65" s="171"/>
      <c r="B65" s="171"/>
      <c r="C65" s="171" t="s">
        <v>256</v>
      </c>
      <c r="D65" s="171" t="s">
        <v>257</v>
      </c>
      <c r="E65" s="171"/>
      <c r="F65" s="172">
        <f>SUM(F66:F67)</f>
        <v>168021000</v>
      </c>
      <c r="G65" s="172">
        <f>SUM(G66:G67)</f>
        <v>0</v>
      </c>
      <c r="H65" s="172">
        <v>0</v>
      </c>
      <c r="I65" s="172">
        <v>0</v>
      </c>
      <c r="J65" s="173">
        <f t="shared" si="0"/>
        <v>168021000</v>
      </c>
      <c r="K65" s="572"/>
    </row>
    <row r="66" spans="1:11" ht="12.75">
      <c r="A66" s="176"/>
      <c r="B66" s="176"/>
      <c r="C66" s="177"/>
      <c r="D66" s="177"/>
      <c r="E66" s="177" t="s">
        <v>668</v>
      </c>
      <c r="F66" s="178">
        <f>165000000+2521000</f>
        <v>167521000</v>
      </c>
      <c r="G66" s="178">
        <v>0</v>
      </c>
      <c r="H66" s="178">
        <v>0</v>
      </c>
      <c r="I66" s="178">
        <v>0</v>
      </c>
      <c r="J66" s="179">
        <f t="shared" si="0"/>
        <v>167521000</v>
      </c>
      <c r="K66" s="573"/>
    </row>
    <row r="67" spans="1:11" ht="12.75">
      <c r="A67" s="176"/>
      <c r="B67" s="176"/>
      <c r="C67" s="177"/>
      <c r="D67" s="177"/>
      <c r="E67" s="177" t="s">
        <v>669</v>
      </c>
      <c r="F67" s="178">
        <v>500000</v>
      </c>
      <c r="G67" s="178">
        <v>0</v>
      </c>
      <c r="H67" s="178">
        <v>0</v>
      </c>
      <c r="I67" s="178">
        <v>0</v>
      </c>
      <c r="J67" s="179">
        <f t="shared" si="0"/>
        <v>500000</v>
      </c>
      <c r="K67" s="573"/>
    </row>
    <row r="68" spans="1:11" ht="11.25" customHeight="1">
      <c r="A68" s="171"/>
      <c r="B68" s="171"/>
      <c r="C68" s="171" t="s">
        <v>258</v>
      </c>
      <c r="D68" s="171" t="s">
        <v>590</v>
      </c>
      <c r="E68" s="171"/>
      <c r="F68" s="172">
        <f>SUM(F69)</f>
        <v>0</v>
      </c>
      <c r="G68" s="172">
        <f>SUM(G69)</f>
        <v>0</v>
      </c>
      <c r="H68" s="172">
        <f>SUM(H69)</f>
        <v>0</v>
      </c>
      <c r="I68" s="172">
        <f>SUM(I69)</f>
        <v>0</v>
      </c>
      <c r="J68" s="173">
        <f t="shared" si="0"/>
        <v>0</v>
      </c>
      <c r="K68" s="572"/>
    </row>
    <row r="69" spans="1:11" ht="12.75" hidden="1">
      <c r="A69" s="171"/>
      <c r="B69" s="171"/>
      <c r="C69" s="171"/>
      <c r="D69" s="171"/>
      <c r="E69" s="177" t="s">
        <v>591</v>
      </c>
      <c r="F69" s="172">
        <v>0</v>
      </c>
      <c r="G69" s="172">
        <v>0</v>
      </c>
      <c r="H69" s="172">
        <v>0</v>
      </c>
      <c r="I69" s="172">
        <v>0</v>
      </c>
      <c r="J69" s="173">
        <f t="shared" si="0"/>
        <v>0</v>
      </c>
      <c r="K69" s="572"/>
    </row>
    <row r="70" spans="1:11" ht="12.75">
      <c r="A70" s="171"/>
      <c r="B70" s="171"/>
      <c r="C70" s="171" t="s">
        <v>259</v>
      </c>
      <c r="D70" s="171" t="s">
        <v>260</v>
      </c>
      <c r="E70" s="171"/>
      <c r="F70" s="172">
        <v>0</v>
      </c>
      <c r="G70" s="172">
        <v>0</v>
      </c>
      <c r="H70" s="172">
        <v>0</v>
      </c>
      <c r="I70" s="172">
        <v>0</v>
      </c>
      <c r="J70" s="173">
        <f t="shared" si="0"/>
        <v>0</v>
      </c>
      <c r="K70" s="572"/>
    </row>
    <row r="71" spans="1:11" ht="12.75">
      <c r="A71" s="171"/>
      <c r="B71" s="171"/>
      <c r="C71" s="171" t="s">
        <v>261</v>
      </c>
      <c r="D71" s="171" t="s">
        <v>262</v>
      </c>
      <c r="E71" s="171"/>
      <c r="F71" s="172">
        <f>SUM(F72)</f>
        <v>24000000</v>
      </c>
      <c r="G71" s="172">
        <f>SUM(G72:G72)</f>
        <v>0</v>
      </c>
      <c r="H71" s="172">
        <v>0</v>
      </c>
      <c r="I71" s="172">
        <v>0</v>
      </c>
      <c r="J71" s="173">
        <f t="shared" si="0"/>
        <v>24000000</v>
      </c>
      <c r="K71" s="572"/>
    </row>
    <row r="72" spans="1:11" ht="11.25" customHeight="1">
      <c r="A72" s="176"/>
      <c r="B72" s="176"/>
      <c r="C72" s="176"/>
      <c r="D72" s="177"/>
      <c r="E72" s="177" t="s">
        <v>670</v>
      </c>
      <c r="F72" s="178">
        <v>24000000</v>
      </c>
      <c r="G72" s="178">
        <v>0</v>
      </c>
      <c r="H72" s="178">
        <v>0</v>
      </c>
      <c r="I72" s="178">
        <v>0</v>
      </c>
      <c r="J72" s="179">
        <f t="shared" si="0"/>
        <v>24000000</v>
      </c>
      <c r="K72" s="573"/>
    </row>
    <row r="73" spans="1:11" ht="12.75" hidden="1">
      <c r="A73" s="171"/>
      <c r="B73" s="171"/>
      <c r="C73" s="171" t="s">
        <v>263</v>
      </c>
      <c r="D73" s="171" t="s">
        <v>264</v>
      </c>
      <c r="E73" s="171"/>
      <c r="F73" s="172">
        <f>SUM(F74:F74)</f>
        <v>0</v>
      </c>
      <c r="G73" s="172">
        <v>0</v>
      </c>
      <c r="H73" s="172">
        <v>0</v>
      </c>
      <c r="I73" s="172">
        <v>0</v>
      </c>
      <c r="J73" s="173">
        <f aca="true" t="shared" si="1" ref="J73:J137">SUM(F73:I73)</f>
        <v>0</v>
      </c>
      <c r="K73" s="572"/>
    </row>
    <row r="74" spans="1:11" ht="12.75" hidden="1">
      <c r="A74" s="176"/>
      <c r="B74" s="176"/>
      <c r="C74" s="176"/>
      <c r="D74" s="177"/>
      <c r="E74" s="177" t="s">
        <v>266</v>
      </c>
      <c r="F74" s="178">
        <v>0</v>
      </c>
      <c r="G74" s="178">
        <v>0</v>
      </c>
      <c r="H74" s="178">
        <v>0</v>
      </c>
      <c r="I74" s="178">
        <v>0</v>
      </c>
      <c r="J74" s="179">
        <f t="shared" si="1"/>
        <v>0</v>
      </c>
      <c r="K74" s="573"/>
    </row>
    <row r="75" spans="1:11" ht="12.75">
      <c r="A75" s="168"/>
      <c r="B75" s="168" t="s">
        <v>267</v>
      </c>
      <c r="C75" s="994" t="s">
        <v>268</v>
      </c>
      <c r="D75" s="994"/>
      <c r="E75" s="994"/>
      <c r="F75" s="169">
        <f>SUM(F76:F85)</f>
        <v>1145000</v>
      </c>
      <c r="G75" s="169">
        <f>SUM(G76:G85)</f>
        <v>0</v>
      </c>
      <c r="H75" s="169">
        <f>SUM(H76:H85)</f>
        <v>0</v>
      </c>
      <c r="I75" s="169">
        <f>SUM(I76:I85)</f>
        <v>0</v>
      </c>
      <c r="J75" s="170">
        <f t="shared" si="1"/>
        <v>1145000</v>
      </c>
      <c r="K75" s="571"/>
    </row>
    <row r="76" spans="1:11" ht="12.75" hidden="1">
      <c r="A76" s="182"/>
      <c r="B76" s="182"/>
      <c r="C76" s="182"/>
      <c r="D76" s="177"/>
      <c r="E76" s="177" t="s">
        <v>269</v>
      </c>
      <c r="F76" s="178">
        <v>0</v>
      </c>
      <c r="G76" s="178">
        <v>0</v>
      </c>
      <c r="H76" s="178">
        <v>0</v>
      </c>
      <c r="I76" s="178">
        <v>0</v>
      </c>
      <c r="J76" s="179">
        <f t="shared" si="1"/>
        <v>0</v>
      </c>
      <c r="K76" s="573"/>
    </row>
    <row r="77" spans="1:11" ht="12.75" hidden="1">
      <c r="A77" s="176"/>
      <c r="B77" s="176"/>
      <c r="C77" s="176"/>
      <c r="D77" s="177"/>
      <c r="E77" s="177" t="s">
        <v>270</v>
      </c>
      <c r="F77" s="178">
        <v>0</v>
      </c>
      <c r="G77" s="178"/>
      <c r="H77" s="178">
        <v>0</v>
      </c>
      <c r="I77" s="178">
        <v>0</v>
      </c>
      <c r="J77" s="179">
        <f t="shared" si="1"/>
        <v>0</v>
      </c>
      <c r="K77" s="573"/>
    </row>
    <row r="78" spans="1:11" ht="12.75" hidden="1">
      <c r="A78" s="182"/>
      <c r="B78" s="182"/>
      <c r="C78" s="182"/>
      <c r="D78" s="177"/>
      <c r="E78" s="177" t="s">
        <v>271</v>
      </c>
      <c r="F78" s="178">
        <v>0</v>
      </c>
      <c r="G78" s="178">
        <v>0</v>
      </c>
      <c r="H78" s="178">
        <v>0</v>
      </c>
      <c r="I78" s="178">
        <v>0</v>
      </c>
      <c r="J78" s="179">
        <f t="shared" si="1"/>
        <v>0</v>
      </c>
      <c r="K78" s="573"/>
    </row>
    <row r="79" spans="1:11" ht="12.75" customHeight="1">
      <c r="A79" s="182"/>
      <c r="B79" s="182"/>
      <c r="C79" s="182"/>
      <c r="D79" s="177"/>
      <c r="E79" s="177" t="s">
        <v>265</v>
      </c>
      <c r="F79" s="178">
        <v>495000</v>
      </c>
      <c r="G79" s="178">
        <v>0</v>
      </c>
      <c r="H79" s="178">
        <v>0</v>
      </c>
      <c r="I79" s="178">
        <v>0</v>
      </c>
      <c r="J79" s="179">
        <f t="shared" si="1"/>
        <v>495000</v>
      </c>
      <c r="K79" s="573"/>
    </row>
    <row r="80" spans="1:11" ht="0.75" customHeight="1" hidden="1">
      <c r="A80" s="182"/>
      <c r="B80" s="182"/>
      <c r="C80" s="182"/>
      <c r="D80" s="177"/>
      <c r="E80" s="177" t="s">
        <v>272</v>
      </c>
      <c r="F80" s="178">
        <v>0</v>
      </c>
      <c r="G80" s="178">
        <v>0</v>
      </c>
      <c r="H80" s="178">
        <v>0</v>
      </c>
      <c r="I80" s="178">
        <v>0</v>
      </c>
      <c r="J80" s="179">
        <f t="shared" si="1"/>
        <v>0</v>
      </c>
      <c r="K80" s="573"/>
    </row>
    <row r="81" spans="1:11" ht="12.75" hidden="1">
      <c r="A81" s="182"/>
      <c r="B81" s="182"/>
      <c r="C81" s="182"/>
      <c r="D81" s="177"/>
      <c r="E81" s="177" t="s">
        <v>273</v>
      </c>
      <c r="F81" s="178">
        <v>0</v>
      </c>
      <c r="G81" s="178">
        <v>0</v>
      </c>
      <c r="H81" s="178">
        <v>0</v>
      </c>
      <c r="I81" s="178">
        <v>0</v>
      </c>
      <c r="J81" s="179">
        <f t="shared" si="1"/>
        <v>0</v>
      </c>
      <c r="K81" s="573"/>
    </row>
    <row r="82" spans="1:11" ht="12.75" hidden="1">
      <c r="A82" s="182"/>
      <c r="B82" s="182"/>
      <c r="C82" s="182"/>
      <c r="D82" s="177"/>
      <c r="E82" s="177" t="s">
        <v>631</v>
      </c>
      <c r="F82" s="178"/>
      <c r="G82" s="178">
        <v>0</v>
      </c>
      <c r="H82" s="178">
        <v>0</v>
      </c>
      <c r="I82" s="178">
        <v>0</v>
      </c>
      <c r="J82" s="179">
        <f t="shared" si="1"/>
        <v>0</v>
      </c>
      <c r="K82" s="573"/>
    </row>
    <row r="83" spans="1:11" ht="30" customHeight="1" hidden="1">
      <c r="A83" s="176"/>
      <c r="B83" s="176"/>
      <c r="C83" s="176"/>
      <c r="D83" s="176"/>
      <c r="E83" s="183" t="s">
        <v>671</v>
      </c>
      <c r="F83" s="178">
        <v>0</v>
      </c>
      <c r="G83" s="178">
        <v>0</v>
      </c>
      <c r="H83" s="178">
        <v>0</v>
      </c>
      <c r="I83" s="178">
        <v>0</v>
      </c>
      <c r="J83" s="179">
        <f t="shared" si="1"/>
        <v>0</v>
      </c>
      <c r="K83" s="573"/>
    </row>
    <row r="84" spans="1:11" ht="12.75" hidden="1">
      <c r="A84" s="182"/>
      <c r="B84" s="182"/>
      <c r="C84" s="182"/>
      <c r="D84" s="182"/>
      <c r="E84" s="177" t="s">
        <v>274</v>
      </c>
      <c r="F84" s="178">
        <v>0</v>
      </c>
      <c r="G84" s="178">
        <v>0</v>
      </c>
      <c r="H84" s="178">
        <v>0</v>
      </c>
      <c r="I84" s="178">
        <v>0</v>
      </c>
      <c r="J84" s="179">
        <f t="shared" si="1"/>
        <v>0</v>
      </c>
      <c r="K84" s="573"/>
    </row>
    <row r="85" spans="1:11" ht="12.75">
      <c r="A85" s="176"/>
      <c r="B85" s="176"/>
      <c r="C85" s="176"/>
      <c r="D85" s="176"/>
      <c r="E85" s="181" t="s">
        <v>275</v>
      </c>
      <c r="F85" s="178">
        <v>650000</v>
      </c>
      <c r="G85" s="178">
        <v>0</v>
      </c>
      <c r="H85" s="178">
        <v>0</v>
      </c>
      <c r="I85" s="178">
        <v>0</v>
      </c>
      <c r="J85" s="179">
        <f t="shared" si="1"/>
        <v>650000</v>
      </c>
      <c r="K85" s="573"/>
    </row>
    <row r="86" spans="1:11" s="167" customFormat="1" ht="12.75">
      <c r="A86" s="165" t="s">
        <v>276</v>
      </c>
      <c r="B86" s="998" t="s">
        <v>277</v>
      </c>
      <c r="C86" s="998"/>
      <c r="D86" s="998"/>
      <c r="E86" s="998"/>
      <c r="F86" s="166">
        <f>SUM(F87+F88+F91+F93+F100+F101+F102+F103+F110+F118+F119)</f>
        <v>50626015</v>
      </c>
      <c r="G86" s="166">
        <f>SUM(G87+G88+G91+G93+G100+G101+G102+G103+G110+G118+G119)</f>
        <v>6121079</v>
      </c>
      <c r="H86" s="166">
        <f>SUM(H87+H88+H91+H93+H100+H101+H102+H103+H110+H118+H119)</f>
        <v>3696667</v>
      </c>
      <c r="I86" s="166">
        <f>SUM(I87+I88+I91+I93+I100+I101+I102+I103+I110+I118+I119)</f>
        <v>1583520</v>
      </c>
      <c r="J86" s="166">
        <f t="shared" si="1"/>
        <v>62027281</v>
      </c>
      <c r="K86" s="570"/>
    </row>
    <row r="87" spans="1:11" ht="12.75">
      <c r="A87" s="171"/>
      <c r="B87" s="171"/>
      <c r="C87" s="171" t="s">
        <v>278</v>
      </c>
      <c r="D87" s="171" t="s">
        <v>547</v>
      </c>
      <c r="E87" s="171"/>
      <c r="F87" s="172">
        <f>400000+5848600+2166387+373465</f>
        <v>8788452</v>
      </c>
      <c r="G87" s="172">
        <v>0</v>
      </c>
      <c r="H87" s="172">
        <v>0</v>
      </c>
      <c r="I87" s="172">
        <v>0</v>
      </c>
      <c r="J87" s="173">
        <f t="shared" si="1"/>
        <v>8788452</v>
      </c>
      <c r="K87" s="572"/>
    </row>
    <row r="88" spans="1:11" ht="11.25" customHeight="1">
      <c r="A88" s="171"/>
      <c r="B88" s="171"/>
      <c r="C88" s="171" t="s">
        <v>279</v>
      </c>
      <c r="D88" s="171" t="s">
        <v>351</v>
      </c>
      <c r="E88" s="171"/>
      <c r="F88" s="172">
        <f>14236474+4500000+48819+1050000+51312+2652628+40000</f>
        <v>22579233</v>
      </c>
      <c r="G88" s="172">
        <f>250000+179000</f>
        <v>429000</v>
      </c>
      <c r="H88" s="172">
        <f>70000</f>
        <v>70000</v>
      </c>
      <c r="I88" s="172">
        <f>100559+2851094-51312-2652628+66142+1028162</f>
        <v>1342017</v>
      </c>
      <c r="J88" s="173">
        <f t="shared" si="1"/>
        <v>24420250</v>
      </c>
      <c r="K88" s="572"/>
    </row>
    <row r="89" spans="1:11" ht="12.75" hidden="1">
      <c r="A89" s="176"/>
      <c r="B89" s="176"/>
      <c r="C89" s="177" t="s">
        <v>2</v>
      </c>
      <c r="D89" s="177"/>
      <c r="E89" s="177" t="s">
        <v>280</v>
      </c>
      <c r="F89" s="184">
        <f>13202074+194400+840000</f>
        <v>14236474</v>
      </c>
      <c r="G89" s="184">
        <v>0</v>
      </c>
      <c r="H89" s="178">
        <v>0</v>
      </c>
      <c r="I89" s="178">
        <f>50000+600000</f>
        <v>650000</v>
      </c>
      <c r="J89" s="179">
        <f t="shared" si="1"/>
        <v>14886474</v>
      </c>
      <c r="K89" s="573"/>
    </row>
    <row r="90" spans="1:11" ht="12.75" hidden="1">
      <c r="A90" s="176"/>
      <c r="B90" s="176"/>
      <c r="C90" s="177"/>
      <c r="D90" s="177"/>
      <c r="E90" s="177" t="s">
        <v>672</v>
      </c>
      <c r="F90" s="178">
        <v>0</v>
      </c>
      <c r="G90" s="178">
        <v>0</v>
      </c>
      <c r="H90" s="178">
        <v>0</v>
      </c>
      <c r="I90" s="178">
        <v>0</v>
      </c>
      <c r="J90" s="179">
        <f t="shared" si="1"/>
        <v>0</v>
      </c>
      <c r="K90" s="573"/>
    </row>
    <row r="91" spans="1:11" ht="12.75">
      <c r="A91" s="171"/>
      <c r="B91" s="171"/>
      <c r="C91" s="171" t="s">
        <v>281</v>
      </c>
      <c r="D91" s="171" t="s">
        <v>282</v>
      </c>
      <c r="E91" s="171"/>
      <c r="F91" s="172">
        <f>2486532+652000+101556+36960+360500</f>
        <v>3637548</v>
      </c>
      <c r="G91" s="172">
        <f>3949049+585933</f>
        <v>4534982</v>
      </c>
      <c r="H91" s="172">
        <v>0</v>
      </c>
      <c r="I91" s="172">
        <f>360500-360500</f>
        <v>0</v>
      </c>
      <c r="J91" s="173">
        <f t="shared" si="1"/>
        <v>8172530</v>
      </c>
      <c r="K91" s="572"/>
    </row>
    <row r="92" spans="1:11" ht="12.75" hidden="1">
      <c r="A92" s="176"/>
      <c r="B92" s="176"/>
      <c r="C92" s="177" t="s">
        <v>2</v>
      </c>
      <c r="D92" s="177"/>
      <c r="E92" s="177" t="s">
        <v>7</v>
      </c>
      <c r="F92" s="178">
        <f>1707176+250000+101556</f>
        <v>2058732</v>
      </c>
      <c r="G92" s="178">
        <v>1604136</v>
      </c>
      <c r="H92" s="178">
        <v>0</v>
      </c>
      <c r="I92" s="178">
        <v>0</v>
      </c>
      <c r="J92" s="179">
        <f t="shared" si="1"/>
        <v>3662868</v>
      </c>
      <c r="K92" s="573"/>
    </row>
    <row r="93" spans="1:11" ht="12" customHeight="1">
      <c r="A93" s="171"/>
      <c r="B93" s="171"/>
      <c r="C93" s="171" t="s">
        <v>283</v>
      </c>
      <c r="D93" s="171" t="s">
        <v>284</v>
      </c>
      <c r="E93" s="171"/>
      <c r="F93" s="172">
        <f>639000+15000+67000+24160</f>
        <v>745160</v>
      </c>
      <c r="G93" s="172">
        <v>0</v>
      </c>
      <c r="H93" s="172">
        <v>0</v>
      </c>
      <c r="I93" s="172">
        <v>0</v>
      </c>
      <c r="J93" s="173">
        <f t="shared" si="1"/>
        <v>745160</v>
      </c>
      <c r="K93" s="572"/>
    </row>
    <row r="94" spans="1:11" ht="12.75" hidden="1">
      <c r="A94" s="176"/>
      <c r="B94" s="176"/>
      <c r="C94" s="177" t="s">
        <v>2</v>
      </c>
      <c r="D94" s="177"/>
      <c r="E94" s="177" t="s">
        <v>285</v>
      </c>
      <c r="F94" s="178">
        <v>0</v>
      </c>
      <c r="G94" s="178">
        <v>0</v>
      </c>
      <c r="H94" s="178">
        <v>0</v>
      </c>
      <c r="I94" s="178">
        <v>0</v>
      </c>
      <c r="J94" s="179">
        <f t="shared" si="1"/>
        <v>0</v>
      </c>
      <c r="K94" s="573"/>
    </row>
    <row r="95" spans="1:11" ht="12.75" hidden="1">
      <c r="A95" s="176"/>
      <c r="B95" s="176"/>
      <c r="C95" s="177"/>
      <c r="D95" s="177"/>
      <c r="E95" s="177" t="s">
        <v>673</v>
      </c>
      <c r="F95" s="178">
        <v>0</v>
      </c>
      <c r="G95" s="178">
        <v>0</v>
      </c>
      <c r="H95" s="178">
        <v>0</v>
      </c>
      <c r="I95" s="178">
        <v>0</v>
      </c>
      <c r="J95" s="179">
        <f t="shared" si="1"/>
        <v>0</v>
      </c>
      <c r="K95" s="573"/>
    </row>
    <row r="96" spans="1:11" ht="12" customHeight="1" hidden="1">
      <c r="A96" s="176"/>
      <c r="B96" s="176"/>
      <c r="C96" s="177" t="s">
        <v>2</v>
      </c>
      <c r="D96" s="177"/>
      <c r="E96" s="177" t="s">
        <v>674</v>
      </c>
      <c r="F96" s="178">
        <v>639000</v>
      </c>
      <c r="G96" s="178">
        <v>0</v>
      </c>
      <c r="H96" s="178">
        <v>0</v>
      </c>
      <c r="I96" s="178">
        <v>0</v>
      </c>
      <c r="J96" s="179">
        <f t="shared" si="1"/>
        <v>639000</v>
      </c>
      <c r="K96" s="573"/>
    </row>
    <row r="97" spans="1:11" ht="12.75" hidden="1">
      <c r="A97" s="176"/>
      <c r="B97" s="176"/>
      <c r="C97" s="177"/>
      <c r="D97" s="177"/>
      <c r="E97" s="177" t="s">
        <v>675</v>
      </c>
      <c r="F97" s="178">
        <v>0</v>
      </c>
      <c r="G97" s="178">
        <v>0</v>
      </c>
      <c r="H97" s="178">
        <v>0</v>
      </c>
      <c r="I97" s="178">
        <v>0</v>
      </c>
      <c r="J97" s="179">
        <f t="shared" si="1"/>
        <v>0</v>
      </c>
      <c r="K97" s="573"/>
    </row>
    <row r="98" spans="1:11" ht="12.75" hidden="1">
      <c r="A98" s="176"/>
      <c r="B98" s="176"/>
      <c r="C98" s="177"/>
      <c r="D98" s="177"/>
      <c r="E98" s="177" t="s">
        <v>676</v>
      </c>
      <c r="F98" s="178">
        <v>0</v>
      </c>
      <c r="G98" s="178">
        <v>0</v>
      </c>
      <c r="H98" s="178">
        <v>0</v>
      </c>
      <c r="I98" s="178">
        <v>0</v>
      </c>
      <c r="J98" s="179">
        <f t="shared" si="1"/>
        <v>0</v>
      </c>
      <c r="K98" s="573"/>
    </row>
    <row r="99" spans="1:11" ht="12.75" hidden="1">
      <c r="A99" s="176"/>
      <c r="B99" s="176"/>
      <c r="C99" s="177"/>
      <c r="D99" s="177"/>
      <c r="E99" s="177" t="s">
        <v>548</v>
      </c>
      <c r="F99" s="178">
        <v>0</v>
      </c>
      <c r="G99" s="178">
        <v>0</v>
      </c>
      <c r="H99" s="178">
        <v>0</v>
      </c>
      <c r="I99" s="178">
        <v>0</v>
      </c>
      <c r="J99" s="179">
        <f t="shared" si="1"/>
        <v>0</v>
      </c>
      <c r="K99" s="573"/>
    </row>
    <row r="100" spans="1:11" ht="12.75">
      <c r="A100" s="171"/>
      <c r="B100" s="171"/>
      <c r="C100" s="171" t="s">
        <v>286</v>
      </c>
      <c r="D100" s="171" t="s">
        <v>287</v>
      </c>
      <c r="E100" s="171"/>
      <c r="F100" s="172">
        <v>5498780</v>
      </c>
      <c r="G100" s="172">
        <v>0</v>
      </c>
      <c r="H100" s="172">
        <f>713200+250155</f>
        <v>963355</v>
      </c>
      <c r="I100" s="172">
        <v>0</v>
      </c>
      <c r="J100" s="173">
        <f t="shared" si="1"/>
        <v>6462135</v>
      </c>
      <c r="K100" s="572"/>
    </row>
    <row r="101" spans="1:11" ht="12.75">
      <c r="A101" s="171"/>
      <c r="B101" s="171"/>
      <c r="C101" s="171" t="s">
        <v>288</v>
      </c>
      <c r="D101" s="171" t="s">
        <v>289</v>
      </c>
      <c r="E101" s="171"/>
      <c r="F101" s="172">
        <f>551266+176040+1323000+1484671+15638+13181+9979+13878+651522+18090+10800</f>
        <v>4268065</v>
      </c>
      <c r="G101" s="172">
        <f>977417+21400</f>
        <v>998817</v>
      </c>
      <c r="H101" s="172">
        <f>192170+67542</f>
        <v>259712</v>
      </c>
      <c r="I101" s="172">
        <f>27151+705130+1-13878-651522+17858+156763</f>
        <v>241503</v>
      </c>
      <c r="J101" s="173">
        <f t="shared" si="1"/>
        <v>5768097</v>
      </c>
      <c r="K101" s="572"/>
    </row>
    <row r="102" spans="1:11" ht="12.75">
      <c r="A102" s="171"/>
      <c r="B102" s="171"/>
      <c r="C102" s="171" t="s">
        <v>290</v>
      </c>
      <c r="D102" s="171" t="s">
        <v>291</v>
      </c>
      <c r="E102" s="171"/>
      <c r="F102" s="172">
        <f>0+3863162+809838</f>
        <v>4673000</v>
      </c>
      <c r="G102" s="172">
        <v>0</v>
      </c>
      <c r="H102" s="172">
        <v>2403600</v>
      </c>
      <c r="I102" s="172">
        <v>0</v>
      </c>
      <c r="J102" s="173">
        <f t="shared" si="1"/>
        <v>7076600</v>
      </c>
      <c r="K102" s="572"/>
    </row>
    <row r="103" spans="1:11" ht="11.25" customHeight="1">
      <c r="A103" s="171"/>
      <c r="B103" s="171"/>
      <c r="C103" s="171" t="s">
        <v>292</v>
      </c>
      <c r="D103" s="171" t="s">
        <v>592</v>
      </c>
      <c r="E103" s="171"/>
      <c r="F103" s="172">
        <f>SUM(F104,F107)</f>
        <v>3000</v>
      </c>
      <c r="G103" s="172">
        <v>1</v>
      </c>
      <c r="H103" s="172">
        <f>SUM(H104+H107)</f>
        <v>0</v>
      </c>
      <c r="I103" s="172">
        <f>SUM(I104+I107)</f>
        <v>0</v>
      </c>
      <c r="J103" s="173">
        <f t="shared" si="1"/>
        <v>3001</v>
      </c>
      <c r="K103" s="572"/>
    </row>
    <row r="104" spans="1:11" ht="12.75" hidden="1">
      <c r="A104" s="171"/>
      <c r="B104" s="171"/>
      <c r="C104" s="177"/>
      <c r="D104" s="999" t="s">
        <v>677</v>
      </c>
      <c r="E104" s="1000"/>
      <c r="F104" s="178">
        <v>0</v>
      </c>
      <c r="G104" s="178">
        <v>0</v>
      </c>
      <c r="H104" s="178">
        <v>0</v>
      </c>
      <c r="I104" s="178">
        <v>0</v>
      </c>
      <c r="J104" s="179">
        <f t="shared" si="1"/>
        <v>0</v>
      </c>
      <c r="K104" s="573"/>
    </row>
    <row r="105" spans="1:11" ht="12.75" hidden="1">
      <c r="A105" s="171"/>
      <c r="B105" s="171"/>
      <c r="C105" s="171" t="s">
        <v>2</v>
      </c>
      <c r="D105" s="171"/>
      <c r="E105" s="177" t="s">
        <v>7</v>
      </c>
      <c r="F105" s="178">
        <v>0</v>
      </c>
      <c r="G105" s="178">
        <v>0</v>
      </c>
      <c r="H105" s="178">
        <v>0</v>
      </c>
      <c r="I105" s="178">
        <v>0</v>
      </c>
      <c r="J105" s="179">
        <f t="shared" si="1"/>
        <v>0</v>
      </c>
      <c r="K105" s="573"/>
    </row>
    <row r="106" spans="1:11" ht="12.75" hidden="1">
      <c r="A106" s="171"/>
      <c r="B106" s="171"/>
      <c r="C106" s="171"/>
      <c r="D106" s="171"/>
      <c r="E106" s="177" t="s">
        <v>678</v>
      </c>
      <c r="F106" s="178">
        <v>0</v>
      </c>
      <c r="G106" s="178">
        <v>0</v>
      </c>
      <c r="H106" s="178">
        <v>0</v>
      </c>
      <c r="I106" s="178">
        <v>0</v>
      </c>
      <c r="J106" s="179">
        <f t="shared" si="1"/>
        <v>0</v>
      </c>
      <c r="K106" s="573"/>
    </row>
    <row r="107" spans="1:11" ht="12.75" hidden="1">
      <c r="A107" s="171"/>
      <c r="B107" s="171"/>
      <c r="C107" s="171" t="s">
        <v>2</v>
      </c>
      <c r="D107" s="999" t="s">
        <v>594</v>
      </c>
      <c r="E107" s="1000"/>
      <c r="F107" s="178">
        <v>3000</v>
      </c>
      <c r="G107" s="178">
        <v>0</v>
      </c>
      <c r="H107" s="178">
        <v>0</v>
      </c>
      <c r="I107" s="178">
        <v>0</v>
      </c>
      <c r="J107" s="179">
        <f t="shared" si="1"/>
        <v>3000</v>
      </c>
      <c r="K107" s="573"/>
    </row>
    <row r="108" spans="1:11" ht="12.75" hidden="1">
      <c r="A108" s="171"/>
      <c r="B108" s="171"/>
      <c r="C108" s="171"/>
      <c r="D108" s="171"/>
      <c r="E108" s="177" t="s">
        <v>7</v>
      </c>
      <c r="F108" s="178">
        <v>0</v>
      </c>
      <c r="G108" s="178">
        <v>0</v>
      </c>
      <c r="H108" s="178">
        <v>0</v>
      </c>
      <c r="I108" s="178">
        <v>0</v>
      </c>
      <c r="J108" s="179">
        <f t="shared" si="1"/>
        <v>0</v>
      </c>
      <c r="K108" s="573"/>
    </row>
    <row r="109" spans="1:11" ht="12.75" hidden="1">
      <c r="A109" s="171"/>
      <c r="B109" s="171"/>
      <c r="C109" s="171"/>
      <c r="D109" s="171"/>
      <c r="E109" s="177" t="s">
        <v>549</v>
      </c>
      <c r="F109" s="178">
        <v>0</v>
      </c>
      <c r="G109" s="178">
        <v>0</v>
      </c>
      <c r="H109" s="178">
        <v>0</v>
      </c>
      <c r="I109" s="178">
        <v>0</v>
      </c>
      <c r="J109" s="179">
        <f t="shared" si="1"/>
        <v>0</v>
      </c>
      <c r="K109" s="573"/>
    </row>
    <row r="110" spans="1:11" ht="12.75">
      <c r="A110" s="171"/>
      <c r="B110" s="171"/>
      <c r="C110" s="171" t="s">
        <v>293</v>
      </c>
      <c r="D110" s="171" t="s">
        <v>597</v>
      </c>
      <c r="E110" s="171"/>
      <c r="F110" s="172">
        <f>SUM(F111:F112)</f>
        <v>0</v>
      </c>
      <c r="G110" s="172">
        <f>SUM(G111:G112)</f>
        <v>0</v>
      </c>
      <c r="H110" s="172">
        <f>SUM(H111:H112)</f>
        <v>0</v>
      </c>
      <c r="I110" s="172">
        <f>SUM(I111:I112)</f>
        <v>0</v>
      </c>
      <c r="J110" s="173">
        <f t="shared" si="1"/>
        <v>0</v>
      </c>
      <c r="K110" s="572"/>
    </row>
    <row r="111" spans="1:11" ht="12.75" hidden="1">
      <c r="A111" s="171"/>
      <c r="B111" s="171"/>
      <c r="C111" s="171"/>
      <c r="D111" s="999" t="s">
        <v>595</v>
      </c>
      <c r="E111" s="1000"/>
      <c r="F111" s="172">
        <v>0</v>
      </c>
      <c r="G111" s="172">
        <v>0</v>
      </c>
      <c r="H111" s="172">
        <v>0</v>
      </c>
      <c r="I111" s="172">
        <v>0</v>
      </c>
      <c r="J111" s="173">
        <f t="shared" si="1"/>
        <v>0</v>
      </c>
      <c r="K111" s="572"/>
    </row>
    <row r="112" spans="1:11" ht="12.75" hidden="1">
      <c r="A112" s="171"/>
      <c r="B112" s="171"/>
      <c r="C112" s="171"/>
      <c r="D112" s="999" t="s">
        <v>596</v>
      </c>
      <c r="E112" s="1000"/>
      <c r="F112" s="172">
        <v>0</v>
      </c>
      <c r="G112" s="172">
        <v>0</v>
      </c>
      <c r="H112" s="172">
        <v>0</v>
      </c>
      <c r="I112" s="172">
        <v>0</v>
      </c>
      <c r="J112" s="173">
        <f t="shared" si="1"/>
        <v>0</v>
      </c>
      <c r="K112" s="572"/>
    </row>
    <row r="113" spans="1:11" ht="12.75" hidden="1">
      <c r="A113" s="171"/>
      <c r="B113" s="171"/>
      <c r="C113" s="171" t="s">
        <v>2</v>
      </c>
      <c r="D113" s="171"/>
      <c r="E113" s="177" t="s">
        <v>598</v>
      </c>
      <c r="F113" s="172">
        <v>0</v>
      </c>
      <c r="G113" s="172">
        <v>0</v>
      </c>
      <c r="H113" s="172">
        <v>0</v>
      </c>
      <c r="I113" s="172">
        <v>0</v>
      </c>
      <c r="J113" s="173">
        <f t="shared" si="1"/>
        <v>0</v>
      </c>
      <c r="K113" s="572"/>
    </row>
    <row r="114" spans="1:11" ht="12.75" hidden="1">
      <c r="A114" s="171"/>
      <c r="B114" s="171"/>
      <c r="C114" s="171"/>
      <c r="D114" s="171"/>
      <c r="E114" s="177" t="s">
        <v>593</v>
      </c>
      <c r="F114" s="172">
        <v>0</v>
      </c>
      <c r="G114" s="172">
        <v>0</v>
      </c>
      <c r="H114" s="172">
        <v>0</v>
      </c>
      <c r="I114" s="172">
        <v>0</v>
      </c>
      <c r="J114" s="173">
        <f t="shared" si="1"/>
        <v>0</v>
      </c>
      <c r="K114" s="572"/>
    </row>
    <row r="115" spans="1:11" ht="12.75" hidden="1">
      <c r="A115" s="171"/>
      <c r="B115" s="171"/>
      <c r="C115" s="171"/>
      <c r="D115" s="171"/>
      <c r="E115" s="177" t="s">
        <v>599</v>
      </c>
      <c r="F115" s="172">
        <v>0</v>
      </c>
      <c r="G115" s="172">
        <v>0</v>
      </c>
      <c r="H115" s="172">
        <v>0</v>
      </c>
      <c r="I115" s="172">
        <v>0</v>
      </c>
      <c r="J115" s="173">
        <f t="shared" si="1"/>
        <v>0</v>
      </c>
      <c r="K115" s="572"/>
    </row>
    <row r="116" spans="1:11" ht="12.75" hidden="1">
      <c r="A116" s="171"/>
      <c r="B116" s="171"/>
      <c r="C116" s="171"/>
      <c r="D116" s="171"/>
      <c r="E116" s="177" t="s">
        <v>600</v>
      </c>
      <c r="F116" s="172">
        <v>0</v>
      </c>
      <c r="G116" s="172">
        <v>0</v>
      </c>
      <c r="H116" s="172">
        <v>0</v>
      </c>
      <c r="I116" s="172">
        <v>0</v>
      </c>
      <c r="J116" s="173">
        <f t="shared" si="1"/>
        <v>0</v>
      </c>
      <c r="K116" s="572"/>
    </row>
    <row r="117" spans="1:11" ht="12.75" hidden="1">
      <c r="A117" s="171"/>
      <c r="B117" s="171"/>
      <c r="C117" s="171"/>
      <c r="D117" s="171"/>
      <c r="E117" s="177" t="s">
        <v>601</v>
      </c>
      <c r="F117" s="172">
        <v>0</v>
      </c>
      <c r="G117" s="172">
        <v>0</v>
      </c>
      <c r="H117" s="172">
        <v>0</v>
      </c>
      <c r="I117" s="172">
        <v>0</v>
      </c>
      <c r="J117" s="173">
        <f t="shared" si="1"/>
        <v>0</v>
      </c>
      <c r="K117" s="572"/>
    </row>
    <row r="118" spans="1:11" ht="12.75">
      <c r="A118" s="171"/>
      <c r="B118" s="171"/>
      <c r="C118" s="171" t="s">
        <v>294</v>
      </c>
      <c r="D118" s="171" t="s">
        <v>550</v>
      </c>
      <c r="E118" s="171"/>
      <c r="F118" s="172">
        <v>0</v>
      </c>
      <c r="G118" s="172">
        <v>0</v>
      </c>
      <c r="H118" s="172">
        <v>0</v>
      </c>
      <c r="I118" s="172">
        <v>0</v>
      </c>
      <c r="J118" s="173">
        <f t="shared" si="1"/>
        <v>0</v>
      </c>
      <c r="K118" s="572"/>
    </row>
    <row r="119" spans="1:11" s="425" customFormat="1" ht="22.5" customHeight="1">
      <c r="A119" s="901"/>
      <c r="B119" s="901"/>
      <c r="C119" s="901" t="s">
        <v>551</v>
      </c>
      <c r="D119" s="1002" t="s">
        <v>552</v>
      </c>
      <c r="E119" s="1002"/>
      <c r="F119" s="902">
        <f>10801933+60128-10529284+100000</f>
        <v>432777</v>
      </c>
      <c r="G119" s="902">
        <v>158279</v>
      </c>
      <c r="H119" s="902">
        <v>0</v>
      </c>
      <c r="I119" s="902">
        <v>0</v>
      </c>
      <c r="J119" s="903">
        <f t="shared" si="1"/>
        <v>591056</v>
      </c>
      <c r="K119" s="904"/>
    </row>
    <row r="120" spans="1:11" ht="45.75" customHeight="1" hidden="1">
      <c r="A120" s="175"/>
      <c r="B120" s="175"/>
      <c r="C120" s="185" t="s">
        <v>2</v>
      </c>
      <c r="D120" s="183" t="s">
        <v>434</v>
      </c>
      <c r="E120" s="183" t="s">
        <v>574</v>
      </c>
      <c r="F120" s="178">
        <v>0</v>
      </c>
      <c r="G120" s="178">
        <v>0</v>
      </c>
      <c r="H120" s="178">
        <v>0</v>
      </c>
      <c r="I120" s="178">
        <v>0</v>
      </c>
      <c r="J120" s="179">
        <f t="shared" si="1"/>
        <v>0</v>
      </c>
      <c r="K120" s="573"/>
    </row>
    <row r="121" spans="1:11" ht="13.5" customHeight="1" hidden="1">
      <c r="A121" s="176"/>
      <c r="B121" s="176"/>
      <c r="C121" s="176"/>
      <c r="D121" s="177" t="s">
        <v>434</v>
      </c>
      <c r="E121" s="186" t="s">
        <v>602</v>
      </c>
      <c r="F121" s="178"/>
      <c r="G121" s="178">
        <v>0</v>
      </c>
      <c r="H121" s="178">
        <v>0</v>
      </c>
      <c r="I121" s="178">
        <v>0</v>
      </c>
      <c r="J121" s="179">
        <f t="shared" si="1"/>
        <v>0</v>
      </c>
      <c r="K121" s="573"/>
    </row>
    <row r="122" spans="1:11" s="167" customFormat="1" ht="12" customHeight="1">
      <c r="A122" s="165" t="s">
        <v>295</v>
      </c>
      <c r="B122" s="998" t="s">
        <v>296</v>
      </c>
      <c r="C122" s="998"/>
      <c r="D122" s="998"/>
      <c r="E122" s="998"/>
      <c r="F122" s="166">
        <f>SUM(F123+F125+F127+F128+F129+F130)</f>
        <v>15583599</v>
      </c>
      <c r="G122" s="166">
        <f>SUM(G123+G125+G127+G128+G129)</f>
        <v>0</v>
      </c>
      <c r="H122" s="166">
        <f>SUM(H123+H125+H127+H128+H129)</f>
        <v>0</v>
      </c>
      <c r="I122" s="166">
        <f>SUM(I123+I125+I127+I128+I129)</f>
        <v>0</v>
      </c>
      <c r="J122" s="166">
        <f t="shared" si="1"/>
        <v>15583599</v>
      </c>
      <c r="K122" s="570"/>
    </row>
    <row r="123" spans="1:11" ht="11.25" customHeight="1" hidden="1">
      <c r="A123" s="168"/>
      <c r="B123" s="168" t="s">
        <v>297</v>
      </c>
      <c r="C123" s="994" t="s">
        <v>352</v>
      </c>
      <c r="D123" s="994"/>
      <c r="E123" s="994"/>
      <c r="F123" s="169">
        <v>0</v>
      </c>
      <c r="G123" s="169">
        <v>0</v>
      </c>
      <c r="H123" s="169">
        <v>0</v>
      </c>
      <c r="I123" s="169">
        <v>0</v>
      </c>
      <c r="J123" s="170">
        <f t="shared" si="1"/>
        <v>0</v>
      </c>
      <c r="K123" s="571"/>
    </row>
    <row r="124" spans="1:11" ht="12.75" hidden="1">
      <c r="A124" s="176"/>
      <c r="B124" s="176"/>
      <c r="C124" s="177" t="s">
        <v>2</v>
      </c>
      <c r="D124" s="177" t="s">
        <v>434</v>
      </c>
      <c r="E124" s="177" t="s">
        <v>649</v>
      </c>
      <c r="F124" s="178">
        <v>0</v>
      </c>
      <c r="G124" s="178">
        <v>0</v>
      </c>
      <c r="H124" s="178">
        <v>0</v>
      </c>
      <c r="I124" s="178">
        <v>0</v>
      </c>
      <c r="J124" s="179">
        <f t="shared" si="1"/>
        <v>0</v>
      </c>
      <c r="K124" s="573"/>
    </row>
    <row r="125" spans="1:11" ht="11.25" customHeight="1">
      <c r="A125" s="168"/>
      <c r="B125" s="168" t="s">
        <v>298</v>
      </c>
      <c r="C125" s="994" t="s">
        <v>299</v>
      </c>
      <c r="D125" s="994"/>
      <c r="E125" s="994"/>
      <c r="F125" s="169">
        <f>62747330-3831623-848360+15172896+672563+3300476-30000000+1066203+500000-6753000+1032600+15000-1150000-1011276+3500000-3912880-868511-40212-172279-2717923-16864014-4353391</f>
        <v>15483599</v>
      </c>
      <c r="G125" s="169">
        <v>0</v>
      </c>
      <c r="H125" s="169">
        <v>0</v>
      </c>
      <c r="I125" s="169">
        <v>0</v>
      </c>
      <c r="J125" s="170">
        <f t="shared" si="1"/>
        <v>15483599</v>
      </c>
      <c r="K125" s="571"/>
    </row>
    <row r="126" spans="1:11" ht="12.75" hidden="1">
      <c r="A126" s="176"/>
      <c r="B126" s="176"/>
      <c r="C126" s="177" t="s">
        <v>2</v>
      </c>
      <c r="D126" s="177" t="s">
        <v>434</v>
      </c>
      <c r="E126" s="177" t="s">
        <v>300</v>
      </c>
      <c r="F126" s="178">
        <v>0</v>
      </c>
      <c r="G126" s="178">
        <v>0</v>
      </c>
      <c r="H126" s="178">
        <v>0</v>
      </c>
      <c r="I126" s="178">
        <v>0</v>
      </c>
      <c r="J126" s="179">
        <f t="shared" si="1"/>
        <v>0</v>
      </c>
      <c r="K126" s="573"/>
    </row>
    <row r="127" spans="1:11" ht="12.75" hidden="1">
      <c r="A127" s="168"/>
      <c r="B127" s="168" t="s">
        <v>301</v>
      </c>
      <c r="C127" s="994" t="s">
        <v>302</v>
      </c>
      <c r="D127" s="994"/>
      <c r="E127" s="994"/>
      <c r="F127" s="169">
        <v>0</v>
      </c>
      <c r="G127" s="169">
        <v>0</v>
      </c>
      <c r="H127" s="169">
        <v>0</v>
      </c>
      <c r="I127" s="169">
        <v>0</v>
      </c>
      <c r="J127" s="170">
        <f t="shared" si="1"/>
        <v>0</v>
      </c>
      <c r="K127" s="571"/>
    </row>
    <row r="128" spans="1:11" ht="12.75" hidden="1">
      <c r="A128" s="168"/>
      <c r="B128" s="168" t="s">
        <v>303</v>
      </c>
      <c r="C128" s="994" t="s">
        <v>304</v>
      </c>
      <c r="D128" s="994"/>
      <c r="E128" s="994"/>
      <c r="F128" s="169">
        <v>0</v>
      </c>
      <c r="G128" s="169">
        <v>0</v>
      </c>
      <c r="H128" s="169">
        <v>0</v>
      </c>
      <c r="I128" s="169">
        <v>0</v>
      </c>
      <c r="J128" s="170">
        <f t="shared" si="1"/>
        <v>0</v>
      </c>
      <c r="K128" s="571"/>
    </row>
    <row r="129" spans="1:11" ht="12.75" hidden="1">
      <c r="A129" s="168"/>
      <c r="B129" s="168" t="s">
        <v>305</v>
      </c>
      <c r="C129" s="994" t="s">
        <v>306</v>
      </c>
      <c r="D129" s="994"/>
      <c r="E129" s="994"/>
      <c r="F129" s="169">
        <v>0</v>
      </c>
      <c r="G129" s="169">
        <v>0</v>
      </c>
      <c r="H129" s="169">
        <v>0</v>
      </c>
      <c r="I129" s="169">
        <v>0</v>
      </c>
      <c r="J129" s="170">
        <f t="shared" si="1"/>
        <v>0</v>
      </c>
      <c r="K129" s="571"/>
    </row>
    <row r="130" spans="1:11" ht="11.25" customHeight="1">
      <c r="A130" s="168"/>
      <c r="B130" s="168" t="s">
        <v>301</v>
      </c>
      <c r="C130" s="994" t="s">
        <v>302</v>
      </c>
      <c r="D130" s="994"/>
      <c r="E130" s="994"/>
      <c r="F130" s="169">
        <v>100000</v>
      </c>
      <c r="G130" s="169">
        <v>0</v>
      </c>
      <c r="H130" s="169">
        <v>0</v>
      </c>
      <c r="I130" s="169">
        <v>0</v>
      </c>
      <c r="J130" s="170">
        <f>SUM(F130:I130)</f>
        <v>100000</v>
      </c>
      <c r="K130" s="571"/>
    </row>
    <row r="131" spans="1:11" s="167" customFormat="1" ht="12" customHeight="1">
      <c r="A131" s="165" t="s">
        <v>307</v>
      </c>
      <c r="B131" s="998" t="s">
        <v>308</v>
      </c>
      <c r="C131" s="998"/>
      <c r="D131" s="998"/>
      <c r="E131" s="998"/>
      <c r="F131" s="166">
        <f>SUM(F132+F133+F134+F135+F145)</f>
        <v>369571</v>
      </c>
      <c r="G131" s="166">
        <f>SUM(G132+G133+G134+G135+G145)</f>
        <v>0</v>
      </c>
      <c r="H131" s="166">
        <f>SUM(H132+H133+H134+H135+H145)</f>
        <v>0</v>
      </c>
      <c r="I131" s="166">
        <f>SUM(I132+I133+I134+I135+I145)</f>
        <v>0</v>
      </c>
      <c r="J131" s="166">
        <f t="shared" si="1"/>
        <v>369571</v>
      </c>
      <c r="K131" s="570"/>
    </row>
    <row r="132" spans="1:11" ht="12.75" hidden="1">
      <c r="A132" s="168"/>
      <c r="B132" s="168" t="s">
        <v>309</v>
      </c>
      <c r="C132" s="994" t="s">
        <v>679</v>
      </c>
      <c r="D132" s="994"/>
      <c r="E132" s="994"/>
      <c r="F132" s="169">
        <v>0</v>
      </c>
      <c r="G132" s="169">
        <v>0</v>
      </c>
      <c r="H132" s="169">
        <v>0</v>
      </c>
      <c r="I132" s="169">
        <v>0</v>
      </c>
      <c r="J132" s="170">
        <f t="shared" si="1"/>
        <v>0</v>
      </c>
      <c r="K132" s="571"/>
    </row>
    <row r="133" spans="1:11" ht="12.75" hidden="1">
      <c r="A133" s="168"/>
      <c r="B133" s="168" t="s">
        <v>310</v>
      </c>
      <c r="C133" s="994" t="s">
        <v>680</v>
      </c>
      <c r="D133" s="994"/>
      <c r="E133" s="994"/>
      <c r="F133" s="169">
        <v>0</v>
      </c>
      <c r="G133" s="169">
        <v>0</v>
      </c>
      <c r="H133" s="169">
        <v>0</v>
      </c>
      <c r="I133" s="169">
        <v>0</v>
      </c>
      <c r="J133" s="170">
        <f t="shared" si="1"/>
        <v>0</v>
      </c>
      <c r="K133" s="571"/>
    </row>
    <row r="134" spans="1:11" ht="26.25" customHeight="1" hidden="1">
      <c r="A134" s="168"/>
      <c r="B134" s="168" t="s">
        <v>312</v>
      </c>
      <c r="C134" s="1001" t="s">
        <v>681</v>
      </c>
      <c r="D134" s="1001"/>
      <c r="E134" s="1001"/>
      <c r="F134" s="169">
        <v>0</v>
      </c>
      <c r="G134" s="169">
        <v>0</v>
      </c>
      <c r="H134" s="169">
        <v>0</v>
      </c>
      <c r="I134" s="169">
        <v>0</v>
      </c>
      <c r="J134" s="170">
        <f t="shared" si="1"/>
        <v>0</v>
      </c>
      <c r="K134" s="571"/>
    </row>
    <row r="135" spans="1:11" ht="12.75" hidden="1">
      <c r="A135" s="168"/>
      <c r="B135" s="168" t="s">
        <v>553</v>
      </c>
      <c r="C135" s="994" t="s">
        <v>682</v>
      </c>
      <c r="D135" s="994"/>
      <c r="E135" s="994"/>
      <c r="F135" s="169">
        <f>SUM(F136:F144)</f>
        <v>0</v>
      </c>
      <c r="G135" s="169">
        <v>0</v>
      </c>
      <c r="H135" s="169">
        <v>0</v>
      </c>
      <c r="I135" s="169">
        <v>0</v>
      </c>
      <c r="J135" s="170">
        <f t="shared" si="1"/>
        <v>0</v>
      </c>
      <c r="K135" s="571"/>
    </row>
    <row r="136" spans="1:11" ht="12.75" hidden="1">
      <c r="A136" s="175"/>
      <c r="B136" s="175"/>
      <c r="C136" s="177" t="s">
        <v>2</v>
      </c>
      <c r="D136" s="177" t="s">
        <v>157</v>
      </c>
      <c r="E136" s="177" t="s">
        <v>184</v>
      </c>
      <c r="F136" s="178">
        <v>0</v>
      </c>
      <c r="G136" s="178">
        <v>0</v>
      </c>
      <c r="H136" s="178">
        <v>0</v>
      </c>
      <c r="I136" s="178">
        <v>0</v>
      </c>
      <c r="J136" s="179">
        <f t="shared" si="1"/>
        <v>0</v>
      </c>
      <c r="K136" s="573"/>
    </row>
    <row r="137" spans="1:11" ht="12.75" hidden="1">
      <c r="A137" s="175"/>
      <c r="B137" s="175"/>
      <c r="C137" s="177"/>
      <c r="D137" s="177" t="s">
        <v>159</v>
      </c>
      <c r="E137" s="177" t="s">
        <v>575</v>
      </c>
      <c r="F137" s="178">
        <v>0</v>
      </c>
      <c r="G137" s="178">
        <v>0</v>
      </c>
      <c r="H137" s="178">
        <v>0</v>
      </c>
      <c r="I137" s="178">
        <v>0</v>
      </c>
      <c r="J137" s="179">
        <f t="shared" si="1"/>
        <v>0</v>
      </c>
      <c r="K137" s="573"/>
    </row>
    <row r="138" spans="1:11" ht="12.75" hidden="1">
      <c r="A138" s="175"/>
      <c r="B138" s="175"/>
      <c r="C138" s="177"/>
      <c r="D138" s="177" t="s">
        <v>161</v>
      </c>
      <c r="E138" s="177" t="s">
        <v>185</v>
      </c>
      <c r="F138" s="178">
        <v>0</v>
      </c>
      <c r="G138" s="178">
        <v>0</v>
      </c>
      <c r="H138" s="178">
        <v>0</v>
      </c>
      <c r="I138" s="178">
        <v>0</v>
      </c>
      <c r="J138" s="179">
        <f aca="true" t="shared" si="2" ref="J138:J201">SUM(F138:I138)</f>
        <v>0</v>
      </c>
      <c r="K138" s="573"/>
    </row>
    <row r="139" spans="1:11" ht="12.75" hidden="1">
      <c r="A139" s="175"/>
      <c r="B139" s="175"/>
      <c r="C139" s="177"/>
      <c r="D139" s="177" t="s">
        <v>163</v>
      </c>
      <c r="E139" s="177" t="s">
        <v>186</v>
      </c>
      <c r="F139" s="178">
        <v>0</v>
      </c>
      <c r="G139" s="178">
        <v>0</v>
      </c>
      <c r="H139" s="178">
        <v>0</v>
      </c>
      <c r="I139" s="178">
        <v>0</v>
      </c>
      <c r="J139" s="179">
        <f t="shared" si="2"/>
        <v>0</v>
      </c>
      <c r="K139" s="573"/>
    </row>
    <row r="140" spans="1:11" ht="12.75" hidden="1">
      <c r="A140" s="175"/>
      <c r="B140" s="175"/>
      <c r="C140" s="177"/>
      <c r="D140" s="177" t="s">
        <v>165</v>
      </c>
      <c r="E140" s="177" t="s">
        <v>187</v>
      </c>
      <c r="F140" s="178">
        <v>0</v>
      </c>
      <c r="G140" s="178">
        <v>0</v>
      </c>
      <c r="H140" s="178">
        <v>0</v>
      </c>
      <c r="I140" s="178">
        <v>0</v>
      </c>
      <c r="J140" s="179">
        <f t="shared" si="2"/>
        <v>0</v>
      </c>
      <c r="K140" s="573"/>
    </row>
    <row r="141" spans="1:11" ht="12.75" hidden="1">
      <c r="A141" s="175"/>
      <c r="B141" s="175"/>
      <c r="C141" s="177"/>
      <c r="D141" s="177" t="s">
        <v>167</v>
      </c>
      <c r="E141" s="177" t="s">
        <v>535</v>
      </c>
      <c r="F141" s="178">
        <v>0</v>
      </c>
      <c r="G141" s="178">
        <v>0</v>
      </c>
      <c r="H141" s="178">
        <v>0</v>
      </c>
      <c r="I141" s="178">
        <v>0</v>
      </c>
      <c r="J141" s="179">
        <f t="shared" si="2"/>
        <v>0</v>
      </c>
      <c r="K141" s="573"/>
    </row>
    <row r="142" spans="1:11" ht="12.75" hidden="1">
      <c r="A142" s="175"/>
      <c r="B142" s="175"/>
      <c r="C142" s="177"/>
      <c r="D142" s="177" t="s">
        <v>169</v>
      </c>
      <c r="E142" s="177" t="s">
        <v>534</v>
      </c>
      <c r="F142" s="187">
        <v>0</v>
      </c>
      <c r="G142" s="178">
        <v>0</v>
      </c>
      <c r="H142" s="178">
        <v>0</v>
      </c>
      <c r="I142" s="178">
        <v>0</v>
      </c>
      <c r="J142" s="179">
        <f t="shared" si="2"/>
        <v>0</v>
      </c>
      <c r="K142" s="573"/>
    </row>
    <row r="143" spans="1:11" ht="12.75" hidden="1">
      <c r="A143" s="175"/>
      <c r="B143" s="175"/>
      <c r="C143" s="177"/>
      <c r="D143" s="177" t="s">
        <v>171</v>
      </c>
      <c r="E143" s="177" t="s">
        <v>190</v>
      </c>
      <c r="F143" s="178"/>
      <c r="G143" s="178">
        <v>0</v>
      </c>
      <c r="H143" s="178">
        <v>0</v>
      </c>
      <c r="I143" s="178">
        <v>0</v>
      </c>
      <c r="J143" s="179">
        <f t="shared" si="2"/>
        <v>0</v>
      </c>
      <c r="K143" s="573"/>
    </row>
    <row r="144" spans="1:11" ht="12.75" hidden="1">
      <c r="A144" s="175"/>
      <c r="B144" s="175"/>
      <c r="C144" s="177"/>
      <c r="D144" s="177" t="s">
        <v>173</v>
      </c>
      <c r="E144" s="177" t="s">
        <v>576</v>
      </c>
      <c r="F144" s="178">
        <v>0</v>
      </c>
      <c r="G144" s="178">
        <v>0</v>
      </c>
      <c r="H144" s="178">
        <v>0</v>
      </c>
      <c r="I144" s="178">
        <v>0</v>
      </c>
      <c r="J144" s="179">
        <f t="shared" si="2"/>
        <v>0</v>
      </c>
      <c r="K144" s="573"/>
    </row>
    <row r="145" spans="1:11" ht="12" customHeight="1">
      <c r="A145" s="168"/>
      <c r="B145" s="168" t="s">
        <v>554</v>
      </c>
      <c r="C145" s="994" t="s">
        <v>650</v>
      </c>
      <c r="D145" s="994"/>
      <c r="E145" s="994"/>
      <c r="F145" s="169">
        <f>302525+67046</f>
        <v>369571</v>
      </c>
      <c r="G145" s="169">
        <v>0</v>
      </c>
      <c r="H145" s="169">
        <v>0</v>
      </c>
      <c r="I145" s="169">
        <v>0</v>
      </c>
      <c r="J145" s="170">
        <f t="shared" si="2"/>
        <v>369571</v>
      </c>
      <c r="K145" s="571"/>
    </row>
    <row r="146" spans="1:11" ht="12.75" hidden="1">
      <c r="A146" s="168"/>
      <c r="B146" s="168"/>
      <c r="C146" s="177" t="s">
        <v>2</v>
      </c>
      <c r="D146" s="568"/>
      <c r="E146" s="177" t="s">
        <v>190</v>
      </c>
      <c r="F146" s="178">
        <f>302525+67046</f>
        <v>369571</v>
      </c>
      <c r="G146" s="178">
        <v>0</v>
      </c>
      <c r="H146" s="178">
        <v>0</v>
      </c>
      <c r="I146" s="178">
        <v>0</v>
      </c>
      <c r="J146" s="179">
        <f>SUM(F146:I146)</f>
        <v>369571</v>
      </c>
      <c r="K146" s="571"/>
    </row>
    <row r="147" spans="1:11" s="167" customFormat="1" ht="12" customHeight="1">
      <c r="A147" s="165" t="s">
        <v>313</v>
      </c>
      <c r="B147" s="998" t="s">
        <v>314</v>
      </c>
      <c r="C147" s="998"/>
      <c r="D147" s="998"/>
      <c r="E147" s="998"/>
      <c r="F147" s="166">
        <f>SUM(F148+F149+F150+F151+F161)</f>
        <v>33081467</v>
      </c>
      <c r="G147" s="166">
        <f>SUM(G148+G149+G150+G151+G161)</f>
        <v>0</v>
      </c>
      <c r="H147" s="166">
        <f>SUM(H148+H149+H150+H151+H161)</f>
        <v>0</v>
      </c>
      <c r="I147" s="166">
        <f>SUM(I148+I149+I150+I151+I161)</f>
        <v>0</v>
      </c>
      <c r="J147" s="166">
        <f t="shared" si="2"/>
        <v>33081467</v>
      </c>
      <c r="K147" s="570"/>
    </row>
    <row r="148" spans="1:11" ht="12.75" hidden="1">
      <c r="A148" s="168"/>
      <c r="B148" s="168" t="s">
        <v>315</v>
      </c>
      <c r="C148" s="994" t="s">
        <v>683</v>
      </c>
      <c r="D148" s="994"/>
      <c r="E148" s="994"/>
      <c r="F148" s="169">
        <v>0</v>
      </c>
      <c r="G148" s="169">
        <v>0</v>
      </c>
      <c r="H148" s="169">
        <v>0</v>
      </c>
      <c r="I148" s="169">
        <v>0</v>
      </c>
      <c r="J148" s="170">
        <f t="shared" si="2"/>
        <v>0</v>
      </c>
      <c r="K148" s="571"/>
    </row>
    <row r="149" spans="1:11" ht="12.75" hidden="1">
      <c r="A149" s="168"/>
      <c r="B149" s="168" t="s">
        <v>316</v>
      </c>
      <c r="C149" s="994" t="s">
        <v>684</v>
      </c>
      <c r="D149" s="994"/>
      <c r="E149" s="994"/>
      <c r="F149" s="169">
        <v>0</v>
      </c>
      <c r="G149" s="169">
        <v>0</v>
      </c>
      <c r="H149" s="169">
        <v>0</v>
      </c>
      <c r="I149" s="169">
        <v>0</v>
      </c>
      <c r="J149" s="170">
        <f t="shared" si="2"/>
        <v>0</v>
      </c>
      <c r="K149" s="571"/>
    </row>
    <row r="150" spans="1:11" ht="25.5" customHeight="1" hidden="1">
      <c r="A150" s="168"/>
      <c r="B150" s="168" t="s">
        <v>317</v>
      </c>
      <c r="C150" s="1001" t="s">
        <v>685</v>
      </c>
      <c r="D150" s="1001"/>
      <c r="E150" s="1001"/>
      <c r="F150" s="169">
        <v>0</v>
      </c>
      <c r="G150" s="169">
        <v>0</v>
      </c>
      <c r="H150" s="169">
        <v>0</v>
      </c>
      <c r="I150" s="169">
        <v>0</v>
      </c>
      <c r="J150" s="170">
        <f t="shared" si="2"/>
        <v>0</v>
      </c>
      <c r="K150" s="571"/>
    </row>
    <row r="151" spans="1:11" ht="12.75" hidden="1">
      <c r="A151" s="175"/>
      <c r="B151" s="168" t="s">
        <v>555</v>
      </c>
      <c r="C151" s="994" t="s">
        <v>686</v>
      </c>
      <c r="D151" s="994"/>
      <c r="E151" s="994"/>
      <c r="F151" s="169">
        <f>SUM(F152:F160)</f>
        <v>0</v>
      </c>
      <c r="G151" s="169">
        <f>SUM(G152:G160)</f>
        <v>0</v>
      </c>
      <c r="H151" s="169">
        <f>SUM(H152:H160)</f>
        <v>0</v>
      </c>
      <c r="I151" s="169">
        <f>SUM(I152:I160)</f>
        <v>0</v>
      </c>
      <c r="J151" s="170">
        <f t="shared" si="2"/>
        <v>0</v>
      </c>
      <c r="K151" s="571"/>
    </row>
    <row r="152" spans="1:11" ht="12.75" hidden="1">
      <c r="A152" s="175"/>
      <c r="B152" s="175"/>
      <c r="C152" s="177" t="s">
        <v>2</v>
      </c>
      <c r="D152" s="177" t="s">
        <v>157</v>
      </c>
      <c r="E152" s="177" t="s">
        <v>184</v>
      </c>
      <c r="F152" s="178">
        <v>0</v>
      </c>
      <c r="G152" s="178">
        <v>0</v>
      </c>
      <c r="H152" s="178">
        <v>0</v>
      </c>
      <c r="I152" s="178">
        <v>0</v>
      </c>
      <c r="J152" s="179">
        <f t="shared" si="2"/>
        <v>0</v>
      </c>
      <c r="K152" s="573"/>
    </row>
    <row r="153" spans="1:11" ht="12.75" hidden="1">
      <c r="A153" s="175"/>
      <c r="B153" s="175"/>
      <c r="C153" s="177"/>
      <c r="D153" s="177" t="s">
        <v>159</v>
      </c>
      <c r="E153" s="177" t="s">
        <v>575</v>
      </c>
      <c r="F153" s="178">
        <v>0</v>
      </c>
      <c r="G153" s="178">
        <v>0</v>
      </c>
      <c r="H153" s="178">
        <v>0</v>
      </c>
      <c r="I153" s="178">
        <v>0</v>
      </c>
      <c r="J153" s="179">
        <f t="shared" si="2"/>
        <v>0</v>
      </c>
      <c r="K153" s="573"/>
    </row>
    <row r="154" spans="1:11" ht="12.75" hidden="1">
      <c r="A154" s="175"/>
      <c r="B154" s="175"/>
      <c r="C154" s="177"/>
      <c r="D154" s="177" t="s">
        <v>161</v>
      </c>
      <c r="E154" s="177" t="s">
        <v>185</v>
      </c>
      <c r="F154" s="178">
        <v>0</v>
      </c>
      <c r="G154" s="178">
        <v>0</v>
      </c>
      <c r="H154" s="178">
        <v>0</v>
      </c>
      <c r="I154" s="178">
        <v>0</v>
      </c>
      <c r="J154" s="179">
        <f t="shared" si="2"/>
        <v>0</v>
      </c>
      <c r="K154" s="573"/>
    </row>
    <row r="155" spans="1:11" ht="12.75" hidden="1">
      <c r="A155" s="175"/>
      <c r="B155" s="175"/>
      <c r="C155" s="177"/>
      <c r="D155" s="177" t="s">
        <v>163</v>
      </c>
      <c r="E155" s="177" t="s">
        <v>186</v>
      </c>
      <c r="F155" s="178">
        <v>0</v>
      </c>
      <c r="G155" s="178">
        <v>0</v>
      </c>
      <c r="H155" s="178">
        <v>0</v>
      </c>
      <c r="I155" s="178">
        <v>0</v>
      </c>
      <c r="J155" s="179">
        <f t="shared" si="2"/>
        <v>0</v>
      </c>
      <c r="K155" s="573"/>
    </row>
    <row r="156" spans="1:11" ht="12.75" hidden="1">
      <c r="A156" s="175"/>
      <c r="B156" s="175"/>
      <c r="C156" s="177"/>
      <c r="D156" s="177" t="s">
        <v>165</v>
      </c>
      <c r="E156" s="177" t="s">
        <v>187</v>
      </c>
      <c r="F156" s="178">
        <v>0</v>
      </c>
      <c r="G156" s="178">
        <v>0</v>
      </c>
      <c r="H156" s="178">
        <v>0</v>
      </c>
      <c r="I156" s="178">
        <v>0</v>
      </c>
      <c r="J156" s="179">
        <f t="shared" si="2"/>
        <v>0</v>
      </c>
      <c r="K156" s="573"/>
    </row>
    <row r="157" spans="1:11" ht="12.75" hidden="1">
      <c r="A157" s="175"/>
      <c r="B157" s="175"/>
      <c r="C157" s="177"/>
      <c r="D157" s="177" t="s">
        <v>167</v>
      </c>
      <c r="E157" s="177" t="s">
        <v>535</v>
      </c>
      <c r="F157" s="178">
        <v>0</v>
      </c>
      <c r="G157" s="178">
        <v>0</v>
      </c>
      <c r="H157" s="178">
        <v>0</v>
      </c>
      <c r="I157" s="178">
        <v>0</v>
      </c>
      <c r="J157" s="179">
        <f t="shared" si="2"/>
        <v>0</v>
      </c>
      <c r="K157" s="573"/>
    </row>
    <row r="158" spans="1:11" ht="12.75" hidden="1">
      <c r="A158" s="175"/>
      <c r="B158" s="175"/>
      <c r="C158" s="177"/>
      <c r="D158" s="177" t="s">
        <v>169</v>
      </c>
      <c r="E158" s="177" t="s">
        <v>534</v>
      </c>
      <c r="F158" s="187">
        <v>0</v>
      </c>
      <c r="G158" s="178">
        <v>0</v>
      </c>
      <c r="H158" s="178">
        <v>0</v>
      </c>
      <c r="I158" s="178">
        <v>0</v>
      </c>
      <c r="J158" s="179">
        <f t="shared" si="2"/>
        <v>0</v>
      </c>
      <c r="K158" s="573"/>
    </row>
    <row r="159" spans="1:11" ht="12.75" hidden="1">
      <c r="A159" s="175"/>
      <c r="B159" s="175"/>
      <c r="C159" s="177"/>
      <c r="D159" s="177" t="s">
        <v>171</v>
      </c>
      <c r="E159" s="177" t="s">
        <v>190</v>
      </c>
      <c r="F159" s="178">
        <v>0</v>
      </c>
      <c r="G159" s="178">
        <v>0</v>
      </c>
      <c r="H159" s="178">
        <v>0</v>
      </c>
      <c r="I159" s="178">
        <v>0</v>
      </c>
      <c r="J159" s="179">
        <f t="shared" si="2"/>
        <v>0</v>
      </c>
      <c r="K159" s="573"/>
    </row>
    <row r="160" spans="1:11" ht="12.75" hidden="1">
      <c r="A160" s="175"/>
      <c r="B160" s="175"/>
      <c r="C160" s="177"/>
      <c r="D160" s="177" t="s">
        <v>173</v>
      </c>
      <c r="E160" s="177" t="s">
        <v>576</v>
      </c>
      <c r="F160" s="178">
        <v>0</v>
      </c>
      <c r="G160" s="178">
        <v>0</v>
      </c>
      <c r="H160" s="178">
        <v>0</v>
      </c>
      <c r="I160" s="178">
        <v>0</v>
      </c>
      <c r="J160" s="179">
        <f t="shared" si="2"/>
        <v>0</v>
      </c>
      <c r="K160" s="573"/>
    </row>
    <row r="161" spans="1:11" ht="12" customHeight="1">
      <c r="A161" s="175"/>
      <c r="B161" s="168" t="s">
        <v>556</v>
      </c>
      <c r="C161" s="994" t="s">
        <v>632</v>
      </c>
      <c r="D161" s="994"/>
      <c r="E161" s="994"/>
      <c r="F161" s="169">
        <f>SUM(F162:F172)+33081467</f>
        <v>33081467</v>
      </c>
      <c r="G161" s="169">
        <f>SUM(G162:G172)</f>
        <v>0</v>
      </c>
      <c r="H161" s="169">
        <f>SUM(H162:H172)</f>
        <v>0</v>
      </c>
      <c r="I161" s="169">
        <f>SUM(I162:I172)</f>
        <v>0</v>
      </c>
      <c r="J161" s="170">
        <f t="shared" si="2"/>
        <v>33081467</v>
      </c>
      <c r="K161" s="571"/>
    </row>
    <row r="162" spans="1:11" ht="12" customHeight="1" hidden="1">
      <c r="A162" s="175"/>
      <c r="B162" s="175"/>
      <c r="C162" s="177" t="s">
        <v>2</v>
      </c>
      <c r="D162" s="177" t="s">
        <v>157</v>
      </c>
      <c r="E162" s="177" t="s">
        <v>184</v>
      </c>
      <c r="F162" s="178">
        <v>0</v>
      </c>
      <c r="G162" s="178">
        <v>0</v>
      </c>
      <c r="H162" s="178">
        <v>0</v>
      </c>
      <c r="I162" s="178">
        <v>0</v>
      </c>
      <c r="J162" s="179">
        <f t="shared" si="2"/>
        <v>0</v>
      </c>
      <c r="K162" s="573"/>
    </row>
    <row r="163" spans="1:11" ht="12.75" hidden="1">
      <c r="A163" s="175"/>
      <c r="B163" s="175"/>
      <c r="C163" s="177"/>
      <c r="D163" s="177" t="s">
        <v>159</v>
      </c>
      <c r="E163" s="177" t="s">
        <v>575</v>
      </c>
      <c r="F163" s="178">
        <v>0</v>
      </c>
      <c r="G163" s="178">
        <v>0</v>
      </c>
      <c r="H163" s="178">
        <v>0</v>
      </c>
      <c r="I163" s="178">
        <v>0</v>
      </c>
      <c r="J163" s="179">
        <f t="shared" si="2"/>
        <v>0</v>
      </c>
      <c r="K163" s="573"/>
    </row>
    <row r="164" spans="1:11" ht="12.75" hidden="1">
      <c r="A164" s="175"/>
      <c r="B164" s="175"/>
      <c r="C164" s="177"/>
      <c r="D164" s="177" t="s">
        <v>161</v>
      </c>
      <c r="E164" s="177" t="s">
        <v>185</v>
      </c>
      <c r="F164" s="178">
        <v>0</v>
      </c>
      <c r="G164" s="178">
        <v>0</v>
      </c>
      <c r="H164" s="178">
        <v>0</v>
      </c>
      <c r="I164" s="178">
        <v>0</v>
      </c>
      <c r="J164" s="179">
        <f t="shared" si="2"/>
        <v>0</v>
      </c>
      <c r="K164" s="573"/>
    </row>
    <row r="165" spans="1:11" ht="12.75" hidden="1">
      <c r="A165" s="175"/>
      <c r="B165" s="175"/>
      <c r="C165" s="177"/>
      <c r="D165" s="177" t="s">
        <v>163</v>
      </c>
      <c r="E165" s="177" t="s">
        <v>186</v>
      </c>
      <c r="F165" s="178">
        <v>0</v>
      </c>
      <c r="G165" s="178">
        <v>0</v>
      </c>
      <c r="H165" s="178">
        <v>0</v>
      </c>
      <c r="I165" s="178">
        <v>0</v>
      </c>
      <c r="J165" s="179">
        <f t="shared" si="2"/>
        <v>0</v>
      </c>
      <c r="K165" s="573"/>
    </row>
    <row r="166" spans="1:11" ht="12.75" hidden="1">
      <c r="A166" s="175"/>
      <c r="B166" s="175"/>
      <c r="C166" s="177"/>
      <c r="D166" s="177" t="s">
        <v>165</v>
      </c>
      <c r="E166" s="177" t="s">
        <v>187</v>
      </c>
      <c r="F166" s="178">
        <v>0</v>
      </c>
      <c r="G166" s="178">
        <v>0</v>
      </c>
      <c r="H166" s="178">
        <v>0</v>
      </c>
      <c r="I166" s="178">
        <v>0</v>
      </c>
      <c r="J166" s="179">
        <f t="shared" si="2"/>
        <v>0</v>
      </c>
      <c r="K166" s="573"/>
    </row>
    <row r="167" spans="1:11" ht="12.75" hidden="1">
      <c r="A167" s="175"/>
      <c r="B167" s="175"/>
      <c r="C167" s="177"/>
      <c r="D167" s="177" t="s">
        <v>167</v>
      </c>
      <c r="E167" s="177" t="s">
        <v>535</v>
      </c>
      <c r="F167" s="178">
        <v>0</v>
      </c>
      <c r="G167" s="178">
        <v>0</v>
      </c>
      <c r="H167" s="178">
        <v>0</v>
      </c>
      <c r="I167" s="178">
        <v>0</v>
      </c>
      <c r="J167" s="179">
        <f t="shared" si="2"/>
        <v>0</v>
      </c>
      <c r="K167" s="573"/>
    </row>
    <row r="168" spans="1:11" ht="12.75" hidden="1">
      <c r="A168" s="175"/>
      <c r="B168" s="175"/>
      <c r="C168" s="177"/>
      <c r="D168" s="177" t="s">
        <v>169</v>
      </c>
      <c r="E168" s="177" t="s">
        <v>534</v>
      </c>
      <c r="F168" s="187">
        <v>0</v>
      </c>
      <c r="G168" s="178">
        <v>0</v>
      </c>
      <c r="H168" s="178">
        <v>0</v>
      </c>
      <c r="I168" s="178">
        <v>0</v>
      </c>
      <c r="J168" s="179">
        <f t="shared" si="2"/>
        <v>0</v>
      </c>
      <c r="K168" s="573"/>
    </row>
    <row r="169" spans="1:11" ht="12.75" hidden="1">
      <c r="A169" s="175"/>
      <c r="B169" s="175"/>
      <c r="C169" s="177"/>
      <c r="D169" s="177" t="s">
        <v>171</v>
      </c>
      <c r="E169" s="177" t="s">
        <v>190</v>
      </c>
      <c r="F169" s="178">
        <v>0</v>
      </c>
      <c r="G169" s="178">
        <v>0</v>
      </c>
      <c r="H169" s="178">
        <v>0</v>
      </c>
      <c r="I169" s="178">
        <v>0</v>
      </c>
      <c r="J169" s="179">
        <f t="shared" si="2"/>
        <v>0</v>
      </c>
      <c r="K169" s="573"/>
    </row>
    <row r="170" spans="1:11" ht="12.75" hidden="1">
      <c r="A170" s="175"/>
      <c r="B170" s="175"/>
      <c r="C170" s="177"/>
      <c r="D170" s="177" t="s">
        <v>173</v>
      </c>
      <c r="E170" s="177" t="s">
        <v>191</v>
      </c>
      <c r="F170" s="178">
        <v>0</v>
      </c>
      <c r="G170" s="178">
        <v>0</v>
      </c>
      <c r="H170" s="178">
        <v>0</v>
      </c>
      <c r="I170" s="178">
        <v>0</v>
      </c>
      <c r="J170" s="179">
        <f t="shared" si="2"/>
        <v>0</v>
      </c>
      <c r="K170" s="573"/>
    </row>
    <row r="171" spans="1:11" ht="12.75" hidden="1">
      <c r="A171" s="175"/>
      <c r="B171" s="175"/>
      <c r="C171" s="177"/>
      <c r="D171" s="177" t="s">
        <v>175</v>
      </c>
      <c r="E171" s="177" t="s">
        <v>192</v>
      </c>
      <c r="F171" s="178">
        <v>0</v>
      </c>
      <c r="G171" s="178">
        <v>0</v>
      </c>
      <c r="H171" s="178">
        <v>0</v>
      </c>
      <c r="I171" s="178">
        <v>0</v>
      </c>
      <c r="J171" s="179">
        <f t="shared" si="2"/>
        <v>0</v>
      </c>
      <c r="K171" s="573"/>
    </row>
    <row r="172" spans="1:11" ht="12.75" hidden="1">
      <c r="A172" s="175"/>
      <c r="B172" s="175"/>
      <c r="C172" s="177"/>
      <c r="D172" s="177" t="s">
        <v>577</v>
      </c>
      <c r="E172" s="177" t="s">
        <v>193</v>
      </c>
      <c r="F172" s="178">
        <v>0</v>
      </c>
      <c r="G172" s="178">
        <v>0</v>
      </c>
      <c r="H172" s="178">
        <v>0</v>
      </c>
      <c r="I172" s="178">
        <v>0</v>
      </c>
      <c r="J172" s="179">
        <f t="shared" si="2"/>
        <v>0</v>
      </c>
      <c r="K172" s="573"/>
    </row>
    <row r="173" spans="1:11" s="167" customFormat="1" ht="12.75">
      <c r="A173" s="165" t="s">
        <v>318</v>
      </c>
      <c r="B173" s="998" t="s">
        <v>319</v>
      </c>
      <c r="C173" s="998"/>
      <c r="D173" s="998"/>
      <c r="E173" s="998"/>
      <c r="F173" s="166">
        <f>SUM(F174+F197+F198+F199)</f>
        <v>399530109</v>
      </c>
      <c r="G173" s="166">
        <f>SUM(G174+G197+G198+G199)</f>
        <v>439819</v>
      </c>
      <c r="H173" s="166">
        <f>SUM(H174+H197+H198+H199)</f>
        <v>34138565</v>
      </c>
      <c r="I173" s="166">
        <f>SUM(I174+I197+I198+I199)</f>
        <v>0</v>
      </c>
      <c r="J173" s="166">
        <f t="shared" si="2"/>
        <v>434108493</v>
      </c>
      <c r="K173" s="570"/>
    </row>
    <row r="174" spans="1:11" ht="12.75">
      <c r="A174" s="175"/>
      <c r="B174" s="168" t="s">
        <v>320</v>
      </c>
      <c r="C174" s="994" t="s">
        <v>321</v>
      </c>
      <c r="D174" s="994"/>
      <c r="E174" s="994"/>
      <c r="F174" s="169">
        <f>SUM(F175+F179+F184+F189+F190+F191+F192+F193+F194)</f>
        <v>399530109</v>
      </c>
      <c r="G174" s="169">
        <f>SUM(G175+G179+G184+G189+G190+G191+G192+G193+G194)</f>
        <v>439819</v>
      </c>
      <c r="H174" s="169">
        <f>SUM(H175+H179+H184+H189+H190+H191+H192+H193+H194)</f>
        <v>34138565</v>
      </c>
      <c r="I174" s="169">
        <f>SUM(I175+I179+I184+I189+I190+I191+I192+I193+I194)</f>
        <v>0</v>
      </c>
      <c r="J174" s="170">
        <f t="shared" si="2"/>
        <v>434108493</v>
      </c>
      <c r="K174" s="571"/>
    </row>
    <row r="175" spans="1:11" ht="11.25" customHeight="1">
      <c r="A175" s="171"/>
      <c r="B175" s="171"/>
      <c r="C175" s="171" t="s">
        <v>322</v>
      </c>
      <c r="D175" s="171" t="s">
        <v>603</v>
      </c>
      <c r="E175" s="171"/>
      <c r="F175" s="172">
        <f>SUM(F176:F178)</f>
        <v>0</v>
      </c>
      <c r="G175" s="172">
        <f>SUM(G176:G178)</f>
        <v>0</v>
      </c>
      <c r="H175" s="172">
        <f>SUM(H176:H178)</f>
        <v>0</v>
      </c>
      <c r="I175" s="172">
        <f>SUM(I176:I178)</f>
        <v>0</v>
      </c>
      <c r="J175" s="173">
        <f t="shared" si="2"/>
        <v>0</v>
      </c>
      <c r="K175" s="572"/>
    </row>
    <row r="176" spans="1:11" ht="12.75" hidden="1">
      <c r="A176" s="188"/>
      <c r="B176" s="188"/>
      <c r="C176" s="188"/>
      <c r="D176" s="188" t="s">
        <v>323</v>
      </c>
      <c r="E176" s="188" t="s">
        <v>687</v>
      </c>
      <c r="F176" s="189">
        <v>0</v>
      </c>
      <c r="G176" s="189">
        <v>0</v>
      </c>
      <c r="H176" s="189">
        <v>0</v>
      </c>
      <c r="I176" s="189">
        <v>0</v>
      </c>
      <c r="J176" s="190">
        <f t="shared" si="2"/>
        <v>0</v>
      </c>
      <c r="K176" s="574"/>
    </row>
    <row r="177" spans="1:11" ht="12.75" hidden="1">
      <c r="A177" s="188"/>
      <c r="B177" s="188"/>
      <c r="C177" s="188"/>
      <c r="D177" s="188" t="s">
        <v>324</v>
      </c>
      <c r="E177" s="188" t="s">
        <v>688</v>
      </c>
      <c r="F177" s="189">
        <v>0</v>
      </c>
      <c r="G177" s="189">
        <v>0</v>
      </c>
      <c r="H177" s="189">
        <v>0</v>
      </c>
      <c r="I177" s="189">
        <v>0</v>
      </c>
      <c r="J177" s="190">
        <f t="shared" si="2"/>
        <v>0</v>
      </c>
      <c r="K177" s="574"/>
    </row>
    <row r="178" spans="1:11" ht="12.75" hidden="1">
      <c r="A178" s="188"/>
      <c r="B178" s="188"/>
      <c r="C178" s="188"/>
      <c r="D178" s="188" t="s">
        <v>325</v>
      </c>
      <c r="E178" s="188" t="s">
        <v>689</v>
      </c>
      <c r="F178" s="189">
        <v>0</v>
      </c>
      <c r="G178" s="189">
        <v>0</v>
      </c>
      <c r="H178" s="189">
        <v>0</v>
      </c>
      <c r="I178" s="189">
        <v>0</v>
      </c>
      <c r="J178" s="190">
        <f t="shared" si="2"/>
        <v>0</v>
      </c>
      <c r="K178" s="574"/>
    </row>
    <row r="179" spans="1:11" ht="12.75">
      <c r="A179" s="171"/>
      <c r="B179" s="171"/>
      <c r="C179" s="171" t="s">
        <v>326</v>
      </c>
      <c r="D179" s="171" t="s">
        <v>327</v>
      </c>
      <c r="E179" s="171"/>
      <c r="F179" s="172">
        <f>SUM(F180:F183)</f>
        <v>0</v>
      </c>
      <c r="G179" s="172">
        <f>SUM(G180:G183)</f>
        <v>0</v>
      </c>
      <c r="H179" s="172">
        <f>SUM(H180:H183)</f>
        <v>0</v>
      </c>
      <c r="I179" s="172">
        <f>SUM(I180:I183)</f>
        <v>0</v>
      </c>
      <c r="J179" s="173">
        <f t="shared" si="2"/>
        <v>0</v>
      </c>
      <c r="K179" s="572"/>
    </row>
    <row r="180" spans="1:11" ht="12.75" hidden="1">
      <c r="A180" s="171"/>
      <c r="B180" s="171"/>
      <c r="C180" s="171"/>
      <c r="D180" s="188" t="s">
        <v>557</v>
      </c>
      <c r="E180" s="188" t="s">
        <v>558</v>
      </c>
      <c r="F180" s="172">
        <v>0</v>
      </c>
      <c r="G180" s="172">
        <v>0</v>
      </c>
      <c r="H180" s="172">
        <v>0</v>
      </c>
      <c r="I180" s="172">
        <v>0</v>
      </c>
      <c r="J180" s="173">
        <f t="shared" si="2"/>
        <v>0</v>
      </c>
      <c r="K180" s="572"/>
    </row>
    <row r="181" spans="1:11" ht="12.75" hidden="1">
      <c r="A181" s="171"/>
      <c r="B181" s="171"/>
      <c r="C181" s="171"/>
      <c r="D181" s="188" t="s">
        <v>559</v>
      </c>
      <c r="E181" s="188" t="s">
        <v>560</v>
      </c>
      <c r="F181" s="172">
        <v>0</v>
      </c>
      <c r="G181" s="172">
        <v>0</v>
      </c>
      <c r="H181" s="172">
        <v>0</v>
      </c>
      <c r="I181" s="172">
        <v>0</v>
      </c>
      <c r="J181" s="173">
        <f t="shared" si="2"/>
        <v>0</v>
      </c>
      <c r="K181" s="572"/>
    </row>
    <row r="182" spans="1:11" ht="12.75" hidden="1">
      <c r="A182" s="171"/>
      <c r="B182" s="171"/>
      <c r="C182" s="171"/>
      <c r="D182" s="188" t="s">
        <v>561</v>
      </c>
      <c r="E182" s="188" t="s">
        <v>562</v>
      </c>
      <c r="F182" s="172">
        <v>0</v>
      </c>
      <c r="G182" s="172">
        <v>0</v>
      </c>
      <c r="H182" s="172">
        <v>0</v>
      </c>
      <c r="I182" s="172">
        <v>0</v>
      </c>
      <c r="J182" s="173">
        <f t="shared" si="2"/>
        <v>0</v>
      </c>
      <c r="K182" s="572"/>
    </row>
    <row r="183" spans="1:11" ht="12.75" hidden="1">
      <c r="A183" s="171"/>
      <c r="B183" s="171"/>
      <c r="C183" s="171"/>
      <c r="D183" s="188" t="s">
        <v>563</v>
      </c>
      <c r="E183" s="188" t="s">
        <v>564</v>
      </c>
      <c r="F183" s="172">
        <v>0</v>
      </c>
      <c r="G183" s="172">
        <v>0</v>
      </c>
      <c r="H183" s="172">
        <v>0</v>
      </c>
      <c r="I183" s="172">
        <v>0</v>
      </c>
      <c r="J183" s="173">
        <f t="shared" si="2"/>
        <v>0</v>
      </c>
      <c r="K183" s="572"/>
    </row>
    <row r="184" spans="1:11" ht="12.75">
      <c r="A184" s="171"/>
      <c r="B184" s="171"/>
      <c r="C184" s="171" t="s">
        <v>328</v>
      </c>
      <c r="D184" s="171" t="s">
        <v>329</v>
      </c>
      <c r="E184" s="171"/>
      <c r="F184" s="172">
        <f>SUM(F185,F188)</f>
        <v>382182681</v>
      </c>
      <c r="G184" s="172">
        <f>SUM(G185,G188)</f>
        <v>439819</v>
      </c>
      <c r="H184" s="172">
        <f>SUM(H185,H188)</f>
        <v>34138565</v>
      </c>
      <c r="I184" s="172">
        <f>SUM(I185,I188)</f>
        <v>0</v>
      </c>
      <c r="J184" s="173">
        <f t="shared" si="2"/>
        <v>416761065</v>
      </c>
      <c r="K184" s="572"/>
    </row>
    <row r="185" spans="1:11" ht="12.75">
      <c r="A185" s="188"/>
      <c r="B185" s="188"/>
      <c r="C185" s="188"/>
      <c r="D185" s="188" t="s">
        <v>330</v>
      </c>
      <c r="E185" s="188" t="s">
        <v>331</v>
      </c>
      <c r="F185" s="189">
        <f>SUM(F186:F187)</f>
        <v>372400032</v>
      </c>
      <c r="G185" s="189">
        <f>SUM(G186:G187)</f>
        <v>439819</v>
      </c>
      <c r="H185" s="189">
        <f>SUM(H186:H187)</f>
        <v>34138565</v>
      </c>
      <c r="I185" s="189">
        <f>SUM(I186:I187)</f>
        <v>0</v>
      </c>
      <c r="J185" s="190">
        <f t="shared" si="2"/>
        <v>406978416</v>
      </c>
      <c r="K185" s="574"/>
    </row>
    <row r="186" spans="1:11" s="195" customFormat="1" ht="12.75">
      <c r="A186" s="191"/>
      <c r="B186" s="191"/>
      <c r="C186" s="191"/>
      <c r="D186" s="191"/>
      <c r="E186" s="192" t="s">
        <v>36</v>
      </c>
      <c r="F186" s="193">
        <f>22840902+55632238</f>
        <v>78473140</v>
      </c>
      <c r="G186" s="193">
        <v>439819</v>
      </c>
      <c r="H186" s="193">
        <f>626145+31099867</f>
        <v>31726012</v>
      </c>
      <c r="I186" s="193"/>
      <c r="J186" s="194">
        <f t="shared" si="2"/>
        <v>110638971</v>
      </c>
      <c r="K186" s="575"/>
    </row>
    <row r="187" spans="1:11" s="195" customFormat="1" ht="12.75">
      <c r="A187" s="191"/>
      <c r="B187" s="191"/>
      <c r="C187" s="191"/>
      <c r="D187" s="191"/>
      <c r="E187" s="192" t="s">
        <v>37</v>
      </c>
      <c r="F187" s="193">
        <f>297951773-8201400+4176519</f>
        <v>293926892</v>
      </c>
      <c r="G187" s="193">
        <v>0</v>
      </c>
      <c r="H187" s="193">
        <v>2412553</v>
      </c>
      <c r="I187" s="193">
        <v>0</v>
      </c>
      <c r="J187" s="194">
        <f t="shared" si="2"/>
        <v>296339445</v>
      </c>
      <c r="K187" s="575"/>
    </row>
    <row r="188" spans="1:11" ht="12.75">
      <c r="A188" s="188"/>
      <c r="B188" s="188"/>
      <c r="C188" s="188"/>
      <c r="D188" s="188" t="s">
        <v>332</v>
      </c>
      <c r="E188" s="188" t="s">
        <v>333</v>
      </c>
      <c r="F188" s="189">
        <v>9782649</v>
      </c>
      <c r="G188" s="189">
        <v>0</v>
      </c>
      <c r="H188" s="189">
        <v>0</v>
      </c>
      <c r="I188" s="189">
        <v>0</v>
      </c>
      <c r="J188" s="190">
        <f t="shared" si="2"/>
        <v>9782649</v>
      </c>
      <c r="K188" s="574"/>
    </row>
    <row r="189" spans="1:11" ht="11.25" customHeight="1">
      <c r="A189" s="171"/>
      <c r="B189" s="171"/>
      <c r="C189" s="171" t="s">
        <v>334</v>
      </c>
      <c r="D189" s="171" t="s">
        <v>885</v>
      </c>
      <c r="E189" s="171"/>
      <c r="F189" s="172">
        <v>17347428</v>
      </c>
      <c r="G189" s="172">
        <v>0</v>
      </c>
      <c r="H189" s="172">
        <v>0</v>
      </c>
      <c r="I189" s="172">
        <v>0</v>
      </c>
      <c r="J189" s="173">
        <f t="shared" si="2"/>
        <v>17347428</v>
      </c>
      <c r="K189" s="572"/>
    </row>
    <row r="190" spans="1:11" ht="12.75" hidden="1">
      <c r="A190" s="171"/>
      <c r="B190" s="171"/>
      <c r="C190" s="171" t="s">
        <v>335</v>
      </c>
      <c r="D190" s="171" t="s">
        <v>604</v>
      </c>
      <c r="E190" s="171"/>
      <c r="F190" s="172">
        <v>0</v>
      </c>
      <c r="G190" s="172">
        <v>0</v>
      </c>
      <c r="H190" s="172">
        <v>0</v>
      </c>
      <c r="I190" s="172">
        <v>0</v>
      </c>
      <c r="J190" s="173">
        <f t="shared" si="2"/>
        <v>0</v>
      </c>
      <c r="K190" s="572"/>
    </row>
    <row r="191" spans="1:11" ht="12.75" hidden="1">
      <c r="A191" s="171"/>
      <c r="B191" s="171"/>
      <c r="C191" s="171" t="s">
        <v>336</v>
      </c>
      <c r="D191" s="171" t="s">
        <v>337</v>
      </c>
      <c r="E191" s="171"/>
      <c r="F191" s="172">
        <v>0</v>
      </c>
      <c r="G191" s="172">
        <v>0</v>
      </c>
      <c r="H191" s="172">
        <v>0</v>
      </c>
      <c r="I191" s="172">
        <v>0</v>
      </c>
      <c r="J191" s="173">
        <f t="shared" si="2"/>
        <v>0</v>
      </c>
      <c r="K191" s="572"/>
    </row>
    <row r="192" spans="1:11" ht="12.75" hidden="1">
      <c r="A192" s="171"/>
      <c r="B192" s="171"/>
      <c r="C192" s="171" t="s">
        <v>338</v>
      </c>
      <c r="D192" s="171" t="s">
        <v>565</v>
      </c>
      <c r="E192" s="171"/>
      <c r="F192" s="172">
        <v>0</v>
      </c>
      <c r="G192" s="172">
        <v>0</v>
      </c>
      <c r="H192" s="172">
        <v>0</v>
      </c>
      <c r="I192" s="172">
        <v>0</v>
      </c>
      <c r="J192" s="173">
        <f t="shared" si="2"/>
        <v>0</v>
      </c>
      <c r="K192" s="572"/>
    </row>
    <row r="193" spans="1:11" ht="12.75" hidden="1">
      <c r="A193" s="171"/>
      <c r="B193" s="171"/>
      <c r="C193" s="171" t="s">
        <v>339</v>
      </c>
      <c r="D193" s="171" t="s">
        <v>340</v>
      </c>
      <c r="E193" s="171"/>
      <c r="F193" s="172">
        <v>0</v>
      </c>
      <c r="G193" s="172">
        <v>0</v>
      </c>
      <c r="H193" s="172">
        <v>0</v>
      </c>
      <c r="I193" s="172">
        <v>0</v>
      </c>
      <c r="J193" s="173">
        <f t="shared" si="2"/>
        <v>0</v>
      </c>
      <c r="K193" s="572"/>
    </row>
    <row r="194" spans="1:11" ht="12.75" hidden="1">
      <c r="A194" s="171"/>
      <c r="B194" s="171"/>
      <c r="C194" s="171" t="s">
        <v>566</v>
      </c>
      <c r="D194" s="171" t="s">
        <v>567</v>
      </c>
      <c r="E194" s="171"/>
      <c r="F194" s="172">
        <v>0</v>
      </c>
      <c r="G194" s="172">
        <v>0</v>
      </c>
      <c r="H194" s="172">
        <v>0</v>
      </c>
      <c r="I194" s="172">
        <v>0</v>
      </c>
      <c r="J194" s="173">
        <f t="shared" si="2"/>
        <v>0</v>
      </c>
      <c r="K194" s="572"/>
    </row>
    <row r="195" spans="1:11" ht="12.75" hidden="1">
      <c r="A195" s="171"/>
      <c r="B195" s="171"/>
      <c r="C195" s="171"/>
      <c r="D195" s="188" t="s">
        <v>568</v>
      </c>
      <c r="E195" s="188" t="s">
        <v>569</v>
      </c>
      <c r="F195" s="193">
        <v>0</v>
      </c>
      <c r="G195" s="193">
        <v>0</v>
      </c>
      <c r="H195" s="193">
        <v>0</v>
      </c>
      <c r="I195" s="193">
        <v>0</v>
      </c>
      <c r="J195" s="173">
        <f t="shared" si="2"/>
        <v>0</v>
      </c>
      <c r="K195" s="572"/>
    </row>
    <row r="196" spans="1:11" ht="12.75" hidden="1">
      <c r="A196" s="171"/>
      <c r="B196" s="171"/>
      <c r="C196" s="171"/>
      <c r="D196" s="188" t="s">
        <v>570</v>
      </c>
      <c r="E196" s="188" t="s">
        <v>571</v>
      </c>
      <c r="F196" s="193">
        <v>0</v>
      </c>
      <c r="G196" s="193">
        <v>0</v>
      </c>
      <c r="H196" s="193">
        <v>0</v>
      </c>
      <c r="I196" s="193">
        <v>0</v>
      </c>
      <c r="J196" s="173">
        <f t="shared" si="2"/>
        <v>0</v>
      </c>
      <c r="K196" s="572"/>
    </row>
    <row r="197" spans="1:11" ht="12.75" hidden="1">
      <c r="A197" s="175"/>
      <c r="B197" s="168" t="s">
        <v>341</v>
      </c>
      <c r="C197" s="994" t="s">
        <v>342</v>
      </c>
      <c r="D197" s="994"/>
      <c r="E197" s="994"/>
      <c r="F197" s="169">
        <v>0</v>
      </c>
      <c r="G197" s="169">
        <v>0</v>
      </c>
      <c r="H197" s="169">
        <v>0</v>
      </c>
      <c r="I197" s="169">
        <v>0</v>
      </c>
      <c r="J197" s="170">
        <f t="shared" si="2"/>
        <v>0</v>
      </c>
      <c r="K197" s="571"/>
    </row>
    <row r="198" spans="1:11" ht="12.75" hidden="1">
      <c r="A198" s="175"/>
      <c r="B198" s="168" t="s">
        <v>343</v>
      </c>
      <c r="C198" s="994" t="s">
        <v>344</v>
      </c>
      <c r="D198" s="994"/>
      <c r="E198" s="994"/>
      <c r="F198" s="169">
        <v>0</v>
      </c>
      <c r="G198" s="169">
        <v>0</v>
      </c>
      <c r="H198" s="169">
        <v>0</v>
      </c>
      <c r="I198" s="169">
        <v>0</v>
      </c>
      <c r="J198" s="170">
        <f t="shared" si="2"/>
        <v>0</v>
      </c>
      <c r="K198" s="571"/>
    </row>
    <row r="199" spans="1:11" ht="12.75" hidden="1">
      <c r="A199" s="175"/>
      <c r="B199" s="168" t="s">
        <v>572</v>
      </c>
      <c r="C199" s="994" t="s">
        <v>573</v>
      </c>
      <c r="D199" s="994"/>
      <c r="E199" s="994"/>
      <c r="F199" s="169">
        <v>0</v>
      </c>
      <c r="G199" s="169">
        <v>0</v>
      </c>
      <c r="H199" s="169">
        <v>0</v>
      </c>
      <c r="I199" s="169">
        <v>0</v>
      </c>
      <c r="J199" s="170">
        <f t="shared" si="2"/>
        <v>0</v>
      </c>
      <c r="K199" s="571"/>
    </row>
    <row r="200" spans="1:11" ht="12.75" hidden="1">
      <c r="A200" s="175"/>
      <c r="B200" s="175"/>
      <c r="C200" s="175"/>
      <c r="D200" s="175"/>
      <c r="E200" s="175"/>
      <c r="F200" s="196"/>
      <c r="G200" s="197"/>
      <c r="H200" s="197"/>
      <c r="I200" s="197"/>
      <c r="J200" s="196">
        <f t="shared" si="2"/>
        <v>0</v>
      </c>
      <c r="K200" s="576"/>
    </row>
    <row r="201" spans="1:11" s="199" customFormat="1" ht="15.75">
      <c r="A201" s="1003" t="s">
        <v>433</v>
      </c>
      <c r="B201" s="1003"/>
      <c r="C201" s="1003"/>
      <c r="D201" s="1003"/>
      <c r="E201" s="1003"/>
      <c r="F201" s="198">
        <f>SUM(F173+F147+F131+F122+F86+F57+F40+F7)</f>
        <v>2682831735</v>
      </c>
      <c r="G201" s="198">
        <f>SUM(G173+G147+G131+G122+G86+G57+G40+G7)</f>
        <v>10443210</v>
      </c>
      <c r="H201" s="198">
        <f>SUM(H173+H147+H131+H122+H86+H57+H40+H7)</f>
        <v>83671781</v>
      </c>
      <c r="I201" s="198">
        <f>SUM(I173+I147+I131+I122+I86+I57+I40+I7)</f>
        <v>1583520</v>
      </c>
      <c r="J201" s="198">
        <f t="shared" si="2"/>
        <v>2778530246</v>
      </c>
      <c r="K201" s="577"/>
    </row>
  </sheetData>
  <sheetProtection/>
  <mergeCells count="55">
    <mergeCell ref="C198:E198"/>
    <mergeCell ref="C174:E174"/>
    <mergeCell ref="F1:J1"/>
    <mergeCell ref="B6:E6"/>
    <mergeCell ref="A2:J2"/>
    <mergeCell ref="C128:E128"/>
    <mergeCell ref="C42:E42"/>
    <mergeCell ref="C61:E61"/>
    <mergeCell ref="C64:E64"/>
    <mergeCell ref="C161:E161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48:E148"/>
    <mergeCell ref="C197:E197"/>
    <mergeCell ref="C133:E133"/>
    <mergeCell ref="C134:E134"/>
    <mergeCell ref="C43:E43"/>
    <mergeCell ref="C41:E41"/>
    <mergeCell ref="D119:E119"/>
    <mergeCell ref="B122:E122"/>
    <mergeCell ref="C44:E44"/>
    <mergeCell ref="D112:E112"/>
    <mergeCell ref="B57:E57"/>
    <mergeCell ref="D107:E107"/>
    <mergeCell ref="C60:E60"/>
    <mergeCell ref="D104:E104"/>
    <mergeCell ref="C58:E58"/>
    <mergeCell ref="C75:E75"/>
    <mergeCell ref="B86:E86"/>
    <mergeCell ref="C59:E59"/>
    <mergeCell ref="B131:E131"/>
    <mergeCell ref="C125:E125"/>
    <mergeCell ref="C127:E127"/>
    <mergeCell ref="D111:E111"/>
    <mergeCell ref="C129:E129"/>
    <mergeCell ref="C123:E123"/>
    <mergeCell ref="C130:E130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1.062992125984252" bottom="1.062992125984252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6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80" bestFit="1" customWidth="1"/>
    <col min="2" max="2" width="2.375" style="807" customWidth="1"/>
    <col min="3" max="3" width="81.25390625" style="807" customWidth="1"/>
    <col min="4" max="4" width="14.75390625" style="807" bestFit="1" customWidth="1"/>
  </cols>
  <sheetData>
    <row r="1" spans="3:4" ht="15">
      <c r="C1" s="1038" t="s">
        <v>1258</v>
      </c>
      <c r="D1" s="1294"/>
    </row>
    <row r="2" spans="3:4" ht="15">
      <c r="C2" s="1"/>
      <c r="D2" s="76"/>
    </row>
    <row r="3" spans="2:4" ht="14.25">
      <c r="B3" s="1309" t="s">
        <v>924</v>
      </c>
      <c r="C3" s="1309"/>
      <c r="D3" s="1309"/>
    </row>
    <row r="4" spans="2:4" ht="14.25">
      <c r="B4" s="1309" t="s">
        <v>437</v>
      </c>
      <c r="C4" s="1309"/>
      <c r="D4" s="1309"/>
    </row>
    <row r="5" spans="2:4" ht="14.25">
      <c r="B5" s="808"/>
      <c r="C5" s="808"/>
      <c r="D5" s="808"/>
    </row>
    <row r="6" ht="15">
      <c r="D6" s="809"/>
    </row>
    <row r="7" spans="1:4" ht="14.25">
      <c r="A7" s="1310" t="s">
        <v>426</v>
      </c>
      <c r="B7" s="1312" t="s">
        <v>357</v>
      </c>
      <c r="C7" s="1312"/>
      <c r="D7" s="810" t="s">
        <v>369</v>
      </c>
    </row>
    <row r="8" spans="1:4" ht="12.75">
      <c r="A8" s="1311"/>
      <c r="B8" s="1313" t="s">
        <v>420</v>
      </c>
      <c r="C8" s="1314"/>
      <c r="D8" s="811" t="s">
        <v>421</v>
      </c>
    </row>
    <row r="9" spans="1:4" ht="14.25">
      <c r="A9" s="811">
        <v>1</v>
      </c>
      <c r="B9" s="812" t="s">
        <v>925</v>
      </c>
      <c r="C9" s="813"/>
      <c r="D9" s="814"/>
    </row>
    <row r="10" spans="1:4" ht="15">
      <c r="A10" s="811">
        <v>2</v>
      </c>
      <c r="B10" s="815"/>
      <c r="C10" s="79" t="s">
        <v>419</v>
      </c>
      <c r="D10" s="816">
        <v>1000000</v>
      </c>
    </row>
    <row r="11" spans="1:4" ht="15">
      <c r="A11" s="811">
        <v>3</v>
      </c>
      <c r="B11" s="815"/>
      <c r="C11" s="79" t="s">
        <v>1218</v>
      </c>
      <c r="D11" s="844">
        <v>-250000</v>
      </c>
    </row>
    <row r="12" spans="1:4" ht="14.25">
      <c r="A12" s="811">
        <v>4</v>
      </c>
      <c r="B12" s="812" t="s">
        <v>360</v>
      </c>
      <c r="C12" s="812"/>
      <c r="D12" s="817">
        <f>SUM(D10:D11)</f>
        <v>750000</v>
      </c>
    </row>
    <row r="13" spans="1:4" ht="7.5" customHeight="1">
      <c r="A13" s="818"/>
      <c r="B13" s="819"/>
      <c r="C13" s="819"/>
      <c r="D13" s="814"/>
    </row>
    <row r="14" spans="1:4" ht="14.25">
      <c r="A14" s="811">
        <v>5</v>
      </c>
      <c r="B14" s="1308" t="s">
        <v>926</v>
      </c>
      <c r="C14" s="1308"/>
      <c r="D14" s="1308"/>
    </row>
    <row r="15" spans="1:4" ht="15">
      <c r="A15" s="811">
        <v>6</v>
      </c>
      <c r="B15" s="815"/>
      <c r="C15" s="79" t="s">
        <v>927</v>
      </c>
      <c r="D15" s="816">
        <v>495000</v>
      </c>
    </row>
    <row r="16" spans="1:4" ht="15">
      <c r="A16" s="811">
        <v>7</v>
      </c>
      <c r="B16" s="815"/>
      <c r="C16" s="79" t="s">
        <v>960</v>
      </c>
      <c r="D16" s="816">
        <v>553029</v>
      </c>
    </row>
    <row r="17" spans="1:4" s="848" customFormat="1" ht="15">
      <c r="A17" s="811">
        <v>8</v>
      </c>
      <c r="B17" s="845"/>
      <c r="C17" s="846" t="s">
        <v>961</v>
      </c>
      <c r="D17" s="847">
        <f>SUM(D15:D16)</f>
        <v>1048029</v>
      </c>
    </row>
    <row r="18" spans="1:4" ht="15">
      <c r="A18" s="811">
        <v>9</v>
      </c>
      <c r="B18" s="815"/>
      <c r="C18" s="79" t="s">
        <v>928</v>
      </c>
      <c r="D18" s="816">
        <f>23433000-20000000</f>
        <v>3433000</v>
      </c>
    </row>
    <row r="19" spans="1:4" ht="30">
      <c r="A19" s="811">
        <v>10</v>
      </c>
      <c r="B19" s="815"/>
      <c r="C19" s="79" t="s">
        <v>950</v>
      </c>
      <c r="D19" s="844">
        <v>-1576197</v>
      </c>
    </row>
    <row r="20" spans="1:4" ht="30">
      <c r="A20" s="811">
        <v>11</v>
      </c>
      <c r="B20" s="815"/>
      <c r="C20" s="79" t="s">
        <v>953</v>
      </c>
      <c r="D20" s="844">
        <v>-1055350</v>
      </c>
    </row>
    <row r="21" spans="1:4" ht="15">
      <c r="A21" s="811">
        <v>12</v>
      </c>
      <c r="B21" s="815"/>
      <c r="C21" s="79" t="s">
        <v>954</v>
      </c>
      <c r="D21" s="816">
        <v>-288050</v>
      </c>
    </row>
    <row r="22" spans="1:4" ht="15">
      <c r="A22" s="811">
        <v>13</v>
      </c>
      <c r="B22" s="815"/>
      <c r="C22" s="79" t="s">
        <v>1118</v>
      </c>
      <c r="D22" s="844">
        <v>-513403</v>
      </c>
    </row>
    <row r="23" spans="1:4" s="848" customFormat="1" ht="15">
      <c r="A23" s="811">
        <v>14</v>
      </c>
      <c r="B23" s="845"/>
      <c r="C23" s="846" t="s">
        <v>962</v>
      </c>
      <c r="D23" s="847">
        <f>SUM(D18:D22)</f>
        <v>0</v>
      </c>
    </row>
    <row r="24" spans="1:4" s="848" customFormat="1" ht="15">
      <c r="A24" s="811">
        <v>15</v>
      </c>
      <c r="B24" s="845"/>
      <c r="C24" s="79" t="s">
        <v>1219</v>
      </c>
      <c r="D24" s="816">
        <v>8004000</v>
      </c>
    </row>
    <row r="25" spans="1:4" s="848" customFormat="1" ht="15">
      <c r="A25" s="811">
        <v>16</v>
      </c>
      <c r="B25" s="845"/>
      <c r="C25" s="846" t="s">
        <v>1220</v>
      </c>
      <c r="D25" s="847">
        <f>SUM(D24)</f>
        <v>8004000</v>
      </c>
    </row>
    <row r="26" spans="1:4" ht="14.25">
      <c r="A26" s="811">
        <v>17</v>
      </c>
      <c r="B26" s="812" t="s">
        <v>963</v>
      </c>
      <c r="C26" s="812"/>
      <c r="D26" s="817">
        <f>SUM(D17+D23+D25)</f>
        <v>9052029</v>
      </c>
    </row>
    <row r="27" spans="1:4" ht="7.5" customHeight="1">
      <c r="A27" s="818"/>
      <c r="B27" s="819"/>
      <c r="C27" s="819"/>
      <c r="D27" s="814"/>
    </row>
    <row r="28" spans="1:4" ht="14.25">
      <c r="A28" s="811">
        <v>18</v>
      </c>
      <c r="B28" s="812" t="s">
        <v>929</v>
      </c>
      <c r="C28" s="813"/>
      <c r="D28" s="814"/>
    </row>
    <row r="29" spans="1:4" ht="15">
      <c r="A29" s="811">
        <v>19</v>
      </c>
      <c r="B29" s="815"/>
      <c r="C29" s="79" t="s">
        <v>930</v>
      </c>
      <c r="D29" s="816">
        <v>1000000</v>
      </c>
    </row>
    <row r="30" spans="1:4" ht="33.75" customHeight="1">
      <c r="A30" s="811">
        <v>20</v>
      </c>
      <c r="B30" s="815"/>
      <c r="C30" s="79" t="s">
        <v>945</v>
      </c>
      <c r="D30" s="844">
        <v>-63500</v>
      </c>
    </row>
    <row r="31" spans="1:4" ht="15">
      <c r="A31" s="811">
        <v>21</v>
      </c>
      <c r="B31" s="815"/>
      <c r="C31" s="79" t="s">
        <v>946</v>
      </c>
      <c r="D31" s="816">
        <v>-68000</v>
      </c>
    </row>
    <row r="32" spans="1:4" ht="15">
      <c r="A32" s="811">
        <v>22</v>
      </c>
      <c r="B32" s="815"/>
      <c r="C32" s="79" t="s">
        <v>947</v>
      </c>
      <c r="D32" s="844">
        <v>-30000</v>
      </c>
    </row>
    <row r="33" spans="1:4" ht="15">
      <c r="A33" s="811">
        <v>23</v>
      </c>
      <c r="B33" s="815"/>
      <c r="C33" s="79" t="s">
        <v>948</v>
      </c>
      <c r="D33" s="844">
        <v>-90000</v>
      </c>
    </row>
    <row r="34" spans="1:4" ht="15">
      <c r="A34" s="811">
        <v>24</v>
      </c>
      <c r="B34" s="815"/>
      <c r="C34" s="79" t="s">
        <v>949</v>
      </c>
      <c r="D34" s="844">
        <v>-146050</v>
      </c>
    </row>
    <row r="35" spans="1:4" ht="15">
      <c r="A35" s="811">
        <v>25</v>
      </c>
      <c r="B35" s="815"/>
      <c r="C35" s="79" t="s">
        <v>951</v>
      </c>
      <c r="D35" s="844">
        <v>-190500</v>
      </c>
    </row>
    <row r="36" spans="1:4" ht="15">
      <c r="A36" s="811">
        <v>26</v>
      </c>
      <c r="B36" s="815"/>
      <c r="C36" s="79" t="s">
        <v>952</v>
      </c>
      <c r="D36" s="816">
        <v>-150000</v>
      </c>
    </row>
    <row r="37" spans="1:4" ht="15">
      <c r="A37" s="811">
        <v>27</v>
      </c>
      <c r="B37" s="815"/>
      <c r="C37" s="79" t="s">
        <v>954</v>
      </c>
      <c r="D37" s="816">
        <v>-261950</v>
      </c>
    </row>
    <row r="38" spans="1:4" ht="14.25">
      <c r="A38" s="811">
        <v>28</v>
      </c>
      <c r="B38" s="812" t="s">
        <v>360</v>
      </c>
      <c r="C38" s="812"/>
      <c r="D38" s="817">
        <f>SUM(D29:D37)</f>
        <v>0</v>
      </c>
    </row>
    <row r="39" spans="1:4" ht="8.25" customHeight="1">
      <c r="A39" s="811"/>
      <c r="B39" s="812"/>
      <c r="C39" s="812"/>
      <c r="D39" s="817"/>
    </row>
    <row r="40" spans="1:4" ht="14.25">
      <c r="A40" s="811">
        <v>29</v>
      </c>
      <c r="B40" s="1308" t="s">
        <v>955</v>
      </c>
      <c r="C40" s="1308"/>
      <c r="D40" s="1308"/>
    </row>
    <row r="41" spans="1:4" ht="15">
      <c r="A41" s="811">
        <v>30</v>
      </c>
      <c r="B41" s="815"/>
      <c r="C41" s="79" t="s">
        <v>956</v>
      </c>
      <c r="D41" s="816">
        <v>59808757</v>
      </c>
    </row>
    <row r="42" spans="1:4" ht="15">
      <c r="A42" s="811">
        <v>31</v>
      </c>
      <c r="B42" s="815"/>
      <c r="C42" s="79" t="s">
        <v>957</v>
      </c>
      <c r="D42" s="844">
        <v>-59808757</v>
      </c>
    </row>
    <row r="43" spans="1:4" ht="14.25">
      <c r="A43" s="811">
        <v>32</v>
      </c>
      <c r="B43" s="812" t="s">
        <v>360</v>
      </c>
      <c r="C43" s="812"/>
      <c r="D43" s="817">
        <f>SUM(D41:D42)</f>
        <v>0</v>
      </c>
    </row>
    <row r="44" spans="1:4" ht="7.5" customHeight="1">
      <c r="A44" s="811"/>
      <c r="B44" s="812"/>
      <c r="C44" s="812"/>
      <c r="D44" s="817"/>
    </row>
    <row r="45" spans="1:4" ht="14.25">
      <c r="A45" s="811">
        <v>33</v>
      </c>
      <c r="B45" s="1308" t="s">
        <v>958</v>
      </c>
      <c r="C45" s="1308"/>
      <c r="D45" s="1308"/>
    </row>
    <row r="46" spans="1:4" ht="15">
      <c r="A46" s="811">
        <v>34</v>
      </c>
      <c r="B46" s="815"/>
      <c r="C46" s="79" t="s">
        <v>959</v>
      </c>
      <c r="D46" s="816">
        <v>9782649</v>
      </c>
    </row>
    <row r="47" spans="1:4" ht="15">
      <c r="A47" s="811">
        <v>35</v>
      </c>
      <c r="B47" s="815"/>
      <c r="C47" s="79" t="s">
        <v>957</v>
      </c>
      <c r="D47" s="844">
        <v>-9782649</v>
      </c>
    </row>
    <row r="48" spans="1:4" ht="14.25">
      <c r="A48" s="811">
        <v>36</v>
      </c>
      <c r="B48" s="812" t="s">
        <v>360</v>
      </c>
      <c r="C48" s="812"/>
      <c r="D48" s="817">
        <f>SUM(D46:D47)</f>
        <v>0</v>
      </c>
    </row>
    <row r="49" spans="1:4" ht="7.5" customHeight="1">
      <c r="A49" s="811"/>
      <c r="B49" s="812"/>
      <c r="C49" s="812"/>
      <c r="D49" s="812"/>
    </row>
    <row r="50" spans="1:4" ht="14.25">
      <c r="A50" s="811">
        <v>37</v>
      </c>
      <c r="B50" s="812" t="s">
        <v>931</v>
      </c>
      <c r="C50" s="812"/>
      <c r="D50" s="817">
        <f>SUM(D12,D26,D43,D48,D38)</f>
        <v>9802029</v>
      </c>
    </row>
    <row r="51" spans="1:4" ht="7.5" customHeight="1">
      <c r="A51" s="811"/>
      <c r="B51" s="812"/>
      <c r="C51" s="812"/>
      <c r="D51" s="812"/>
    </row>
    <row r="52" spans="1:4" ht="14.25">
      <c r="A52" s="811">
        <v>38</v>
      </c>
      <c r="B52" s="1308" t="s">
        <v>932</v>
      </c>
      <c r="C52" s="1308"/>
      <c r="D52" s="1308"/>
    </row>
    <row r="53" spans="1:4" ht="30">
      <c r="A53" s="811">
        <v>39</v>
      </c>
      <c r="B53" s="820"/>
      <c r="C53" s="79" t="s">
        <v>933</v>
      </c>
      <c r="D53" s="816">
        <v>5000000</v>
      </c>
    </row>
    <row r="54" spans="1:4" ht="15">
      <c r="A54" s="811">
        <v>40</v>
      </c>
      <c r="B54" s="820"/>
      <c r="C54" s="79" t="s">
        <v>1108</v>
      </c>
      <c r="D54" s="844">
        <v>-1269600</v>
      </c>
    </row>
    <row r="55" spans="1:4" ht="30">
      <c r="A55" s="811">
        <v>41</v>
      </c>
      <c r="B55" s="820"/>
      <c r="C55" s="79" t="s">
        <v>1161</v>
      </c>
      <c r="D55" s="816">
        <v>3500000</v>
      </c>
    </row>
    <row r="56" spans="1:4" ht="30">
      <c r="A56" s="811">
        <v>42</v>
      </c>
      <c r="B56" s="820"/>
      <c r="C56" s="79" t="s">
        <v>1224</v>
      </c>
      <c r="D56" s="844">
        <v>-3749167</v>
      </c>
    </row>
    <row r="57" spans="1:4" ht="30">
      <c r="A57" s="811">
        <v>43</v>
      </c>
      <c r="B57" s="820"/>
      <c r="C57" s="79" t="s">
        <v>1225</v>
      </c>
      <c r="D57" s="844">
        <v>-2585716</v>
      </c>
    </row>
    <row r="58" spans="1:4" ht="30">
      <c r="A58" s="811">
        <v>44</v>
      </c>
      <c r="B58" s="820"/>
      <c r="C58" s="892" t="s">
        <v>1109</v>
      </c>
      <c r="D58" s="847">
        <f>SUM(D53:D57)</f>
        <v>895517</v>
      </c>
    </row>
    <row r="59" spans="1:4" ht="31.5" customHeight="1">
      <c r="A59" s="811">
        <v>45</v>
      </c>
      <c r="B59" s="820"/>
      <c r="C59" s="79" t="s">
        <v>1221</v>
      </c>
      <c r="D59" s="816">
        <f>4176519</f>
        <v>4176519</v>
      </c>
    </row>
    <row r="60" spans="1:4" ht="31.5" customHeight="1">
      <c r="A60" s="811">
        <v>46</v>
      </c>
      <c r="B60" s="820"/>
      <c r="C60" s="79" t="s">
        <v>1222</v>
      </c>
      <c r="D60" s="816">
        <v>456000</v>
      </c>
    </row>
    <row r="61" spans="1:4" ht="31.5" customHeight="1">
      <c r="A61" s="811">
        <v>47</v>
      </c>
      <c r="B61" s="820"/>
      <c r="C61" s="892" t="s">
        <v>1223</v>
      </c>
      <c r="D61" s="847">
        <f>SUM(D59:D60)</f>
        <v>4632519</v>
      </c>
    </row>
    <row r="62" spans="1:4" ht="6.75" customHeight="1">
      <c r="A62" s="811"/>
      <c r="B62" s="815"/>
      <c r="C62" s="79"/>
      <c r="D62" s="821"/>
    </row>
    <row r="63" spans="1:4" ht="14.25">
      <c r="A63" s="811">
        <v>48</v>
      </c>
      <c r="B63" s="812" t="s">
        <v>934</v>
      </c>
      <c r="C63" s="812"/>
      <c r="D63" s="817">
        <f>SUM(D58+D61)</f>
        <v>5528036</v>
      </c>
    </row>
    <row r="64" spans="1:4" ht="8.25" customHeight="1">
      <c r="A64" s="818"/>
      <c r="B64" s="819"/>
      <c r="C64" s="819"/>
      <c r="D64" s="814"/>
    </row>
    <row r="65" spans="1:4" ht="14.25">
      <c r="A65" s="811">
        <v>49</v>
      </c>
      <c r="B65" s="812" t="s">
        <v>935</v>
      </c>
      <c r="C65" s="812"/>
      <c r="D65" s="817">
        <f>SUM(D63,D50)</f>
        <v>15330065</v>
      </c>
    </row>
  </sheetData>
  <sheetProtection/>
  <mergeCells count="10">
    <mergeCell ref="A7:A8"/>
    <mergeCell ref="B7:C7"/>
    <mergeCell ref="B8:C8"/>
    <mergeCell ref="B14:D14"/>
    <mergeCell ref="B52:D52"/>
    <mergeCell ref="B40:D40"/>
    <mergeCell ref="B45:D45"/>
    <mergeCell ref="C1:D1"/>
    <mergeCell ref="B3:D3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125" style="822" bestFit="1" customWidth="1"/>
    <col min="2" max="2" width="14.625" style="823" customWidth="1"/>
    <col min="3" max="9" width="16.75390625" style="823" customWidth="1"/>
  </cols>
  <sheetData>
    <row r="1" ht="15.75">
      <c r="I1" s="824" t="s">
        <v>1259</v>
      </c>
    </row>
    <row r="3" spans="1:9" ht="29.25" customHeight="1">
      <c r="A3" s="1315" t="s">
        <v>936</v>
      </c>
      <c r="B3" s="1316"/>
      <c r="C3" s="1316"/>
      <c r="D3" s="1316"/>
      <c r="E3" s="1316"/>
      <c r="F3" s="1316"/>
      <c r="G3" s="1316"/>
      <c r="H3" s="1316"/>
      <c r="I3" s="1316"/>
    </row>
    <row r="4" spans="2:9" ht="16.5" thickBot="1">
      <c r="B4" s="825"/>
      <c r="C4" s="825"/>
      <c r="D4" s="825"/>
      <c r="E4" s="825"/>
      <c r="F4" s="825"/>
      <c r="G4" s="825"/>
      <c r="H4" s="825"/>
      <c r="I4" s="825"/>
    </row>
    <row r="5" spans="1:9" ht="15.75">
      <c r="A5" s="1317" t="s">
        <v>426</v>
      </c>
      <c r="B5" s="1319" t="s">
        <v>937</v>
      </c>
      <c r="C5" s="1319" t="s">
        <v>938</v>
      </c>
      <c r="D5" s="1319"/>
      <c r="E5" s="1319"/>
      <c r="F5" s="1319"/>
      <c r="G5" s="1319"/>
      <c r="H5" s="1319"/>
      <c r="I5" s="1321" t="s">
        <v>415</v>
      </c>
    </row>
    <row r="6" spans="1:9" ht="102">
      <c r="A6" s="1318"/>
      <c r="B6" s="1320"/>
      <c r="C6" s="827" t="s">
        <v>939</v>
      </c>
      <c r="D6" s="827" t="s">
        <v>940</v>
      </c>
      <c r="E6" s="827" t="s">
        <v>941</v>
      </c>
      <c r="F6" s="827" t="s">
        <v>942</v>
      </c>
      <c r="G6" s="827" t="s">
        <v>943</v>
      </c>
      <c r="H6" s="827" t="s">
        <v>944</v>
      </c>
      <c r="I6" s="1322"/>
    </row>
    <row r="7" spans="1:9" ht="12.75">
      <c r="A7" s="1318"/>
      <c r="B7" s="828" t="s">
        <v>420</v>
      </c>
      <c r="C7" s="829" t="s">
        <v>421</v>
      </c>
      <c r="D7" s="829" t="s">
        <v>422</v>
      </c>
      <c r="E7" s="829" t="s">
        <v>423</v>
      </c>
      <c r="F7" s="829" t="s">
        <v>424</v>
      </c>
      <c r="G7" s="829" t="s">
        <v>425</v>
      </c>
      <c r="H7" s="829" t="s">
        <v>427</v>
      </c>
      <c r="I7" s="830" t="s">
        <v>428</v>
      </c>
    </row>
    <row r="8" spans="1:9" ht="15.75">
      <c r="A8" s="826">
        <v>1</v>
      </c>
      <c r="B8" s="831" t="s">
        <v>437</v>
      </c>
      <c r="C8" s="832">
        <f>202400000+2521000</f>
        <v>204921000</v>
      </c>
      <c r="D8" s="833">
        <v>16328759</v>
      </c>
      <c r="E8" s="833">
        <v>3001</v>
      </c>
      <c r="F8" s="833"/>
      <c r="G8" s="832">
        <v>1145000</v>
      </c>
      <c r="H8" s="833"/>
      <c r="I8" s="834">
        <f>SUM(C8:H8)</f>
        <v>222397760</v>
      </c>
    </row>
    <row r="9" spans="1:9" ht="15.75">
      <c r="A9" s="826">
        <v>2</v>
      </c>
      <c r="B9" s="831" t="s">
        <v>438</v>
      </c>
      <c r="C9" s="835">
        <v>202000000</v>
      </c>
      <c r="D9" s="836">
        <v>10000000</v>
      </c>
      <c r="E9" s="833">
        <v>3000</v>
      </c>
      <c r="F9" s="836"/>
      <c r="G9" s="835">
        <v>800000</v>
      </c>
      <c r="H9" s="833"/>
      <c r="I9" s="834">
        <f>SUM(C9:H9)</f>
        <v>212803000</v>
      </c>
    </row>
    <row r="10" spans="1:9" ht="15.75">
      <c r="A10" s="826">
        <v>3</v>
      </c>
      <c r="B10" s="831" t="s">
        <v>439</v>
      </c>
      <c r="C10" s="835">
        <v>204000000</v>
      </c>
      <c r="D10" s="836">
        <v>8000000</v>
      </c>
      <c r="E10" s="833">
        <v>3000</v>
      </c>
      <c r="F10" s="836"/>
      <c r="G10" s="835">
        <v>700000</v>
      </c>
      <c r="H10" s="833"/>
      <c r="I10" s="834">
        <f>SUM(C10:H10)</f>
        <v>212703000</v>
      </c>
    </row>
    <row r="11" spans="1:9" ht="15.75">
      <c r="A11" s="826">
        <v>4</v>
      </c>
      <c r="B11" s="831" t="s">
        <v>440</v>
      </c>
      <c r="C11" s="835">
        <v>208000000</v>
      </c>
      <c r="D11" s="836">
        <v>6000000</v>
      </c>
      <c r="E11" s="833">
        <v>3000</v>
      </c>
      <c r="F11" s="836">
        <v>100000</v>
      </c>
      <c r="G11" s="835">
        <v>350000</v>
      </c>
      <c r="H11" s="833"/>
      <c r="I11" s="834">
        <f>SUM(C11:H11)</f>
        <v>214453000</v>
      </c>
    </row>
    <row r="12" spans="1:9" ht="16.5" thickBot="1">
      <c r="A12" s="837">
        <v>5</v>
      </c>
      <c r="B12" s="838" t="s">
        <v>441</v>
      </c>
      <c r="C12" s="839">
        <v>210000000</v>
      </c>
      <c r="D12" s="840">
        <v>6000000</v>
      </c>
      <c r="E12" s="840">
        <v>3000</v>
      </c>
      <c r="F12" s="840">
        <v>100000</v>
      </c>
      <c r="G12" s="839">
        <v>340000</v>
      </c>
      <c r="H12" s="841"/>
      <c r="I12" s="842">
        <f>SUM(C12:H12)</f>
        <v>216443000</v>
      </c>
    </row>
    <row r="14" ht="15.75">
      <c r="E14" s="843"/>
    </row>
  </sheetData>
  <sheetProtection/>
  <mergeCells count="5">
    <mergeCell ref="A3:I3"/>
    <mergeCell ref="A5:A7"/>
    <mergeCell ref="B5:B6"/>
    <mergeCell ref="C5:H5"/>
    <mergeCell ref="I5:I6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60"/>
  <sheetViews>
    <sheetView zoomScalePageLayoutView="0" workbookViewId="0" topLeftCell="E1">
      <selection activeCell="A2" sqref="A2:K2"/>
    </sheetView>
  </sheetViews>
  <sheetFormatPr defaultColWidth="9.00390625" defaultRowHeight="12.75"/>
  <cols>
    <col min="1" max="1" width="5.125" style="34" bestFit="1" customWidth="1"/>
    <col min="2" max="2" width="8.875" style="30" customWidth="1"/>
    <col min="3" max="3" width="80.375" style="30" customWidth="1"/>
    <col min="4" max="4" width="9.75390625" style="30" bestFit="1" customWidth="1"/>
    <col min="5" max="5" width="10.375" style="30" bestFit="1" customWidth="1"/>
    <col min="6" max="6" width="16.125" style="30" bestFit="1" customWidth="1"/>
    <col min="7" max="7" width="9.75390625" style="30" bestFit="1" customWidth="1"/>
    <col min="8" max="8" width="11.25390625" style="30" customWidth="1"/>
    <col min="9" max="9" width="9.625" style="30" customWidth="1"/>
    <col min="10" max="10" width="11.25390625" style="30" customWidth="1"/>
    <col min="11" max="12" width="16.125" style="30" bestFit="1" customWidth="1"/>
    <col min="13" max="13" width="9.125" style="30" customWidth="1"/>
    <col min="14" max="14" width="12.375" style="30" bestFit="1" customWidth="1"/>
    <col min="15" max="16384" width="9.125" style="30" customWidth="1"/>
  </cols>
  <sheetData>
    <row r="1" spans="9:13" ht="15" customHeight="1">
      <c r="I1" s="524" t="s">
        <v>1260</v>
      </c>
      <c r="J1" s="127"/>
      <c r="K1" s="127"/>
      <c r="L1" s="523"/>
      <c r="M1" s="127"/>
    </row>
    <row r="2" spans="1:256" ht="15.75">
      <c r="A2" s="1332" t="s">
        <v>752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.75">
      <c r="A3" s="1333" t="s">
        <v>915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21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ht="13.5" thickBot="1"/>
    <row r="5" spans="1:256" ht="12.75">
      <c r="A5" s="1334" t="s">
        <v>442</v>
      </c>
      <c r="B5" s="1334"/>
      <c r="C5" s="1335"/>
      <c r="D5" s="1336" t="s">
        <v>435</v>
      </c>
      <c r="E5" s="1334"/>
      <c r="F5" s="1337"/>
      <c r="G5" s="1338" t="s">
        <v>583</v>
      </c>
      <c r="H5" s="1339"/>
      <c r="I5" s="1339"/>
      <c r="J5" s="1340"/>
      <c r="K5" s="1341"/>
      <c r="L5" s="1327" t="s">
        <v>362</v>
      </c>
      <c r="M5" s="27"/>
      <c r="N5" s="27" t="s">
        <v>478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5.5">
      <c r="A6" s="1329" t="s">
        <v>443</v>
      </c>
      <c r="B6" s="1330"/>
      <c r="C6" s="22" t="s">
        <v>444</v>
      </c>
      <c r="D6" s="23" t="s">
        <v>445</v>
      </c>
      <c r="E6" s="25" t="s">
        <v>446</v>
      </c>
      <c r="F6" s="26" t="s">
        <v>477</v>
      </c>
      <c r="G6" s="23" t="s">
        <v>447</v>
      </c>
      <c r="H6" s="24" t="s">
        <v>458</v>
      </c>
      <c r="I6" s="24" t="s">
        <v>448</v>
      </c>
      <c r="J6" s="24" t="s">
        <v>458</v>
      </c>
      <c r="K6" s="26" t="s">
        <v>623</v>
      </c>
      <c r="L6" s="13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1331" t="s">
        <v>420</v>
      </c>
      <c r="B7" s="1331"/>
      <c r="C7" s="91" t="s">
        <v>421</v>
      </c>
      <c r="D7" s="92" t="s">
        <v>422</v>
      </c>
      <c r="E7" s="93" t="s">
        <v>423</v>
      </c>
      <c r="F7" s="94" t="s">
        <v>424</v>
      </c>
      <c r="G7" s="92" t="s">
        <v>425</v>
      </c>
      <c r="H7" s="95" t="s">
        <v>427</v>
      </c>
      <c r="I7" s="95" t="s">
        <v>428</v>
      </c>
      <c r="J7" s="95" t="s">
        <v>381</v>
      </c>
      <c r="K7" s="94" t="s">
        <v>382</v>
      </c>
      <c r="L7" s="120" t="s">
        <v>383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2.75">
      <c r="A8" s="109" t="s">
        <v>465</v>
      </c>
      <c r="B8" s="110"/>
      <c r="C8" s="111" t="s">
        <v>475</v>
      </c>
      <c r="D8" s="112"/>
      <c r="E8" s="113"/>
      <c r="F8" s="114">
        <f>F9+F10+F15+F16+F17+F18</f>
        <v>200194231</v>
      </c>
      <c r="G8" s="112"/>
      <c r="H8" s="115"/>
      <c r="I8" s="115"/>
      <c r="J8" s="113"/>
      <c r="K8" s="114"/>
      <c r="L8" s="121">
        <f aca="true" t="shared" si="0" ref="L8:L14">F8+K8</f>
        <v>200194231</v>
      </c>
      <c r="M8" s="106"/>
      <c r="N8" s="123">
        <f>SUM(N9:N18)</f>
        <v>200194231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2.75">
      <c r="A9" s="100"/>
      <c r="B9" s="101" t="s">
        <v>518</v>
      </c>
      <c r="C9" s="102" t="s">
        <v>459</v>
      </c>
      <c r="D9" s="526">
        <v>26.34</v>
      </c>
      <c r="E9" s="527">
        <v>4580000</v>
      </c>
      <c r="F9" s="528">
        <f>D9*E9</f>
        <v>120637200</v>
      </c>
      <c r="G9" s="529"/>
      <c r="H9" s="530"/>
      <c r="I9" s="530"/>
      <c r="J9" s="527"/>
      <c r="K9" s="528"/>
      <c r="L9" s="531">
        <f t="shared" si="0"/>
        <v>120637200</v>
      </c>
      <c r="M9" s="103"/>
      <c r="N9" s="126">
        <f>SUM(L9)</f>
        <v>120637200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2.75">
      <c r="A10" s="100"/>
      <c r="B10" s="101" t="s">
        <v>519</v>
      </c>
      <c r="C10" s="102" t="s">
        <v>118</v>
      </c>
      <c r="D10" s="529"/>
      <c r="E10" s="527"/>
      <c r="F10" s="528">
        <f>SUM(F11:F14)</f>
        <v>63436320</v>
      </c>
      <c r="G10" s="529"/>
      <c r="H10" s="530"/>
      <c r="I10" s="530"/>
      <c r="J10" s="527"/>
      <c r="K10" s="528"/>
      <c r="L10" s="531">
        <f t="shared" si="0"/>
        <v>63436320</v>
      </c>
      <c r="M10" s="103"/>
      <c r="N10" s="126">
        <f>SUM(L11:L14)</f>
        <v>63436320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14" ht="12.75">
      <c r="A11" s="28"/>
      <c r="B11" s="98" t="s">
        <v>520</v>
      </c>
      <c r="C11" s="99" t="s">
        <v>460</v>
      </c>
      <c r="D11" s="532"/>
      <c r="E11" s="533"/>
      <c r="F11" s="534">
        <v>18207950</v>
      </c>
      <c r="G11" s="532"/>
      <c r="H11" s="535"/>
      <c r="I11" s="535"/>
      <c r="J11" s="533"/>
      <c r="K11" s="534"/>
      <c r="L11" s="536">
        <f t="shared" si="0"/>
        <v>18207950</v>
      </c>
      <c r="M11" s="29"/>
      <c r="N11" s="126"/>
    </row>
    <row r="12" spans="1:14" ht="12.75">
      <c r="A12" s="28"/>
      <c r="B12" s="98" t="s">
        <v>521</v>
      </c>
      <c r="C12" s="99" t="s">
        <v>461</v>
      </c>
      <c r="D12" s="532"/>
      <c r="E12" s="533"/>
      <c r="F12" s="534">
        <v>30176000</v>
      </c>
      <c r="G12" s="532"/>
      <c r="H12" s="535"/>
      <c r="I12" s="535"/>
      <c r="J12" s="533"/>
      <c r="K12" s="534"/>
      <c r="L12" s="536">
        <f t="shared" si="0"/>
        <v>30176000</v>
      </c>
      <c r="M12" s="29"/>
      <c r="N12" s="126"/>
    </row>
    <row r="13" spans="1:14" ht="12.75">
      <c r="A13" s="28"/>
      <c r="B13" s="98" t="s">
        <v>522</v>
      </c>
      <c r="C13" s="99" t="s">
        <v>462</v>
      </c>
      <c r="D13" s="532"/>
      <c r="E13" s="533"/>
      <c r="F13" s="534">
        <v>0</v>
      </c>
      <c r="G13" s="532"/>
      <c r="H13" s="535"/>
      <c r="I13" s="535"/>
      <c r="J13" s="533"/>
      <c r="K13" s="534"/>
      <c r="L13" s="536">
        <f t="shared" si="0"/>
        <v>0</v>
      </c>
      <c r="M13" s="29"/>
      <c r="N13" s="126"/>
    </row>
    <row r="14" spans="1:14" ht="12.75">
      <c r="A14" s="28"/>
      <c r="B14" s="98" t="s">
        <v>523</v>
      </c>
      <c r="C14" s="99" t="s">
        <v>463</v>
      </c>
      <c r="D14" s="532"/>
      <c r="E14" s="533"/>
      <c r="F14" s="534">
        <v>15052370</v>
      </c>
      <c r="G14" s="532"/>
      <c r="H14" s="535"/>
      <c r="I14" s="535"/>
      <c r="J14" s="533"/>
      <c r="K14" s="534"/>
      <c r="L14" s="536">
        <f t="shared" si="0"/>
        <v>15052370</v>
      </c>
      <c r="M14" s="29"/>
      <c r="N14" s="126"/>
    </row>
    <row r="15" spans="1:256" ht="12.75">
      <c r="A15" s="100"/>
      <c r="B15" s="101" t="s">
        <v>524</v>
      </c>
      <c r="C15" s="105" t="s">
        <v>119</v>
      </c>
      <c r="D15" s="529"/>
      <c r="E15" s="527">
        <v>2700</v>
      </c>
      <c r="F15" s="528">
        <v>13441039</v>
      </c>
      <c r="G15" s="529"/>
      <c r="H15" s="530"/>
      <c r="I15" s="530"/>
      <c r="J15" s="527"/>
      <c r="K15" s="528"/>
      <c r="L15" s="531">
        <f>F15+K15</f>
        <v>13441039</v>
      </c>
      <c r="M15" s="103"/>
      <c r="N15" s="126">
        <f>SUM(L15)</f>
        <v>13441039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ht="12.75">
      <c r="A16" s="100"/>
      <c r="B16" s="101" t="s">
        <v>525</v>
      </c>
      <c r="C16" s="105" t="s">
        <v>93</v>
      </c>
      <c r="D16" s="529">
        <v>307</v>
      </c>
      <c r="E16" s="527">
        <v>2550</v>
      </c>
      <c r="F16" s="528">
        <f>D16*E16</f>
        <v>782850</v>
      </c>
      <c r="G16" s="529"/>
      <c r="H16" s="530"/>
      <c r="I16" s="530"/>
      <c r="J16" s="527"/>
      <c r="K16" s="528"/>
      <c r="L16" s="531">
        <f>F16+K16</f>
        <v>782850</v>
      </c>
      <c r="M16" s="103"/>
      <c r="N16" s="126">
        <f>SUM(L16)</f>
        <v>782850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ht="12.75">
      <c r="A17" s="100"/>
      <c r="B17" s="101" t="s">
        <v>750</v>
      </c>
      <c r="C17" s="105" t="s">
        <v>749</v>
      </c>
      <c r="D17" s="529"/>
      <c r="E17" s="527"/>
      <c r="F17" s="528">
        <v>140422</v>
      </c>
      <c r="G17" s="529"/>
      <c r="H17" s="530"/>
      <c r="I17" s="530"/>
      <c r="J17" s="527"/>
      <c r="K17" s="528"/>
      <c r="L17" s="531">
        <f>F17+K17</f>
        <v>140422</v>
      </c>
      <c r="M17" s="103"/>
      <c r="N17" s="126">
        <f>SUM(L17)</f>
        <v>140422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ht="12.75">
      <c r="A18" s="100"/>
      <c r="B18" s="101" t="s">
        <v>526</v>
      </c>
      <c r="C18" s="105" t="s">
        <v>751</v>
      </c>
      <c r="D18" s="529"/>
      <c r="E18" s="527"/>
      <c r="F18" s="528">
        <v>1756400</v>
      </c>
      <c r="G18" s="529"/>
      <c r="H18" s="530"/>
      <c r="I18" s="530"/>
      <c r="J18" s="527"/>
      <c r="K18" s="528"/>
      <c r="L18" s="531">
        <f>F18+K18</f>
        <v>1756400</v>
      </c>
      <c r="M18" s="103"/>
      <c r="N18" s="126">
        <f>SUM(L18)</f>
        <v>1756400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14" ht="12.75">
      <c r="A19" s="109" t="s">
        <v>464</v>
      </c>
      <c r="B19" s="116"/>
      <c r="C19" s="111" t="s">
        <v>120</v>
      </c>
      <c r="D19" s="537"/>
      <c r="E19" s="538"/>
      <c r="F19" s="114"/>
      <c r="G19" s="537"/>
      <c r="H19" s="539"/>
      <c r="I19" s="539"/>
      <c r="J19" s="538"/>
      <c r="K19" s="114">
        <f>K20+K23+K24+K25</f>
        <v>115441235</v>
      </c>
      <c r="L19" s="121">
        <f>F19+K19</f>
        <v>115441235</v>
      </c>
      <c r="M19" s="29"/>
      <c r="N19" s="123">
        <f>SUM(N20:N29)</f>
        <v>115441235</v>
      </c>
    </row>
    <row r="20" spans="1:256" ht="25.5">
      <c r="A20" s="108"/>
      <c r="B20" s="905" t="s">
        <v>466</v>
      </c>
      <c r="C20" s="102" t="s">
        <v>121</v>
      </c>
      <c r="D20" s="529"/>
      <c r="E20" s="527"/>
      <c r="F20" s="528"/>
      <c r="G20" s="529"/>
      <c r="H20" s="530"/>
      <c r="I20" s="530"/>
      <c r="J20" s="527"/>
      <c r="K20" s="528">
        <f>SUM(K21:K22)</f>
        <v>94665000</v>
      </c>
      <c r="L20" s="531">
        <f>SUM(K20,F20)</f>
        <v>94665000</v>
      </c>
      <c r="M20" s="103"/>
      <c r="N20" s="126">
        <f>SUM(L21:L22)</f>
        <v>94665000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14" ht="12.75">
      <c r="A21" s="28"/>
      <c r="B21" s="98" t="s">
        <v>753</v>
      </c>
      <c r="C21" s="99" t="s">
        <v>467</v>
      </c>
      <c r="D21" s="532"/>
      <c r="E21" s="533"/>
      <c r="F21" s="534"/>
      <c r="G21" s="540">
        <v>16.1</v>
      </c>
      <c r="H21" s="535">
        <v>4419000</v>
      </c>
      <c r="I21" s="541">
        <f>14.6+1.2</f>
        <v>15.799999999999999</v>
      </c>
      <c r="J21" s="535">
        <v>4419000</v>
      </c>
      <c r="K21" s="534">
        <f>47430600+21063900+441900+1767600</f>
        <v>70704000</v>
      </c>
      <c r="L21" s="536">
        <f aca="true" t="shared" si="1" ref="L21:L50">F21+K21</f>
        <v>70704000</v>
      </c>
      <c r="M21" s="29"/>
      <c r="N21" s="126"/>
    </row>
    <row r="22" spans="1:14" ht="25.5">
      <c r="A22" s="28"/>
      <c r="B22" s="906" t="s">
        <v>754</v>
      </c>
      <c r="C22" s="125" t="s">
        <v>585</v>
      </c>
      <c r="D22" s="532"/>
      <c r="E22" s="533"/>
      <c r="F22" s="534"/>
      <c r="G22" s="540">
        <f>12-1.2</f>
        <v>10.8</v>
      </c>
      <c r="H22" s="535">
        <v>2205000</v>
      </c>
      <c r="I22" s="535">
        <f>10+1</f>
        <v>11</v>
      </c>
      <c r="J22" s="533">
        <v>2205000</v>
      </c>
      <c r="K22" s="534">
        <f>17640000+7350000-1764000+735000</f>
        <v>23961000</v>
      </c>
      <c r="L22" s="536">
        <f t="shared" si="1"/>
        <v>23961000</v>
      </c>
      <c r="M22" s="29"/>
      <c r="N22" s="126"/>
    </row>
    <row r="23" spans="1:256" ht="12.75">
      <c r="A23" s="100"/>
      <c r="B23" s="101" t="s">
        <v>468</v>
      </c>
      <c r="C23" s="105" t="s">
        <v>469</v>
      </c>
      <c r="D23" s="542"/>
      <c r="E23" s="543"/>
      <c r="F23" s="528"/>
      <c r="G23" s="544">
        <v>178</v>
      </c>
      <c r="H23" s="530">
        <v>81700</v>
      </c>
      <c r="I23" s="545">
        <f>160+6+14</f>
        <v>180</v>
      </c>
      <c r="J23" s="527">
        <v>81700</v>
      </c>
      <c r="K23" s="528">
        <f>9695067+4357333+163400+381267</f>
        <v>14597067</v>
      </c>
      <c r="L23" s="531">
        <f t="shared" si="1"/>
        <v>14597067</v>
      </c>
      <c r="M23" s="103"/>
      <c r="N23" s="126">
        <f>SUM(L23)</f>
        <v>14597067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12.75">
      <c r="A24" s="100"/>
      <c r="B24" s="101" t="s">
        <v>624</v>
      </c>
      <c r="C24" s="105" t="s">
        <v>625</v>
      </c>
      <c r="D24" s="546"/>
      <c r="E24" s="547"/>
      <c r="F24" s="528"/>
      <c r="G24" s="544"/>
      <c r="H24" s="530"/>
      <c r="I24" s="545"/>
      <c r="J24" s="527"/>
      <c r="K24" s="528">
        <v>0</v>
      </c>
      <c r="L24" s="531">
        <f>F24+K24</f>
        <v>0</v>
      </c>
      <c r="M24" s="103"/>
      <c r="N24" s="126">
        <f>SUM(L24)</f>
        <v>0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ht="12.75">
      <c r="A25" s="100"/>
      <c r="B25" s="101" t="s">
        <v>527</v>
      </c>
      <c r="C25" s="105" t="s">
        <v>528</v>
      </c>
      <c r="D25" s="546"/>
      <c r="E25" s="547"/>
      <c r="F25" s="528"/>
      <c r="G25" s="544"/>
      <c r="H25" s="530"/>
      <c r="I25" s="545"/>
      <c r="J25" s="527"/>
      <c r="K25" s="528">
        <f>SUM(K26:K29)</f>
        <v>6179168</v>
      </c>
      <c r="L25" s="531">
        <f>F25+K25</f>
        <v>6179168</v>
      </c>
      <c r="M25" s="103"/>
      <c r="N25" s="126">
        <f>SUM(L26:L29)</f>
        <v>6179168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14" ht="25.5">
      <c r="A26" s="28"/>
      <c r="B26" s="906" t="s">
        <v>626</v>
      </c>
      <c r="C26" s="125" t="s">
        <v>755</v>
      </c>
      <c r="D26" s="532"/>
      <c r="E26" s="533"/>
      <c r="F26" s="534"/>
      <c r="G26" s="532">
        <v>7.5</v>
      </c>
      <c r="H26" s="535">
        <v>401000</v>
      </c>
      <c r="I26" s="535"/>
      <c r="J26" s="533"/>
      <c r="K26" s="534">
        <f>G26*H26</f>
        <v>3007500</v>
      </c>
      <c r="L26" s="536">
        <f>SUM(K26)</f>
        <v>3007500</v>
      </c>
      <c r="M26" s="29"/>
      <c r="N26" s="126"/>
    </row>
    <row r="27" spans="1:14" ht="29.25" customHeight="1">
      <c r="A27" s="28"/>
      <c r="B27" s="906"/>
      <c r="C27" s="125" t="s">
        <v>819</v>
      </c>
      <c r="D27" s="532"/>
      <c r="E27" s="533"/>
      <c r="F27" s="534"/>
      <c r="G27" s="532">
        <v>1</v>
      </c>
      <c r="H27" s="535">
        <v>367584</v>
      </c>
      <c r="I27" s="535"/>
      <c r="J27" s="533"/>
      <c r="K27" s="534">
        <f>G27*H27</f>
        <v>367584</v>
      </c>
      <c r="L27" s="536">
        <f>SUM(K27)</f>
        <v>367584</v>
      </c>
      <c r="M27" s="29"/>
      <c r="N27" s="126"/>
    </row>
    <row r="28" spans="1:14" ht="25.5">
      <c r="A28" s="28"/>
      <c r="B28" s="906" t="s">
        <v>627</v>
      </c>
      <c r="C28" s="125" t="s">
        <v>756</v>
      </c>
      <c r="D28" s="532"/>
      <c r="E28" s="533"/>
      <c r="F28" s="534"/>
      <c r="G28" s="532">
        <v>1</v>
      </c>
      <c r="H28" s="535">
        <v>1463000</v>
      </c>
      <c r="I28" s="535"/>
      <c r="J28" s="533"/>
      <c r="K28" s="534">
        <f>G28*H28</f>
        <v>1463000</v>
      </c>
      <c r="L28" s="536">
        <f>SUM(K28)</f>
        <v>1463000</v>
      </c>
      <c r="M28" s="29"/>
      <c r="N28" s="126"/>
    </row>
    <row r="29" spans="1:14" ht="27" customHeight="1">
      <c r="A29" s="28"/>
      <c r="B29" s="98"/>
      <c r="C29" s="125" t="s">
        <v>820</v>
      </c>
      <c r="D29" s="532"/>
      <c r="E29" s="533"/>
      <c r="F29" s="534"/>
      <c r="G29" s="532">
        <v>1</v>
      </c>
      <c r="H29" s="535">
        <v>1341084</v>
      </c>
      <c r="I29" s="535"/>
      <c r="J29" s="533"/>
      <c r="K29" s="534">
        <f>G29*H29</f>
        <v>1341084</v>
      </c>
      <c r="L29" s="536">
        <f>SUM(K29)</f>
        <v>1341084</v>
      </c>
      <c r="M29" s="29"/>
      <c r="N29" s="126"/>
    </row>
    <row r="30" spans="1:256" ht="25.5">
      <c r="A30" s="109" t="s">
        <v>470</v>
      </c>
      <c r="B30" s="117"/>
      <c r="C30" s="111" t="s">
        <v>122</v>
      </c>
      <c r="D30" s="112"/>
      <c r="E30" s="113"/>
      <c r="F30" s="114">
        <f>SUM(F31:F33,F37,F40,F41)</f>
        <v>133853019</v>
      </c>
      <c r="G30" s="548"/>
      <c r="H30" s="115"/>
      <c r="I30" s="549"/>
      <c r="J30" s="113"/>
      <c r="K30" s="114">
        <f>SUM(K31:K33,K37,K40,K41)</f>
        <v>40133461</v>
      </c>
      <c r="L30" s="114">
        <f>SUM(L31:L33,L37,L40,L41)</f>
        <v>173986480</v>
      </c>
      <c r="M30" s="103"/>
      <c r="N30" s="123">
        <f>SUM(N31:N33)+N37+N40+N41</f>
        <v>173986480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ht="12.75">
      <c r="A31" s="100"/>
      <c r="B31" s="101" t="s">
        <v>471</v>
      </c>
      <c r="C31" s="105" t="s">
        <v>628</v>
      </c>
      <c r="D31" s="542"/>
      <c r="E31" s="543"/>
      <c r="F31" s="528"/>
      <c r="G31" s="544"/>
      <c r="H31" s="530"/>
      <c r="I31" s="545"/>
      <c r="J31" s="527"/>
      <c r="K31" s="528">
        <f>9189220-441334+172279</f>
        <v>8920165</v>
      </c>
      <c r="L31" s="531">
        <f t="shared" si="1"/>
        <v>8920165</v>
      </c>
      <c r="M31" s="103"/>
      <c r="N31" s="126">
        <f>SUM(L31)</f>
        <v>8920165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ht="12.75">
      <c r="A32" s="100"/>
      <c r="B32" s="101" t="s">
        <v>472</v>
      </c>
      <c r="C32" s="105" t="s">
        <v>529</v>
      </c>
      <c r="D32" s="542"/>
      <c r="E32" s="543"/>
      <c r="F32" s="528">
        <v>63778000</v>
      </c>
      <c r="G32" s="544"/>
      <c r="H32" s="530"/>
      <c r="I32" s="545"/>
      <c r="J32" s="527"/>
      <c r="K32" s="528"/>
      <c r="L32" s="531">
        <f t="shared" si="1"/>
        <v>63778000</v>
      </c>
      <c r="M32" s="103"/>
      <c r="N32" s="126">
        <f>SUM(L32)</f>
        <v>63778000</v>
      </c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ht="12.75">
      <c r="A33" s="100"/>
      <c r="B33" s="101" t="s">
        <v>473</v>
      </c>
      <c r="C33" s="105" t="s">
        <v>474</v>
      </c>
      <c r="D33" s="542"/>
      <c r="E33" s="543"/>
      <c r="F33" s="528">
        <f>SUM(F34:F35)</f>
        <v>0</v>
      </c>
      <c r="G33" s="544"/>
      <c r="H33" s="530"/>
      <c r="I33" s="545"/>
      <c r="J33" s="527"/>
      <c r="K33" s="528">
        <f>SUM(K34:K36)</f>
        <v>20414296</v>
      </c>
      <c r="L33" s="531">
        <f t="shared" si="1"/>
        <v>20414296</v>
      </c>
      <c r="M33" s="103"/>
      <c r="N33" s="126">
        <f>SUM(L34:L36)</f>
        <v>20414296</v>
      </c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14" ht="12.75">
      <c r="A34" s="28"/>
      <c r="B34" s="98" t="s">
        <v>586</v>
      </c>
      <c r="C34" s="99" t="s">
        <v>587</v>
      </c>
      <c r="D34" s="532"/>
      <c r="E34" s="533"/>
      <c r="F34" s="534"/>
      <c r="G34" s="550"/>
      <c r="H34" s="535"/>
      <c r="I34" s="551"/>
      <c r="J34" s="533"/>
      <c r="K34" s="534">
        <v>3740000</v>
      </c>
      <c r="L34" s="536">
        <f t="shared" si="1"/>
        <v>3740000</v>
      </c>
      <c r="M34" s="29"/>
      <c r="N34" s="29"/>
    </row>
    <row r="35" spans="1:14" ht="12.75">
      <c r="A35" s="28"/>
      <c r="B35" s="98" t="s">
        <v>589</v>
      </c>
      <c r="C35" s="99" t="s">
        <v>588</v>
      </c>
      <c r="D35" s="532"/>
      <c r="E35" s="533"/>
      <c r="F35" s="534"/>
      <c r="G35" s="550"/>
      <c r="H35" s="535"/>
      <c r="I35" s="551"/>
      <c r="J35" s="533"/>
      <c r="K35" s="534">
        <v>14850000</v>
      </c>
      <c r="L35" s="536">
        <f t="shared" si="1"/>
        <v>14850000</v>
      </c>
      <c r="M35" s="29"/>
      <c r="N35" s="29"/>
    </row>
    <row r="36" spans="1:14" ht="12.75">
      <c r="A36" s="28"/>
      <c r="B36" s="98" t="s">
        <v>1170</v>
      </c>
      <c r="C36" s="99" t="s">
        <v>1171</v>
      </c>
      <c r="D36" s="532"/>
      <c r="E36" s="533"/>
      <c r="F36" s="534"/>
      <c r="G36" s="550"/>
      <c r="H36" s="535"/>
      <c r="I36" s="551"/>
      <c r="J36" s="533"/>
      <c r="K36" s="534">
        <v>1824296</v>
      </c>
      <c r="L36" s="536">
        <f>F36+K36</f>
        <v>1824296</v>
      </c>
      <c r="M36" s="29"/>
      <c r="N36" s="29"/>
    </row>
    <row r="37" spans="1:256" ht="12.75">
      <c r="A37" s="100"/>
      <c r="B37" s="101" t="s">
        <v>123</v>
      </c>
      <c r="C37" s="105" t="s">
        <v>766</v>
      </c>
      <c r="D37" s="542"/>
      <c r="E37" s="543"/>
      <c r="F37" s="528">
        <f>SUM(F38:F39)</f>
        <v>68715569</v>
      </c>
      <c r="G37" s="544"/>
      <c r="H37" s="530"/>
      <c r="I37" s="545"/>
      <c r="J37" s="527"/>
      <c r="K37" s="528">
        <f>SUM(K38:K40)</f>
        <v>0</v>
      </c>
      <c r="L37" s="531">
        <f t="shared" si="1"/>
        <v>68715569</v>
      </c>
      <c r="M37" s="103"/>
      <c r="N37" s="126">
        <f>SUM(L38:L39)</f>
        <v>68715569</v>
      </c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:14" ht="12.75">
      <c r="A38" s="28"/>
      <c r="B38" s="98" t="s">
        <v>530</v>
      </c>
      <c r="C38" s="125" t="s">
        <v>767</v>
      </c>
      <c r="D38" s="552">
        <f>12.6-1.78</f>
        <v>10.82</v>
      </c>
      <c r="E38" s="553">
        <v>1900000</v>
      </c>
      <c r="F38" s="534">
        <f>E38*D38</f>
        <v>20558000</v>
      </c>
      <c r="G38" s="540"/>
      <c r="H38" s="535"/>
      <c r="I38" s="541"/>
      <c r="J38" s="533"/>
      <c r="K38" s="534"/>
      <c r="L38" s="554">
        <f t="shared" si="1"/>
        <v>20558000</v>
      </c>
      <c r="M38" s="29"/>
      <c r="N38" s="126"/>
    </row>
    <row r="39" spans="1:14" ht="12.75">
      <c r="A39" s="28"/>
      <c r="B39" s="98" t="s">
        <v>124</v>
      </c>
      <c r="C39" s="125" t="s">
        <v>125</v>
      </c>
      <c r="D39" s="552"/>
      <c r="E39" s="533"/>
      <c r="F39" s="534">
        <f>45840425+2317144</f>
        <v>48157569</v>
      </c>
      <c r="G39" s="532"/>
      <c r="H39" s="535"/>
      <c r="I39" s="535"/>
      <c r="J39" s="533"/>
      <c r="K39" s="534"/>
      <c r="L39" s="554">
        <f>F39+K39</f>
        <v>48157569</v>
      </c>
      <c r="M39" s="29"/>
      <c r="N39" s="29"/>
    </row>
    <row r="40" spans="1:256" ht="12.75">
      <c r="A40" s="100"/>
      <c r="B40" s="101" t="s">
        <v>757</v>
      </c>
      <c r="C40" s="105" t="s">
        <v>768</v>
      </c>
      <c r="D40" s="542">
        <f>3710-64-1261</f>
        <v>2385</v>
      </c>
      <c r="E40" s="543">
        <v>570</v>
      </c>
      <c r="F40" s="528">
        <f>D40*E40</f>
        <v>1359450</v>
      </c>
      <c r="G40" s="544"/>
      <c r="H40" s="530"/>
      <c r="I40" s="545"/>
      <c r="J40" s="527"/>
      <c r="K40" s="528"/>
      <c r="L40" s="531">
        <f t="shared" si="1"/>
        <v>1359450</v>
      </c>
      <c r="M40" s="103"/>
      <c r="N40" s="126">
        <f>SUM(L40)</f>
        <v>1359450</v>
      </c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ht="12.75">
      <c r="A41" s="100"/>
      <c r="B41" s="101" t="s">
        <v>758</v>
      </c>
      <c r="C41" s="105" t="s">
        <v>759</v>
      </c>
      <c r="D41" s="542"/>
      <c r="E41" s="543"/>
      <c r="F41" s="528"/>
      <c r="G41" s="544"/>
      <c r="H41" s="530"/>
      <c r="I41" s="545"/>
      <c r="J41" s="527"/>
      <c r="K41" s="528">
        <f>SUM(K42:K45)</f>
        <v>10799000</v>
      </c>
      <c r="L41" s="531">
        <f t="shared" si="1"/>
        <v>10799000</v>
      </c>
      <c r="M41" s="103"/>
      <c r="N41" s="126">
        <f>SUM(L41:M41)</f>
        <v>10799000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14" ht="12.75">
      <c r="A42" s="28"/>
      <c r="B42" s="98" t="s">
        <v>760</v>
      </c>
      <c r="C42" s="125" t="s">
        <v>761</v>
      </c>
      <c r="D42" s="552"/>
      <c r="E42" s="533"/>
      <c r="F42" s="534"/>
      <c r="G42" s="532">
        <v>1</v>
      </c>
      <c r="H42" s="535">
        <v>4419000</v>
      </c>
      <c r="I42" s="535"/>
      <c r="J42" s="533"/>
      <c r="K42" s="534">
        <f>G42*H42</f>
        <v>4419000</v>
      </c>
      <c r="L42" s="554">
        <f>SUM(K42,F42)</f>
        <v>4419000</v>
      </c>
      <c r="M42" s="29"/>
      <c r="N42" s="29"/>
    </row>
    <row r="43" spans="1:14" ht="15" customHeight="1">
      <c r="A43" s="28"/>
      <c r="B43" s="98" t="s">
        <v>762</v>
      </c>
      <c r="C43" s="125" t="s">
        <v>763</v>
      </c>
      <c r="D43" s="552"/>
      <c r="E43" s="533"/>
      <c r="F43" s="534"/>
      <c r="G43" s="532">
        <v>2</v>
      </c>
      <c r="H43" s="535">
        <v>2993000</v>
      </c>
      <c r="I43" s="535"/>
      <c r="J43" s="533"/>
      <c r="K43" s="534">
        <f>G43*H43</f>
        <v>5986000</v>
      </c>
      <c r="L43" s="554">
        <f t="shared" si="1"/>
        <v>5986000</v>
      </c>
      <c r="M43" s="29"/>
      <c r="N43" s="29"/>
    </row>
    <row r="44" spans="1:14" ht="12.75">
      <c r="A44" s="28"/>
      <c r="B44" s="98" t="s">
        <v>764</v>
      </c>
      <c r="C44" s="125" t="s">
        <v>765</v>
      </c>
      <c r="D44" s="552"/>
      <c r="E44" s="533"/>
      <c r="F44" s="534"/>
      <c r="G44" s="532"/>
      <c r="H44" s="535"/>
      <c r="I44" s="535"/>
      <c r="J44" s="533"/>
      <c r="K44" s="534">
        <f>882000-473000-15000</f>
        <v>394000</v>
      </c>
      <c r="L44" s="554">
        <f t="shared" si="1"/>
        <v>394000</v>
      </c>
      <c r="M44" s="29"/>
      <c r="N44" s="29"/>
    </row>
    <row r="45" spans="1:14" ht="25.5">
      <c r="A45" s="28"/>
      <c r="B45" s="98"/>
      <c r="C45" s="125" t="s">
        <v>913</v>
      </c>
      <c r="D45" s="552"/>
      <c r="E45" s="533"/>
      <c r="F45" s="534"/>
      <c r="G45" s="532"/>
      <c r="H45" s="535"/>
      <c r="I45" s="535"/>
      <c r="J45" s="533"/>
      <c r="K45" s="534">
        <f>195364-195364</f>
        <v>0</v>
      </c>
      <c r="L45" s="554">
        <f t="shared" si="1"/>
        <v>0</v>
      </c>
      <c r="M45" s="29"/>
      <c r="N45" s="29"/>
    </row>
    <row r="46" spans="1:256" ht="12.75">
      <c r="A46" s="109" t="s">
        <v>476</v>
      </c>
      <c r="B46" s="117"/>
      <c r="C46" s="111" t="s">
        <v>457</v>
      </c>
      <c r="D46" s="112"/>
      <c r="E46" s="113"/>
      <c r="F46" s="114">
        <f>SUM(F48:F50)</f>
        <v>11521692</v>
      </c>
      <c r="G46" s="548"/>
      <c r="H46" s="115"/>
      <c r="I46" s="549"/>
      <c r="J46" s="113"/>
      <c r="K46" s="114"/>
      <c r="L46" s="121">
        <f t="shared" si="1"/>
        <v>11521692</v>
      </c>
      <c r="M46" s="103"/>
      <c r="N46" s="122">
        <f>SUM(L48:L50)</f>
        <v>11521692</v>
      </c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ht="12.75">
      <c r="A47" s="100"/>
      <c r="B47" s="101" t="s">
        <v>532</v>
      </c>
      <c r="C47" s="105" t="s">
        <v>533</v>
      </c>
      <c r="D47" s="542"/>
      <c r="E47" s="543"/>
      <c r="F47" s="528"/>
      <c r="G47" s="544"/>
      <c r="H47" s="530"/>
      <c r="I47" s="545"/>
      <c r="J47" s="527"/>
      <c r="K47" s="528"/>
      <c r="L47" s="531"/>
      <c r="M47" s="103"/>
      <c r="N47" s="126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14" ht="14.25" customHeight="1">
      <c r="A48" s="28"/>
      <c r="B48" s="98" t="s">
        <v>531</v>
      </c>
      <c r="C48" s="125" t="s">
        <v>126</v>
      </c>
      <c r="D48" s="532">
        <v>8811</v>
      </c>
      <c r="E48" s="533">
        <v>1210</v>
      </c>
      <c r="F48" s="534">
        <f>D48*E48</f>
        <v>10661310</v>
      </c>
      <c r="G48" s="555"/>
      <c r="H48" s="556"/>
      <c r="I48" s="551"/>
      <c r="J48" s="553"/>
      <c r="K48" s="534"/>
      <c r="L48" s="536">
        <f t="shared" si="1"/>
        <v>10661310</v>
      </c>
      <c r="M48" s="29"/>
      <c r="N48" s="29"/>
    </row>
    <row r="49" spans="1:14" ht="12.75">
      <c r="A49" s="28"/>
      <c r="B49" s="98" t="s">
        <v>1000</v>
      </c>
      <c r="C49" s="125" t="s">
        <v>1001</v>
      </c>
      <c r="D49" s="532"/>
      <c r="E49" s="533"/>
      <c r="F49" s="534">
        <v>95585</v>
      </c>
      <c r="G49" s="555"/>
      <c r="H49" s="556"/>
      <c r="I49" s="551"/>
      <c r="J49" s="553"/>
      <c r="K49" s="534"/>
      <c r="L49" s="536">
        <f t="shared" si="1"/>
        <v>95585</v>
      </c>
      <c r="M49" s="29"/>
      <c r="N49" s="29"/>
    </row>
    <row r="50" spans="1:14" ht="12.75">
      <c r="A50" s="28"/>
      <c r="B50" s="98" t="s">
        <v>911</v>
      </c>
      <c r="C50" s="125" t="s">
        <v>912</v>
      </c>
      <c r="D50" s="532"/>
      <c r="E50" s="533"/>
      <c r="F50" s="534">
        <f>1004278-239481</f>
        <v>764797</v>
      </c>
      <c r="G50" s="555"/>
      <c r="H50" s="556"/>
      <c r="I50" s="551"/>
      <c r="J50" s="553"/>
      <c r="K50" s="534"/>
      <c r="L50" s="536">
        <f t="shared" si="1"/>
        <v>764797</v>
      </c>
      <c r="M50" s="29"/>
      <c r="N50" s="29"/>
    </row>
    <row r="51" spans="1:256" ht="15">
      <c r="A51" s="1323" t="s">
        <v>479</v>
      </c>
      <c r="B51" s="1323"/>
      <c r="C51" s="1324"/>
      <c r="D51" s="557" t="s">
        <v>449</v>
      </c>
      <c r="E51" s="558" t="s">
        <v>449</v>
      </c>
      <c r="F51" s="559">
        <f>SUM(F46,F30,F19,F8)</f>
        <v>345568942</v>
      </c>
      <c r="G51" s="557" t="s">
        <v>449</v>
      </c>
      <c r="H51" s="560" t="s">
        <v>449</v>
      </c>
      <c r="I51" s="560" t="s">
        <v>449</v>
      </c>
      <c r="J51" s="558" t="s">
        <v>449</v>
      </c>
      <c r="K51" s="559">
        <f>SUM(K46,K30,K19,K8)</f>
        <v>155574696</v>
      </c>
      <c r="L51" s="561">
        <f>SUM(L46,L30,L19,L8)</f>
        <v>501143638</v>
      </c>
      <c r="M51" s="31"/>
      <c r="N51" s="32">
        <f>SUM(N46,N30,N19,N8)</f>
        <v>501143638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771" customFormat="1" ht="15">
      <c r="A52" s="764"/>
      <c r="B52" s="764"/>
      <c r="C52" s="764"/>
      <c r="D52" s="765"/>
      <c r="E52" s="765"/>
      <c r="F52" s="766"/>
      <c r="G52" s="765"/>
      <c r="H52" s="765"/>
      <c r="I52" s="765"/>
      <c r="J52" s="765"/>
      <c r="K52" s="766"/>
      <c r="L52" s="767"/>
      <c r="M52" s="768"/>
      <c r="N52" s="769"/>
      <c r="O52" s="770"/>
      <c r="P52" s="770"/>
      <c r="Q52" s="770"/>
      <c r="R52" s="770"/>
      <c r="S52" s="770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D52" s="770"/>
      <c r="AE52" s="770"/>
      <c r="AF52" s="770"/>
      <c r="AG52" s="770"/>
      <c r="AH52" s="770"/>
      <c r="AI52" s="770"/>
      <c r="AJ52" s="770"/>
      <c r="AK52" s="770"/>
      <c r="AL52" s="770"/>
      <c r="AM52" s="770"/>
      <c r="AN52" s="770"/>
      <c r="AO52" s="770"/>
      <c r="AP52" s="770"/>
      <c r="AQ52" s="770"/>
      <c r="AR52" s="770"/>
      <c r="AS52" s="770"/>
      <c r="AT52" s="770"/>
      <c r="AU52" s="770"/>
      <c r="AV52" s="770"/>
      <c r="AW52" s="770"/>
      <c r="AX52" s="770"/>
      <c r="AY52" s="770"/>
      <c r="AZ52" s="770"/>
      <c r="BA52" s="770"/>
      <c r="BB52" s="770"/>
      <c r="BC52" s="770"/>
      <c r="BD52" s="770"/>
      <c r="BE52" s="770"/>
      <c r="BF52" s="770"/>
      <c r="BG52" s="770"/>
      <c r="BH52" s="770"/>
      <c r="BI52" s="770"/>
      <c r="BJ52" s="770"/>
      <c r="BK52" s="770"/>
      <c r="BL52" s="770"/>
      <c r="BM52" s="770"/>
      <c r="BN52" s="770"/>
      <c r="BO52" s="770"/>
      <c r="BP52" s="770"/>
      <c r="BQ52" s="770"/>
      <c r="BR52" s="770"/>
      <c r="BS52" s="770"/>
      <c r="BT52" s="770"/>
      <c r="BU52" s="770"/>
      <c r="BV52" s="770"/>
      <c r="BW52" s="770"/>
      <c r="BX52" s="770"/>
      <c r="BY52" s="770"/>
      <c r="BZ52" s="770"/>
      <c r="CA52" s="770"/>
      <c r="CB52" s="770"/>
      <c r="CC52" s="770"/>
      <c r="CD52" s="770"/>
      <c r="CE52" s="770"/>
      <c r="CF52" s="770"/>
      <c r="CG52" s="770"/>
      <c r="CH52" s="770"/>
      <c r="CI52" s="770"/>
      <c r="CJ52" s="770"/>
      <c r="CK52" s="770"/>
      <c r="CL52" s="770"/>
      <c r="CM52" s="770"/>
      <c r="CN52" s="770"/>
      <c r="CO52" s="770"/>
      <c r="CP52" s="770"/>
      <c r="CQ52" s="770"/>
      <c r="CR52" s="770"/>
      <c r="CS52" s="770"/>
      <c r="CT52" s="770"/>
      <c r="CU52" s="770"/>
      <c r="CV52" s="770"/>
      <c r="CW52" s="770"/>
      <c r="CX52" s="770"/>
      <c r="CY52" s="770"/>
      <c r="CZ52" s="770"/>
      <c r="DA52" s="770"/>
      <c r="DB52" s="770"/>
      <c r="DC52" s="770"/>
      <c r="DD52" s="770"/>
      <c r="DE52" s="770"/>
      <c r="DF52" s="770"/>
      <c r="DG52" s="770"/>
      <c r="DH52" s="770"/>
      <c r="DI52" s="770"/>
      <c r="DJ52" s="770"/>
      <c r="DK52" s="770"/>
      <c r="DL52" s="770"/>
      <c r="DM52" s="770"/>
      <c r="DN52" s="770"/>
      <c r="DO52" s="770"/>
      <c r="DP52" s="770"/>
      <c r="DQ52" s="770"/>
      <c r="DR52" s="770"/>
      <c r="DS52" s="770"/>
      <c r="DT52" s="770"/>
      <c r="DU52" s="770"/>
      <c r="DV52" s="770"/>
      <c r="DW52" s="770"/>
      <c r="DX52" s="770"/>
      <c r="DY52" s="770"/>
      <c r="DZ52" s="770"/>
      <c r="EA52" s="770"/>
      <c r="EB52" s="770"/>
      <c r="EC52" s="770"/>
      <c r="ED52" s="770"/>
      <c r="EE52" s="770"/>
      <c r="EF52" s="770"/>
      <c r="EG52" s="770"/>
      <c r="EH52" s="770"/>
      <c r="EI52" s="770"/>
      <c r="EJ52" s="770"/>
      <c r="EK52" s="770"/>
      <c r="EL52" s="770"/>
      <c r="EM52" s="770"/>
      <c r="EN52" s="770"/>
      <c r="EO52" s="770"/>
      <c r="EP52" s="770"/>
      <c r="EQ52" s="770"/>
      <c r="ER52" s="770"/>
      <c r="ES52" s="770"/>
      <c r="ET52" s="770"/>
      <c r="EU52" s="770"/>
      <c r="EV52" s="770"/>
      <c r="EW52" s="770"/>
      <c r="EX52" s="770"/>
      <c r="EY52" s="770"/>
      <c r="EZ52" s="770"/>
      <c r="FA52" s="770"/>
      <c r="FB52" s="770"/>
      <c r="FC52" s="770"/>
      <c r="FD52" s="770"/>
      <c r="FE52" s="770"/>
      <c r="FF52" s="770"/>
      <c r="FG52" s="770"/>
      <c r="FH52" s="770"/>
      <c r="FI52" s="770"/>
      <c r="FJ52" s="770"/>
      <c r="FK52" s="770"/>
      <c r="FL52" s="770"/>
      <c r="FM52" s="770"/>
      <c r="FN52" s="770"/>
      <c r="FO52" s="770"/>
      <c r="FP52" s="770"/>
      <c r="FQ52" s="770"/>
      <c r="FR52" s="770"/>
      <c r="FS52" s="770"/>
      <c r="FT52" s="770"/>
      <c r="FU52" s="770"/>
      <c r="FV52" s="770"/>
      <c r="FW52" s="770"/>
      <c r="FX52" s="770"/>
      <c r="FY52" s="770"/>
      <c r="FZ52" s="770"/>
      <c r="GA52" s="770"/>
      <c r="GB52" s="770"/>
      <c r="GC52" s="770"/>
      <c r="GD52" s="770"/>
      <c r="GE52" s="770"/>
      <c r="GF52" s="770"/>
      <c r="GG52" s="770"/>
      <c r="GH52" s="770"/>
      <c r="GI52" s="770"/>
      <c r="GJ52" s="770"/>
      <c r="GK52" s="770"/>
      <c r="GL52" s="770"/>
      <c r="GM52" s="770"/>
      <c r="GN52" s="770"/>
      <c r="GO52" s="770"/>
      <c r="GP52" s="770"/>
      <c r="GQ52" s="770"/>
      <c r="GR52" s="770"/>
      <c r="GS52" s="770"/>
      <c r="GT52" s="770"/>
      <c r="GU52" s="770"/>
      <c r="GV52" s="770"/>
      <c r="GW52" s="770"/>
      <c r="GX52" s="770"/>
      <c r="GY52" s="770"/>
      <c r="GZ52" s="770"/>
      <c r="HA52" s="770"/>
      <c r="HB52" s="770"/>
      <c r="HC52" s="770"/>
      <c r="HD52" s="770"/>
      <c r="HE52" s="770"/>
      <c r="HF52" s="770"/>
      <c r="HG52" s="770"/>
      <c r="HH52" s="770"/>
      <c r="HI52" s="770"/>
      <c r="HJ52" s="770"/>
      <c r="HK52" s="770"/>
      <c r="HL52" s="770"/>
      <c r="HM52" s="770"/>
      <c r="HN52" s="770"/>
      <c r="HO52" s="770"/>
      <c r="HP52" s="770"/>
      <c r="HQ52" s="770"/>
      <c r="HR52" s="770"/>
      <c r="HS52" s="770"/>
      <c r="HT52" s="770"/>
      <c r="HU52" s="770"/>
      <c r="HV52" s="770"/>
      <c r="HW52" s="770"/>
      <c r="HX52" s="770"/>
      <c r="HY52" s="770"/>
      <c r="HZ52" s="770"/>
      <c r="IA52" s="770"/>
      <c r="IB52" s="770"/>
      <c r="IC52" s="770"/>
      <c r="ID52" s="770"/>
      <c r="IE52" s="770"/>
      <c r="IF52" s="770"/>
      <c r="IG52" s="770"/>
      <c r="IH52" s="770"/>
      <c r="II52" s="770"/>
      <c r="IJ52" s="770"/>
      <c r="IK52" s="770"/>
      <c r="IL52" s="770"/>
      <c r="IM52" s="770"/>
      <c r="IN52" s="770"/>
      <c r="IO52" s="770"/>
      <c r="IP52" s="770"/>
      <c r="IQ52" s="770"/>
      <c r="IR52" s="770"/>
      <c r="IS52" s="770"/>
      <c r="IT52" s="770"/>
      <c r="IU52" s="770"/>
      <c r="IV52" s="770"/>
    </row>
    <row r="53" spans="1:14" ht="12.75">
      <c r="A53" s="28" t="s">
        <v>465</v>
      </c>
      <c r="B53" s="98"/>
      <c r="C53" s="125" t="s">
        <v>910</v>
      </c>
      <c r="D53" s="552"/>
      <c r="E53" s="533"/>
      <c r="F53" s="534">
        <f>1096532-40212-116754+40212</f>
        <v>979778</v>
      </c>
      <c r="G53" s="532"/>
      <c r="H53" s="535"/>
      <c r="I53" s="535"/>
      <c r="J53" s="533"/>
      <c r="K53" s="534"/>
      <c r="L53" s="536">
        <f>F53+K53</f>
        <v>979778</v>
      </c>
      <c r="M53" s="29"/>
      <c r="N53" s="29"/>
    </row>
    <row r="54" spans="1:14" ht="15.75" customHeight="1">
      <c r="A54" s="98" t="s">
        <v>465</v>
      </c>
      <c r="B54" s="98" t="s">
        <v>999</v>
      </c>
      <c r="C54" s="125" t="s">
        <v>998</v>
      </c>
      <c r="D54" s="552"/>
      <c r="E54" s="533"/>
      <c r="F54" s="534">
        <v>7265000</v>
      </c>
      <c r="G54" s="532"/>
      <c r="H54" s="535"/>
      <c r="I54" s="535"/>
      <c r="J54" s="533"/>
      <c r="K54" s="534"/>
      <c r="L54" s="536">
        <f>F54+K54</f>
        <v>7265000</v>
      </c>
      <c r="M54" s="29"/>
      <c r="N54" s="29"/>
    </row>
    <row r="55" spans="1:14" ht="12.75">
      <c r="A55" s="98" t="s">
        <v>464</v>
      </c>
      <c r="B55" s="98" t="s">
        <v>1121</v>
      </c>
      <c r="C55" s="125" t="s">
        <v>1122</v>
      </c>
      <c r="D55" s="552"/>
      <c r="E55" s="533"/>
      <c r="F55" s="534">
        <v>29947750</v>
      </c>
      <c r="G55" s="532"/>
      <c r="H55" s="535"/>
      <c r="I55" s="535"/>
      <c r="J55" s="533"/>
      <c r="K55" s="534"/>
      <c r="L55" s="536">
        <f>F55+K55</f>
        <v>29947750</v>
      </c>
      <c r="M55" s="29"/>
      <c r="N55" s="29"/>
    </row>
    <row r="56" spans="1:14" ht="12.75">
      <c r="A56" s="28"/>
      <c r="B56" s="98"/>
      <c r="C56" s="125" t="s">
        <v>986</v>
      </c>
      <c r="D56" s="552"/>
      <c r="E56" s="533"/>
      <c r="F56" s="534">
        <v>30000000</v>
      </c>
      <c r="G56" s="532"/>
      <c r="H56" s="535"/>
      <c r="I56" s="535"/>
      <c r="J56" s="533"/>
      <c r="K56" s="534"/>
      <c r="L56" s="536">
        <f>F56+K56</f>
        <v>30000000</v>
      </c>
      <c r="M56" s="29"/>
      <c r="N56" s="29"/>
    </row>
    <row r="57" spans="1:14" ht="25.5">
      <c r="A57" s="28"/>
      <c r="B57" s="98"/>
      <c r="C57" s="125" t="s">
        <v>1226</v>
      </c>
      <c r="D57" s="552"/>
      <c r="E57" s="533"/>
      <c r="F57" s="534">
        <v>8004000</v>
      </c>
      <c r="G57" s="532"/>
      <c r="H57" s="535"/>
      <c r="I57" s="535"/>
      <c r="J57" s="533"/>
      <c r="K57" s="534"/>
      <c r="L57" s="536">
        <f>F57+K57</f>
        <v>8004000</v>
      </c>
      <c r="M57" s="29"/>
      <c r="N57" s="29"/>
    </row>
    <row r="58" spans="1:256" ht="15">
      <c r="A58" s="1323" t="s">
        <v>914</v>
      </c>
      <c r="B58" s="1323"/>
      <c r="C58" s="1324"/>
      <c r="D58" s="557" t="s">
        <v>449</v>
      </c>
      <c r="E58" s="558" t="s">
        <v>449</v>
      </c>
      <c r="F58" s="559">
        <f>SUM(F53:F57)</f>
        <v>76196528</v>
      </c>
      <c r="G58" s="557" t="s">
        <v>449</v>
      </c>
      <c r="H58" s="560" t="s">
        <v>449</v>
      </c>
      <c r="I58" s="560" t="s">
        <v>449</v>
      </c>
      <c r="J58" s="558" t="s">
        <v>449</v>
      </c>
      <c r="K58" s="559">
        <f>SUM(K53:K56)</f>
        <v>0</v>
      </c>
      <c r="L58" s="561">
        <f>SUM(L53:L57)</f>
        <v>76196528</v>
      </c>
      <c r="M58" s="31"/>
      <c r="N58" s="32">
        <f>SUM(L58)</f>
        <v>76196528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4:12" ht="12.75">
      <c r="D59" s="562"/>
      <c r="E59" s="562"/>
      <c r="F59" s="562"/>
      <c r="G59" s="562"/>
      <c r="H59" s="562"/>
      <c r="I59" s="562"/>
      <c r="J59" s="562"/>
      <c r="K59" s="562"/>
      <c r="L59" s="562"/>
    </row>
    <row r="60" spans="1:256" ht="16.5">
      <c r="A60" s="1325" t="s">
        <v>127</v>
      </c>
      <c r="B60" s="1325"/>
      <c r="C60" s="1326"/>
      <c r="D60" s="563" t="s">
        <v>449</v>
      </c>
      <c r="E60" s="564" t="s">
        <v>449</v>
      </c>
      <c r="F60" s="565">
        <f>SUM(F51+F58)</f>
        <v>421765470</v>
      </c>
      <c r="G60" s="563" t="s">
        <v>449</v>
      </c>
      <c r="H60" s="566" t="s">
        <v>449</v>
      </c>
      <c r="I60" s="566" t="s">
        <v>449</v>
      </c>
      <c r="J60" s="564" t="s">
        <v>449</v>
      </c>
      <c r="K60" s="565">
        <f>SUM(K51+K58)</f>
        <v>155574696</v>
      </c>
      <c r="L60" s="567">
        <f>SUM(K60+F60)</f>
        <v>577340166</v>
      </c>
      <c r="M60" s="31"/>
      <c r="N60" s="32">
        <f>SUM(N58,N51)</f>
        <v>577340166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</sheetData>
  <sheetProtection/>
  <mergeCells count="11">
    <mergeCell ref="A58:C58"/>
    <mergeCell ref="A51:C51"/>
    <mergeCell ref="A60:C60"/>
    <mergeCell ref="L5:L6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7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636" customWidth="1"/>
    <col min="2" max="2" width="36.125" style="134" customWidth="1"/>
    <col min="3" max="3" width="15.00390625" style="134" customWidth="1"/>
    <col min="4" max="4" width="11.125" style="134" bestFit="1" customWidth="1"/>
    <col min="5" max="5" width="11.875" style="134" customWidth="1"/>
    <col min="6" max="6" width="11.75390625" style="134" customWidth="1"/>
    <col min="7" max="8" width="11.25390625" style="134" customWidth="1"/>
    <col min="9" max="9" width="11.75390625" style="134" customWidth="1"/>
    <col min="10" max="10" width="15.375" style="134" customWidth="1"/>
    <col min="11" max="11" width="16.625" style="134" customWidth="1"/>
  </cols>
  <sheetData>
    <row r="1" spans="2:11" ht="15">
      <c r="B1" s="1379" t="s">
        <v>1261</v>
      </c>
      <c r="C1" s="1379"/>
      <c r="D1" s="1379"/>
      <c r="E1" s="1379"/>
      <c r="F1" s="1379"/>
      <c r="G1" s="1379"/>
      <c r="H1" s="1379"/>
      <c r="I1" s="1379"/>
      <c r="J1" s="1379"/>
      <c r="K1" s="1379"/>
    </row>
    <row r="4" spans="2:11" ht="41.25" customHeight="1">
      <c r="B4" s="1380" t="s">
        <v>843</v>
      </c>
      <c r="C4" s="1380"/>
      <c r="D4" s="1380"/>
      <c r="E4" s="1380"/>
      <c r="F4" s="1380"/>
      <c r="G4" s="1380"/>
      <c r="H4" s="1380"/>
      <c r="I4" s="1380"/>
      <c r="J4" s="1380"/>
      <c r="K4" s="1380"/>
    </row>
    <row r="7" ht="13.5" thickBot="1"/>
    <row r="8" spans="1:11" ht="12.75">
      <c r="A8" s="1381" t="s">
        <v>426</v>
      </c>
      <c r="B8" s="1384" t="s">
        <v>357</v>
      </c>
      <c r="C8" s="1387" t="s">
        <v>830</v>
      </c>
      <c r="D8" s="1388"/>
      <c r="E8" s="1388"/>
      <c r="F8" s="1388"/>
      <c r="G8" s="1388"/>
      <c r="H8" s="1389"/>
      <c r="I8" s="1389"/>
      <c r="J8" s="1390" t="s">
        <v>878</v>
      </c>
      <c r="K8" s="1390" t="s">
        <v>844</v>
      </c>
    </row>
    <row r="9" spans="1:11" ht="12.75">
      <c r="A9" s="1382"/>
      <c r="B9" s="1385"/>
      <c r="C9" s="1393" t="s">
        <v>415</v>
      </c>
      <c r="D9" s="1394" t="s">
        <v>831</v>
      </c>
      <c r="E9" s="1395"/>
      <c r="F9" s="1395"/>
      <c r="G9" s="1395"/>
      <c r="H9" s="1396"/>
      <c r="I9" s="1396"/>
      <c r="J9" s="1391"/>
      <c r="K9" s="1391"/>
    </row>
    <row r="10" spans="1:11" ht="42" customHeight="1">
      <c r="A10" s="1383"/>
      <c r="B10" s="1386"/>
      <c r="C10" s="1393"/>
      <c r="D10" s="638" t="s">
        <v>436</v>
      </c>
      <c r="E10" s="638" t="s">
        <v>437</v>
      </c>
      <c r="F10" s="638" t="s">
        <v>438</v>
      </c>
      <c r="G10" s="638" t="s">
        <v>439</v>
      </c>
      <c r="H10" s="639" t="s">
        <v>440</v>
      </c>
      <c r="I10" s="639" t="s">
        <v>441</v>
      </c>
      <c r="J10" s="1392"/>
      <c r="K10" s="1392"/>
    </row>
    <row r="11" spans="1:11" ht="13.5" thickBot="1">
      <c r="A11" s="637" t="s">
        <v>420</v>
      </c>
      <c r="B11" s="640" t="s">
        <v>421</v>
      </c>
      <c r="C11" s="641" t="s">
        <v>422</v>
      </c>
      <c r="D11" s="642" t="s">
        <v>423</v>
      </c>
      <c r="E11" s="643" t="s">
        <v>424</v>
      </c>
      <c r="F11" s="643" t="s">
        <v>425</v>
      </c>
      <c r="G11" s="643" t="s">
        <v>427</v>
      </c>
      <c r="H11" s="643" t="s">
        <v>428</v>
      </c>
      <c r="I11" s="643" t="s">
        <v>381</v>
      </c>
      <c r="J11" s="644" t="s">
        <v>382</v>
      </c>
      <c r="K11" s="645" t="s">
        <v>383</v>
      </c>
    </row>
    <row r="12" spans="1:11" ht="19.5" thickBot="1" thickTop="1">
      <c r="A12" s="806">
        <v>1</v>
      </c>
      <c r="B12" s="1365" t="s">
        <v>89</v>
      </c>
      <c r="C12" s="1366"/>
      <c r="D12" s="1366"/>
      <c r="E12" s="1366"/>
      <c r="F12" s="1366"/>
      <c r="G12" s="1366"/>
      <c r="H12" s="1366"/>
      <c r="I12" s="1366"/>
      <c r="J12" s="1366"/>
      <c r="K12" s="1367"/>
    </row>
    <row r="13" spans="1:11" s="796" customFormat="1" ht="24" customHeight="1" thickBot="1" thickTop="1">
      <c r="A13" s="804">
        <v>2</v>
      </c>
      <c r="B13" s="1351" t="s">
        <v>923</v>
      </c>
      <c r="C13" s="1352"/>
      <c r="D13" s="1352"/>
      <c r="E13" s="1352"/>
      <c r="F13" s="1352"/>
      <c r="G13" s="1352"/>
      <c r="H13" s="1352"/>
      <c r="I13" s="1352"/>
      <c r="J13" s="1353"/>
      <c r="K13" s="797"/>
    </row>
    <row r="14" spans="1:11" ht="12.75">
      <c r="A14" s="646">
        <v>3</v>
      </c>
      <c r="B14" s="649" t="s">
        <v>832</v>
      </c>
      <c r="C14" s="650">
        <f>SUM(I14+G14+F14+E14+D14)</f>
        <v>0</v>
      </c>
      <c r="D14" s="651">
        <v>0</v>
      </c>
      <c r="E14" s="651">
        <v>0</v>
      </c>
      <c r="F14" s="652"/>
      <c r="G14" s="652"/>
      <c r="H14" s="652"/>
      <c r="I14" s="652"/>
      <c r="J14" s="653">
        <v>0</v>
      </c>
      <c r="K14" s="1345"/>
    </row>
    <row r="15" spans="1:11" ht="13.5" thickBot="1">
      <c r="A15" s="648">
        <v>4</v>
      </c>
      <c r="B15" s="654" t="s">
        <v>833</v>
      </c>
      <c r="C15" s="655">
        <v>7000000</v>
      </c>
      <c r="D15" s="656">
        <v>7000000</v>
      </c>
      <c r="E15" s="657">
        <v>0</v>
      </c>
      <c r="F15" s="658"/>
      <c r="G15" s="658"/>
      <c r="H15" s="658"/>
      <c r="I15" s="658"/>
      <c r="J15" s="659">
        <v>257950</v>
      </c>
      <c r="K15" s="1346"/>
    </row>
    <row r="16" spans="1:11" ht="13.5" thickBot="1">
      <c r="A16" s="648">
        <v>5</v>
      </c>
      <c r="B16" s="660" t="s">
        <v>834</v>
      </c>
      <c r="C16" s="661">
        <f>SUM(I16+G16+F16+E16+D16)</f>
        <v>7000000</v>
      </c>
      <c r="D16" s="662">
        <f aca="true" t="shared" si="0" ref="D16:J16">SUM(D14+D15)</f>
        <v>7000000</v>
      </c>
      <c r="E16" s="662">
        <f t="shared" si="0"/>
        <v>0</v>
      </c>
      <c r="F16" s="663"/>
      <c r="G16" s="663"/>
      <c r="H16" s="664"/>
      <c r="I16" s="665"/>
      <c r="J16" s="666">
        <f t="shared" si="0"/>
        <v>257950</v>
      </c>
      <c r="K16" s="1354"/>
    </row>
    <row r="17" spans="1:11" ht="13.5" thickBot="1">
      <c r="A17" s="648"/>
      <c r="B17" s="1397"/>
      <c r="C17" s="1398"/>
      <c r="D17" s="1399"/>
      <c r="E17" s="1399"/>
      <c r="F17" s="1399"/>
      <c r="G17" s="1399"/>
      <c r="H17" s="1399"/>
      <c r="I17" s="1399"/>
      <c r="J17" s="1400"/>
      <c r="K17" s="647"/>
    </row>
    <row r="18" spans="1:11" ht="12.75">
      <c r="A18" s="667">
        <v>6</v>
      </c>
      <c r="B18" s="668" t="s">
        <v>835</v>
      </c>
      <c r="C18" s="669">
        <v>3150000</v>
      </c>
      <c r="D18" s="651">
        <v>3150000</v>
      </c>
      <c r="E18" s="670">
        <v>0</v>
      </c>
      <c r="F18" s="652"/>
      <c r="G18" s="652"/>
      <c r="H18" s="652"/>
      <c r="I18" s="652"/>
      <c r="J18" s="1345"/>
      <c r="K18" s="653">
        <v>0</v>
      </c>
    </row>
    <row r="19" spans="1:11" ht="13.5" thickBot="1">
      <c r="A19" s="667">
        <v>7</v>
      </c>
      <c r="B19" s="671" t="s">
        <v>836</v>
      </c>
      <c r="C19" s="672">
        <v>3850000</v>
      </c>
      <c r="D19" s="656">
        <f>3850000-257950</f>
        <v>3592050</v>
      </c>
      <c r="E19" s="656">
        <v>257950</v>
      </c>
      <c r="F19" s="658"/>
      <c r="G19" s="658"/>
      <c r="H19" s="658"/>
      <c r="I19" s="658"/>
      <c r="J19" s="1346"/>
      <c r="K19" s="659">
        <v>257950</v>
      </c>
    </row>
    <row r="20" spans="1:11" ht="13.5" thickBot="1">
      <c r="A20" s="673">
        <v>8</v>
      </c>
      <c r="B20" s="674" t="s">
        <v>366</v>
      </c>
      <c r="C20" s="675">
        <f>SUM(C18:C19)</f>
        <v>7000000</v>
      </c>
      <c r="D20" s="676">
        <f>SUM(D18:D19)</f>
        <v>6742050</v>
      </c>
      <c r="E20" s="676">
        <f>SUM(E18:E19)</f>
        <v>257950</v>
      </c>
      <c r="F20" s="663"/>
      <c r="G20" s="663"/>
      <c r="H20" s="664"/>
      <c r="I20" s="665"/>
      <c r="J20" s="1354"/>
      <c r="K20" s="677">
        <f>SUM(K18:K19)</f>
        <v>257950</v>
      </c>
    </row>
    <row r="21" spans="1:11" ht="14.25" thickBot="1" thickTop="1">
      <c r="A21" s="678"/>
      <c r="B21" s="1368"/>
      <c r="C21" s="1369"/>
      <c r="D21" s="1369"/>
      <c r="E21" s="1369"/>
      <c r="F21" s="1369"/>
      <c r="G21" s="1369"/>
      <c r="H21" s="1369"/>
      <c r="I21" s="1369"/>
      <c r="J21" s="1369"/>
      <c r="K21" s="1370"/>
    </row>
    <row r="22" spans="1:11" s="796" customFormat="1" ht="32.25" customHeight="1" thickBot="1" thickTop="1">
      <c r="A22" s="804">
        <v>9</v>
      </c>
      <c r="B22" s="1371" t="s">
        <v>879</v>
      </c>
      <c r="C22" s="1372"/>
      <c r="D22" s="1372"/>
      <c r="E22" s="1372"/>
      <c r="F22" s="1372"/>
      <c r="G22" s="1372"/>
      <c r="H22" s="1372"/>
      <c r="I22" s="1372"/>
      <c r="J22" s="1373"/>
      <c r="K22" s="795"/>
    </row>
    <row r="23" spans="1:11" ht="12.75">
      <c r="A23" s="646">
        <v>10</v>
      </c>
      <c r="B23" s="649" t="s">
        <v>837</v>
      </c>
      <c r="C23" s="679">
        <v>0</v>
      </c>
      <c r="D23" s="680">
        <v>0</v>
      </c>
      <c r="E23" s="680">
        <v>0</v>
      </c>
      <c r="F23" s="680">
        <v>0</v>
      </c>
      <c r="G23" s="680">
        <v>0</v>
      </c>
      <c r="H23" s="680">
        <v>0</v>
      </c>
      <c r="I23" s="680">
        <v>0</v>
      </c>
      <c r="J23" s="653">
        <v>0</v>
      </c>
      <c r="K23" s="1345"/>
    </row>
    <row r="24" spans="1:11" ht="13.5" thickBot="1">
      <c r="A24" s="681">
        <v>11</v>
      </c>
      <c r="B24" s="654" t="s">
        <v>833</v>
      </c>
      <c r="C24" s="682">
        <f>SUM(D24:I24)</f>
        <v>250634800</v>
      </c>
      <c r="D24" s="683">
        <v>0</v>
      </c>
      <c r="E24" s="657">
        <v>59135000</v>
      </c>
      <c r="F24" s="657">
        <v>52411853</v>
      </c>
      <c r="G24" s="657">
        <v>46362649</v>
      </c>
      <c r="H24" s="657">
        <v>46362649</v>
      </c>
      <c r="I24" s="657">
        <f>46899832-537183</f>
        <v>46362649</v>
      </c>
      <c r="J24" s="659">
        <v>63035474</v>
      </c>
      <c r="K24" s="1346"/>
    </row>
    <row r="25" spans="1:11" ht="13.5" thickBot="1">
      <c r="A25" s="648">
        <v>12</v>
      </c>
      <c r="B25" s="660" t="s">
        <v>834</v>
      </c>
      <c r="C25" s="661">
        <f aca="true" t="shared" si="1" ref="C25:J25">SUM(C23:C24)</f>
        <v>250634800</v>
      </c>
      <c r="D25" s="662">
        <f t="shared" si="1"/>
        <v>0</v>
      </c>
      <c r="E25" s="662">
        <f t="shared" si="1"/>
        <v>59135000</v>
      </c>
      <c r="F25" s="662">
        <f t="shared" si="1"/>
        <v>52411853</v>
      </c>
      <c r="G25" s="662">
        <f t="shared" si="1"/>
        <v>46362649</v>
      </c>
      <c r="H25" s="662">
        <f t="shared" si="1"/>
        <v>46362649</v>
      </c>
      <c r="I25" s="662">
        <f t="shared" si="1"/>
        <v>46362649</v>
      </c>
      <c r="J25" s="666">
        <f t="shared" si="1"/>
        <v>63035474</v>
      </c>
      <c r="K25" s="1354"/>
    </row>
    <row r="26" spans="1:11" ht="13.5" thickBot="1">
      <c r="A26" s="648"/>
      <c r="B26" s="1342"/>
      <c r="C26" s="1343"/>
      <c r="D26" s="1343"/>
      <c r="E26" s="1343"/>
      <c r="F26" s="1343"/>
      <c r="G26" s="1343"/>
      <c r="H26" s="1343"/>
      <c r="I26" s="1343"/>
      <c r="J26" s="1344"/>
      <c r="K26" s="647"/>
    </row>
    <row r="27" spans="1:11" ht="12.75">
      <c r="A27" s="684">
        <v>13</v>
      </c>
      <c r="B27" s="685" t="s">
        <v>838</v>
      </c>
      <c r="C27" s="669">
        <f>SUM(D27:I27)</f>
        <v>146735476</v>
      </c>
      <c r="D27" s="683">
        <v>2681560</v>
      </c>
      <c r="E27" s="683">
        <v>20997974</v>
      </c>
      <c r="F27" s="683">
        <v>41039699</v>
      </c>
      <c r="G27" s="683">
        <v>27338748</v>
      </c>
      <c r="H27" s="683">
        <v>27338748</v>
      </c>
      <c r="I27" s="683">
        <v>27338747</v>
      </c>
      <c r="J27" s="1345"/>
      <c r="K27" s="653">
        <v>34144480</v>
      </c>
    </row>
    <row r="28" spans="1:11" ht="12.75">
      <c r="A28" s="667">
        <v>14</v>
      </c>
      <c r="B28" s="671" t="s">
        <v>836</v>
      </c>
      <c r="C28" s="672">
        <f>SUM(D28:I28)</f>
        <v>88344324</v>
      </c>
      <c r="D28" s="683"/>
      <c r="E28" s="683">
        <v>14084323</v>
      </c>
      <c r="F28" s="683">
        <v>17188297</v>
      </c>
      <c r="G28" s="683">
        <v>19023901</v>
      </c>
      <c r="H28" s="683">
        <v>19023901</v>
      </c>
      <c r="I28" s="683">
        <v>19023902</v>
      </c>
      <c r="J28" s="1346"/>
      <c r="K28" s="659">
        <f>26209434-2893619-1250000</f>
        <v>22065815</v>
      </c>
    </row>
    <row r="29" spans="1:11" ht="13.5" thickBot="1">
      <c r="A29" s="667">
        <v>15</v>
      </c>
      <c r="B29" s="668" t="s">
        <v>835</v>
      </c>
      <c r="C29" s="697">
        <f>SUM(D29:I29)</f>
        <v>15555000</v>
      </c>
      <c r="D29" s="893"/>
      <c r="E29" s="893">
        <f>2893619+1250000</f>
        <v>4143619</v>
      </c>
      <c r="F29" s="893">
        <v>11411381</v>
      </c>
      <c r="G29" s="893"/>
      <c r="H29" s="893"/>
      <c r="I29" s="893"/>
      <c r="J29" s="1346"/>
      <c r="K29" s="894">
        <f>2893619+1250000</f>
        <v>4143619</v>
      </c>
    </row>
    <row r="30" spans="1:11" ht="13.5" thickBot="1">
      <c r="A30" s="686">
        <v>16</v>
      </c>
      <c r="B30" s="687" t="s">
        <v>366</v>
      </c>
      <c r="C30" s="675">
        <f aca="true" t="shared" si="2" ref="C30:I30">SUM(C27:C29)</f>
        <v>250634800</v>
      </c>
      <c r="D30" s="688">
        <f t="shared" si="2"/>
        <v>2681560</v>
      </c>
      <c r="E30" s="688">
        <f t="shared" si="2"/>
        <v>39225916</v>
      </c>
      <c r="F30" s="688">
        <f t="shared" si="2"/>
        <v>69639377</v>
      </c>
      <c r="G30" s="688">
        <f t="shared" si="2"/>
        <v>46362649</v>
      </c>
      <c r="H30" s="688">
        <f t="shared" si="2"/>
        <v>46362649</v>
      </c>
      <c r="I30" s="688">
        <f t="shared" si="2"/>
        <v>46362649</v>
      </c>
      <c r="J30" s="1347"/>
      <c r="K30" s="677">
        <f>SUM(K27:K29)</f>
        <v>60353914</v>
      </c>
    </row>
    <row r="31" spans="1:11" ht="14.25" thickBot="1" thickTop="1">
      <c r="A31" s="798"/>
      <c r="B31" s="1368"/>
      <c r="C31" s="1369"/>
      <c r="D31" s="1369"/>
      <c r="E31" s="1369"/>
      <c r="F31" s="1369"/>
      <c r="G31" s="1369"/>
      <c r="H31" s="1369"/>
      <c r="I31" s="1369"/>
      <c r="J31" s="1369"/>
      <c r="K31" s="1370"/>
    </row>
    <row r="32" spans="1:11" s="796" customFormat="1" ht="24" customHeight="1" thickBot="1" thickTop="1">
      <c r="A32" s="804">
        <v>17</v>
      </c>
      <c r="B32" s="1351" t="s">
        <v>839</v>
      </c>
      <c r="C32" s="1352"/>
      <c r="D32" s="1352"/>
      <c r="E32" s="1352"/>
      <c r="F32" s="1352"/>
      <c r="G32" s="1352"/>
      <c r="H32" s="1352"/>
      <c r="I32" s="1352"/>
      <c r="J32" s="1353"/>
      <c r="K32" s="795"/>
    </row>
    <row r="33" spans="1:11" ht="12.75">
      <c r="A33" s="646">
        <v>18</v>
      </c>
      <c r="B33" s="704" t="s">
        <v>837</v>
      </c>
      <c r="C33" s="669">
        <v>151044</v>
      </c>
      <c r="D33" s="689">
        <v>0</v>
      </c>
      <c r="E33" s="689">
        <v>151044</v>
      </c>
      <c r="F33" s="689">
        <v>0</v>
      </c>
      <c r="G33" s="690"/>
      <c r="H33" s="690"/>
      <c r="I33" s="690"/>
      <c r="J33" s="653">
        <v>151044</v>
      </c>
      <c r="K33" s="1345"/>
    </row>
    <row r="34" spans="1:11" ht="13.5" thickBot="1">
      <c r="A34" s="648">
        <v>19</v>
      </c>
      <c r="B34" s="654" t="s">
        <v>833</v>
      </c>
      <c r="C34" s="672">
        <v>242560000</v>
      </c>
      <c r="D34" s="683">
        <v>242560000</v>
      </c>
      <c r="E34" s="657">
        <v>0</v>
      </c>
      <c r="F34" s="657">
        <v>0</v>
      </c>
      <c r="G34" s="691"/>
      <c r="H34" s="691"/>
      <c r="I34" s="692"/>
      <c r="J34" s="659">
        <v>242490975</v>
      </c>
      <c r="K34" s="1346"/>
    </row>
    <row r="35" spans="1:11" ht="13.5" thickBot="1">
      <c r="A35" s="648">
        <v>20</v>
      </c>
      <c r="B35" s="660" t="s">
        <v>834</v>
      </c>
      <c r="C35" s="661">
        <f aca="true" t="shared" si="3" ref="C35:J35">SUM(C33:C34)</f>
        <v>242711044</v>
      </c>
      <c r="D35" s="662">
        <f t="shared" si="3"/>
        <v>242560000</v>
      </c>
      <c r="E35" s="662">
        <f t="shared" si="3"/>
        <v>151044</v>
      </c>
      <c r="F35" s="662">
        <f t="shared" si="3"/>
        <v>0</v>
      </c>
      <c r="G35" s="652"/>
      <c r="H35" s="652"/>
      <c r="I35" s="652"/>
      <c r="J35" s="666">
        <f t="shared" si="3"/>
        <v>242642019</v>
      </c>
      <c r="K35" s="1354"/>
    </row>
    <row r="36" spans="1:11" ht="13.5" thickBot="1">
      <c r="A36" s="648"/>
      <c r="B36" s="1342"/>
      <c r="C36" s="1343"/>
      <c r="D36" s="1343"/>
      <c r="E36" s="1343"/>
      <c r="F36" s="1343"/>
      <c r="G36" s="1343"/>
      <c r="H36" s="1343"/>
      <c r="I36" s="1343"/>
      <c r="J36" s="1344"/>
      <c r="K36" s="647"/>
    </row>
    <row r="37" spans="1:11" ht="12.75">
      <c r="A37" s="667">
        <v>21</v>
      </c>
      <c r="B37" s="685" t="s">
        <v>835</v>
      </c>
      <c r="C37" s="669">
        <f>SUM(D37:F37)</f>
        <v>242560000</v>
      </c>
      <c r="D37" s="651">
        <v>392025</v>
      </c>
      <c r="E37" s="651">
        <v>12124400</v>
      </c>
      <c r="F37" s="651">
        <v>230043575</v>
      </c>
      <c r="G37" s="690"/>
      <c r="H37" s="690"/>
      <c r="I37" s="690"/>
      <c r="J37" s="1345"/>
      <c r="K37" s="653">
        <v>242490975</v>
      </c>
    </row>
    <row r="38" spans="1:11" ht="13.5" thickBot="1">
      <c r="A38" s="667">
        <v>22</v>
      </c>
      <c r="B38" s="694" t="s">
        <v>840</v>
      </c>
      <c r="C38" s="672">
        <v>151044</v>
      </c>
      <c r="D38" s="695">
        <v>0</v>
      </c>
      <c r="E38" s="683">
        <v>151044</v>
      </c>
      <c r="F38" s="683"/>
      <c r="G38" s="691"/>
      <c r="H38" s="691"/>
      <c r="I38" s="692"/>
      <c r="J38" s="1346"/>
      <c r="K38" s="659">
        <v>151044</v>
      </c>
    </row>
    <row r="39" spans="1:11" ht="13.5" thickBot="1">
      <c r="A39" s="686">
        <v>23</v>
      </c>
      <c r="B39" s="687" t="s">
        <v>366</v>
      </c>
      <c r="C39" s="675">
        <f>SUM(C37:C38)</f>
        <v>242711044</v>
      </c>
      <c r="D39" s="688">
        <f>SUM(D37:D38)</f>
        <v>392025</v>
      </c>
      <c r="E39" s="688">
        <f>SUM(E37:E38)</f>
        <v>12275444</v>
      </c>
      <c r="F39" s="688">
        <f>SUM(F37:F38)</f>
        <v>230043575</v>
      </c>
      <c r="G39" s="652"/>
      <c r="H39" s="652"/>
      <c r="I39" s="652"/>
      <c r="J39" s="1347"/>
      <c r="K39" s="677">
        <f>SUM(K37:K38)</f>
        <v>242642019</v>
      </c>
    </row>
    <row r="40" spans="1:11" ht="14.25" thickBot="1" thickTop="1">
      <c r="A40" s="798"/>
      <c r="B40" s="1368"/>
      <c r="C40" s="1369"/>
      <c r="D40" s="1369"/>
      <c r="E40" s="1369"/>
      <c r="F40" s="1369"/>
      <c r="G40" s="1369"/>
      <c r="H40" s="1369"/>
      <c r="I40" s="1369"/>
      <c r="J40" s="1369"/>
      <c r="K40" s="1370"/>
    </row>
    <row r="41" spans="1:11" s="796" customFormat="1" ht="24" customHeight="1" thickBot="1" thickTop="1">
      <c r="A41" s="804">
        <v>24</v>
      </c>
      <c r="B41" s="1351" t="s">
        <v>1229</v>
      </c>
      <c r="C41" s="1352"/>
      <c r="D41" s="1352"/>
      <c r="E41" s="1352"/>
      <c r="F41" s="1352"/>
      <c r="G41" s="1352"/>
      <c r="H41" s="1352"/>
      <c r="I41" s="1352"/>
      <c r="J41" s="1353"/>
      <c r="K41" s="795"/>
    </row>
    <row r="42" spans="1:11" ht="12.75">
      <c r="A42" s="646">
        <v>25</v>
      </c>
      <c r="B42" s="696" t="s">
        <v>837</v>
      </c>
      <c r="C42" s="669">
        <f>SUM(D42:E42)</f>
        <v>3350900</v>
      </c>
      <c r="D42" s="689">
        <v>2500000</v>
      </c>
      <c r="E42" s="689">
        <v>850900</v>
      </c>
      <c r="F42" s="689"/>
      <c r="G42" s="690"/>
      <c r="H42" s="690"/>
      <c r="I42" s="690"/>
      <c r="J42" s="659">
        <f>2500000+850900</f>
        <v>3350900</v>
      </c>
      <c r="K42" s="1345"/>
    </row>
    <row r="43" spans="1:11" ht="13.5" thickBot="1">
      <c r="A43" s="648">
        <v>26</v>
      </c>
      <c r="B43" s="654" t="s">
        <v>833</v>
      </c>
      <c r="C43" s="697">
        <v>19779919</v>
      </c>
      <c r="D43" s="683">
        <v>9889959</v>
      </c>
      <c r="E43" s="683"/>
      <c r="F43" s="683">
        <v>9889960</v>
      </c>
      <c r="G43" s="691"/>
      <c r="H43" s="691"/>
      <c r="I43" s="692"/>
      <c r="J43" s="659">
        <v>19779919</v>
      </c>
      <c r="K43" s="1346"/>
    </row>
    <row r="44" spans="1:11" ht="13.5" thickBot="1">
      <c r="A44" s="648">
        <v>27</v>
      </c>
      <c r="B44" s="660" t="s">
        <v>834</v>
      </c>
      <c r="C44" s="661">
        <f>SUM(C42:C43)</f>
        <v>23130819</v>
      </c>
      <c r="D44" s="662">
        <f>SUM(D42:D43)</f>
        <v>12389959</v>
      </c>
      <c r="E44" s="662">
        <f>SUM(E42:E43)</f>
        <v>850900</v>
      </c>
      <c r="F44" s="662">
        <f>SUM(F42:F43)</f>
        <v>9889960</v>
      </c>
      <c r="G44" s="698"/>
      <c r="H44" s="698"/>
      <c r="I44" s="699"/>
      <c r="J44" s="666">
        <f>SUM(J42+J43)</f>
        <v>23130819</v>
      </c>
      <c r="K44" s="1354"/>
    </row>
    <row r="45" spans="1:11" ht="13.5" thickBot="1">
      <c r="A45" s="648"/>
      <c r="B45" s="1342"/>
      <c r="C45" s="1343"/>
      <c r="D45" s="1343"/>
      <c r="E45" s="1343"/>
      <c r="F45" s="1343"/>
      <c r="G45" s="1343"/>
      <c r="H45" s="1343"/>
      <c r="I45" s="1343"/>
      <c r="J45" s="1344"/>
      <c r="K45" s="647"/>
    </row>
    <row r="46" spans="1:11" ht="13.5" thickBot="1">
      <c r="A46" s="667">
        <v>28</v>
      </c>
      <c r="B46" s="685" t="s">
        <v>841</v>
      </c>
      <c r="C46" s="669">
        <f>SUM(D46:F46)</f>
        <v>20820975</v>
      </c>
      <c r="D46" s="689"/>
      <c r="E46" s="689">
        <v>14245643</v>
      </c>
      <c r="F46" s="689">
        <v>6575332</v>
      </c>
      <c r="G46" s="690"/>
      <c r="H46" s="690"/>
      <c r="I46" s="690"/>
      <c r="J46" s="1345"/>
      <c r="K46" s="653">
        <f>19779919+52056+989000</f>
        <v>20820975</v>
      </c>
    </row>
    <row r="47" spans="1:11" ht="13.5" thickBot="1">
      <c r="A47" s="667">
        <v>29</v>
      </c>
      <c r="B47" s="694" t="s">
        <v>842</v>
      </c>
      <c r="C47" s="669">
        <f>SUM(D47:F47)</f>
        <v>2309844</v>
      </c>
      <c r="D47" s="683">
        <v>1250000</v>
      </c>
      <c r="E47" s="683">
        <v>1059844</v>
      </c>
      <c r="F47" s="683"/>
      <c r="G47" s="691"/>
      <c r="H47" s="691"/>
      <c r="I47" s="692"/>
      <c r="J47" s="1346"/>
      <c r="K47" s="659">
        <f>1458944+850900</f>
        <v>2309844</v>
      </c>
    </row>
    <row r="48" spans="1:11" ht="13.5" thickBot="1">
      <c r="A48" s="686">
        <v>30</v>
      </c>
      <c r="B48" s="687" t="s">
        <v>366</v>
      </c>
      <c r="C48" s="675">
        <f>SUM(C46:C47)</f>
        <v>23130819</v>
      </c>
      <c r="D48" s="688">
        <f>SUM(D46:D47)</f>
        <v>1250000</v>
      </c>
      <c r="E48" s="688">
        <f>SUM(E46:E47)</f>
        <v>15305487</v>
      </c>
      <c r="F48" s="688">
        <f>SUM(F46:F47)</f>
        <v>6575332</v>
      </c>
      <c r="G48" s="700"/>
      <c r="H48" s="700"/>
      <c r="I48" s="701"/>
      <c r="J48" s="1354"/>
      <c r="K48" s="677">
        <f>SUM(K45:K47)</f>
        <v>23130819</v>
      </c>
    </row>
    <row r="49" spans="1:11" ht="14.25" thickBot="1" thickTop="1">
      <c r="A49" s="678"/>
      <c r="B49" s="1368"/>
      <c r="C49" s="1369"/>
      <c r="D49" s="1369"/>
      <c r="E49" s="1369"/>
      <c r="F49" s="1369"/>
      <c r="G49" s="1369"/>
      <c r="H49" s="1369"/>
      <c r="I49" s="1369"/>
      <c r="J49" s="1369"/>
      <c r="K49" s="1370"/>
    </row>
    <row r="50" spans="1:11" s="796" customFormat="1" ht="30" customHeight="1" thickBot="1" thickTop="1">
      <c r="A50" s="804">
        <v>31</v>
      </c>
      <c r="B50" s="1401" t="s">
        <v>916</v>
      </c>
      <c r="C50" s="1402"/>
      <c r="D50" s="1402"/>
      <c r="E50" s="1402"/>
      <c r="F50" s="1402"/>
      <c r="G50" s="1402"/>
      <c r="H50" s="1402"/>
      <c r="I50" s="1402"/>
      <c r="J50" s="1403"/>
      <c r="K50" s="795"/>
    </row>
    <row r="51" spans="1:11" ht="12.75">
      <c r="A51" s="646">
        <v>32</v>
      </c>
      <c r="B51" s="649" t="s">
        <v>837</v>
      </c>
      <c r="C51" s="679">
        <v>0</v>
      </c>
      <c r="D51" s="775"/>
      <c r="E51" s="680">
        <v>0</v>
      </c>
      <c r="F51" s="680">
        <v>0</v>
      </c>
      <c r="G51" s="680">
        <v>0</v>
      </c>
      <c r="H51" s="775"/>
      <c r="I51" s="775"/>
      <c r="J51" s="653">
        <v>0</v>
      </c>
      <c r="K51" s="1345"/>
    </row>
    <row r="52" spans="1:11" ht="13.5" thickBot="1">
      <c r="A52" s="681">
        <v>33</v>
      </c>
      <c r="B52" s="654" t="s">
        <v>833</v>
      </c>
      <c r="C52" s="682">
        <v>202321812</v>
      </c>
      <c r="D52" s="776"/>
      <c r="E52" s="657">
        <f>104483115+10976885</f>
        <v>115460000</v>
      </c>
      <c r="F52" s="657">
        <f>86307318-10976885</f>
        <v>75330433</v>
      </c>
      <c r="G52" s="657">
        <v>11531379</v>
      </c>
      <c r="H52" s="776"/>
      <c r="I52" s="776"/>
      <c r="J52" s="659">
        <f>104483115+10976885</f>
        <v>115460000</v>
      </c>
      <c r="K52" s="1346"/>
    </row>
    <row r="53" spans="1:11" ht="13.5" thickBot="1">
      <c r="A53" s="648">
        <v>34</v>
      </c>
      <c r="B53" s="660" t="s">
        <v>834</v>
      </c>
      <c r="C53" s="661">
        <f aca="true" t="shared" si="4" ref="C53:J53">SUM(C51:C52)</f>
        <v>202321812</v>
      </c>
      <c r="D53" s="663"/>
      <c r="E53" s="662">
        <f t="shared" si="4"/>
        <v>115460000</v>
      </c>
      <c r="F53" s="662">
        <f t="shared" si="4"/>
        <v>75330433</v>
      </c>
      <c r="G53" s="662">
        <f t="shared" si="4"/>
        <v>11531379</v>
      </c>
      <c r="H53" s="663"/>
      <c r="I53" s="663"/>
      <c r="J53" s="666">
        <f t="shared" si="4"/>
        <v>115460000</v>
      </c>
      <c r="K53" s="1354"/>
    </row>
    <row r="54" spans="1:11" ht="13.5" thickBot="1">
      <c r="A54" s="648"/>
      <c r="B54" s="1342"/>
      <c r="C54" s="1343"/>
      <c r="D54" s="1343"/>
      <c r="E54" s="1343"/>
      <c r="F54" s="1343"/>
      <c r="G54" s="1343"/>
      <c r="H54" s="1343"/>
      <c r="I54" s="1343"/>
      <c r="J54" s="1344"/>
      <c r="K54" s="647"/>
    </row>
    <row r="55" spans="1:11" ht="13.5" thickBot="1">
      <c r="A55" s="684">
        <v>35</v>
      </c>
      <c r="B55" s="685" t="s">
        <v>838</v>
      </c>
      <c r="C55" s="669">
        <v>89908666</v>
      </c>
      <c r="D55" s="779"/>
      <c r="E55" s="651">
        <v>8545744</v>
      </c>
      <c r="F55" s="689">
        <v>63219192</v>
      </c>
      <c r="G55" s="689">
        <v>9109530</v>
      </c>
      <c r="H55" s="779"/>
      <c r="I55" s="779"/>
      <c r="J55" s="1345"/>
      <c r="K55" s="653">
        <f>34554203-860400</f>
        <v>33693803</v>
      </c>
    </row>
    <row r="56" spans="1:11" ht="25.5">
      <c r="A56" s="982"/>
      <c r="B56" s="985" t="s">
        <v>1230</v>
      </c>
      <c r="C56" s="778"/>
      <c r="D56" s="983"/>
      <c r="E56" s="975">
        <v>860400</v>
      </c>
      <c r="F56" s="984">
        <v>6883200</v>
      </c>
      <c r="G56" s="984">
        <v>1290600</v>
      </c>
      <c r="H56" s="983"/>
      <c r="I56" s="983"/>
      <c r="J56" s="1346"/>
      <c r="K56" s="803">
        <v>860400</v>
      </c>
    </row>
    <row r="57" spans="1:11" ht="12.75">
      <c r="A57" s="667">
        <v>36</v>
      </c>
      <c r="B57" s="671" t="s">
        <v>836</v>
      </c>
      <c r="C57" s="777">
        <f>96901455-6000000</f>
        <v>90901455</v>
      </c>
      <c r="D57" s="780"/>
      <c r="E57" s="657">
        <v>4803780</v>
      </c>
      <c r="F57" s="683">
        <v>82148859</v>
      </c>
      <c r="G57" s="683">
        <v>1131249</v>
      </c>
      <c r="H57" s="780"/>
      <c r="I57" s="780"/>
      <c r="J57" s="1346"/>
      <c r="K57" s="659">
        <f>54417221+10976885-6000000</f>
        <v>59394106</v>
      </c>
    </row>
    <row r="58" spans="1:11" ht="12.75">
      <c r="A58" s="667">
        <v>37</v>
      </c>
      <c r="B58" s="773" t="s">
        <v>835</v>
      </c>
      <c r="C58" s="778">
        <f>8983129+6000000</f>
        <v>14983129</v>
      </c>
      <c r="D58" s="781"/>
      <c r="E58" s="657">
        <v>13003105</v>
      </c>
      <c r="F58" s="683">
        <v>4797591</v>
      </c>
      <c r="G58" s="683">
        <v>0</v>
      </c>
      <c r="H58" s="781"/>
      <c r="I58" s="781"/>
      <c r="J58" s="1346"/>
      <c r="K58" s="659">
        <f>8983129+6000000</f>
        <v>14983129</v>
      </c>
    </row>
    <row r="59" spans="1:11" ht="13.5" thickBot="1">
      <c r="A59" s="667">
        <v>38</v>
      </c>
      <c r="B59" s="774" t="s">
        <v>841</v>
      </c>
      <c r="C59" s="777">
        <v>6528562</v>
      </c>
      <c r="D59" s="782"/>
      <c r="E59" s="656"/>
      <c r="F59" s="656">
        <v>6528562</v>
      </c>
      <c r="G59" s="783">
        <v>0</v>
      </c>
      <c r="H59" s="782"/>
      <c r="I59" s="782"/>
      <c r="J59" s="1346"/>
      <c r="K59" s="784">
        <v>6528562</v>
      </c>
    </row>
    <row r="60" spans="1:11" ht="13.5" thickBot="1">
      <c r="A60" s="686">
        <v>39</v>
      </c>
      <c r="B60" s="687" t="s">
        <v>366</v>
      </c>
      <c r="C60" s="675">
        <f>SUM(C55:C59)</f>
        <v>202321812</v>
      </c>
      <c r="D60" s="700"/>
      <c r="E60" s="688">
        <f>SUM(E55:E59)</f>
        <v>27213029</v>
      </c>
      <c r="F60" s="688">
        <f>SUM(F55:F59)</f>
        <v>163577404</v>
      </c>
      <c r="G60" s="688">
        <f>SUM(G55:G59)</f>
        <v>11531379</v>
      </c>
      <c r="H60" s="700"/>
      <c r="I60" s="700"/>
      <c r="J60" s="1347"/>
      <c r="K60" s="677">
        <f>SUM(K55:K59)</f>
        <v>115460000</v>
      </c>
    </row>
    <row r="61" spans="1:11" ht="14.25" thickBot="1" thickTop="1">
      <c r="A61" s="678"/>
      <c r="B61" s="1368"/>
      <c r="C61" s="1369"/>
      <c r="D61" s="1369"/>
      <c r="E61" s="1369"/>
      <c r="F61" s="1369"/>
      <c r="G61" s="1369"/>
      <c r="H61" s="1369"/>
      <c r="I61" s="1369"/>
      <c r="J61" s="1369"/>
      <c r="K61" s="1370"/>
    </row>
    <row r="62" spans="1:11" s="796" customFormat="1" ht="30" customHeight="1" thickBot="1" thickTop="1">
      <c r="A62" s="804">
        <v>40</v>
      </c>
      <c r="B62" s="1371" t="s">
        <v>922</v>
      </c>
      <c r="C62" s="1372"/>
      <c r="D62" s="1372"/>
      <c r="E62" s="1372"/>
      <c r="F62" s="1372"/>
      <c r="G62" s="1372"/>
      <c r="H62" s="1372"/>
      <c r="I62" s="1372"/>
      <c r="J62" s="1373"/>
      <c r="K62" s="795"/>
    </row>
    <row r="63" spans="1:11" ht="12.75">
      <c r="A63" s="646">
        <v>41</v>
      </c>
      <c r="B63" s="649" t="s">
        <v>837</v>
      </c>
      <c r="C63" s="679">
        <v>0</v>
      </c>
      <c r="D63" s="775"/>
      <c r="E63" s="680">
        <v>0</v>
      </c>
      <c r="F63" s="680">
        <v>0</v>
      </c>
      <c r="G63" s="680">
        <v>0</v>
      </c>
      <c r="H63" s="680"/>
      <c r="I63" s="775"/>
      <c r="J63" s="653">
        <v>0</v>
      </c>
      <c r="K63" s="1345"/>
    </row>
    <row r="64" spans="1:11" ht="13.5" thickBot="1">
      <c r="A64" s="681">
        <v>42</v>
      </c>
      <c r="B64" s="654" t="s">
        <v>833</v>
      </c>
      <c r="C64" s="682">
        <v>62107135</v>
      </c>
      <c r="D64" s="776"/>
      <c r="E64" s="657">
        <v>32379432</v>
      </c>
      <c r="F64" s="657">
        <v>8244379</v>
      </c>
      <c r="G64" s="657">
        <v>20495112</v>
      </c>
      <c r="H64" s="657">
        <v>988212</v>
      </c>
      <c r="I64" s="776"/>
      <c r="J64" s="659">
        <v>32379432</v>
      </c>
      <c r="K64" s="1346"/>
    </row>
    <row r="65" spans="1:11" ht="13.5" thickBot="1">
      <c r="A65" s="648">
        <v>43</v>
      </c>
      <c r="B65" s="660" t="s">
        <v>834</v>
      </c>
      <c r="C65" s="661">
        <f>SUM(C63:C64)</f>
        <v>62107135</v>
      </c>
      <c r="D65" s="663"/>
      <c r="E65" s="662">
        <f>SUM(E63:E64)</f>
        <v>32379432</v>
      </c>
      <c r="F65" s="662">
        <f>SUM(F63:F64)</f>
        <v>8244379</v>
      </c>
      <c r="G65" s="662">
        <f>SUM(G63:G64)</f>
        <v>20495112</v>
      </c>
      <c r="H65" s="662">
        <f>SUM(H63:H64)</f>
        <v>988212</v>
      </c>
      <c r="I65" s="663"/>
      <c r="J65" s="666">
        <f>SUM(J63:J64)</f>
        <v>32379432</v>
      </c>
      <c r="K65" s="1354"/>
    </row>
    <row r="66" spans="1:11" ht="13.5" thickBot="1">
      <c r="A66" s="648"/>
      <c r="B66" s="1342"/>
      <c r="C66" s="1343"/>
      <c r="D66" s="1343"/>
      <c r="E66" s="1343"/>
      <c r="F66" s="1343"/>
      <c r="G66" s="1343"/>
      <c r="H66" s="1343"/>
      <c r="I66" s="1343"/>
      <c r="J66" s="1344"/>
      <c r="K66" s="647"/>
    </row>
    <row r="67" spans="1:11" ht="13.5" thickBot="1">
      <c r="A67" s="684">
        <v>44</v>
      </c>
      <c r="B67" s="685" t="s">
        <v>838</v>
      </c>
      <c r="C67" s="785">
        <f>SUM(E67:H67)</f>
        <v>18521800</v>
      </c>
      <c r="D67" s="779"/>
      <c r="E67" s="651">
        <v>1493750</v>
      </c>
      <c r="F67" s="689">
        <v>10460450</v>
      </c>
      <c r="G67" s="689">
        <v>6062400</v>
      </c>
      <c r="H67" s="689">
        <v>505200</v>
      </c>
      <c r="I67" s="779"/>
      <c r="J67" s="1345"/>
      <c r="K67" s="653">
        <v>15761811</v>
      </c>
    </row>
    <row r="68" spans="1:11" ht="25.5">
      <c r="A68" s="982"/>
      <c r="B68" s="985" t="s">
        <v>1231</v>
      </c>
      <c r="C68" s="986"/>
      <c r="D68" s="983"/>
      <c r="E68" s="975">
        <v>3346000</v>
      </c>
      <c r="F68" s="984">
        <v>4015200</v>
      </c>
      <c r="G68" s="984">
        <v>4015200</v>
      </c>
      <c r="H68" s="984">
        <v>334600</v>
      </c>
      <c r="I68" s="983"/>
      <c r="J68" s="1346"/>
      <c r="K68" s="803"/>
    </row>
    <row r="69" spans="1:11" ht="12.75">
      <c r="A69" s="667">
        <v>45</v>
      </c>
      <c r="B69" s="671" t="s">
        <v>836</v>
      </c>
      <c r="C69" s="672">
        <f>SUM(E69:H69)</f>
        <v>28874335</v>
      </c>
      <c r="D69" s="780"/>
      <c r="E69" s="657">
        <v>10552557</v>
      </c>
      <c r="F69" s="683">
        <v>8855854</v>
      </c>
      <c r="G69" s="683">
        <v>9417512</v>
      </c>
      <c r="H69" s="683">
        <v>48412</v>
      </c>
      <c r="I69" s="780"/>
      <c r="J69" s="1346"/>
      <c r="K69" s="659">
        <v>15053577</v>
      </c>
    </row>
    <row r="70" spans="1:11" ht="13.5" thickBot="1">
      <c r="A70" s="667">
        <v>46</v>
      </c>
      <c r="B70" s="773" t="s">
        <v>917</v>
      </c>
      <c r="C70" s="772">
        <f>SUM(E70:H70)</f>
        <v>3000000</v>
      </c>
      <c r="D70" s="781"/>
      <c r="E70" s="657">
        <v>0</v>
      </c>
      <c r="F70" s="683">
        <v>1900000</v>
      </c>
      <c r="G70" s="683">
        <v>1000000</v>
      </c>
      <c r="H70" s="683">
        <v>100000</v>
      </c>
      <c r="I70" s="781"/>
      <c r="J70" s="1346"/>
      <c r="K70" s="659">
        <v>1564044</v>
      </c>
    </row>
    <row r="71" spans="1:11" ht="13.5" thickBot="1">
      <c r="A71" s="686">
        <v>47</v>
      </c>
      <c r="B71" s="687" t="s">
        <v>366</v>
      </c>
      <c r="C71" s="675">
        <f>SUM(C67:C70)</f>
        <v>50396135</v>
      </c>
      <c r="D71" s="700"/>
      <c r="E71" s="688">
        <f>SUM(E67:E70)</f>
        <v>15392307</v>
      </c>
      <c r="F71" s="688">
        <f>SUM(F67:F70)</f>
        <v>25231504</v>
      </c>
      <c r="G71" s="688">
        <f>SUM(G67:G70)</f>
        <v>20495112</v>
      </c>
      <c r="H71" s="688">
        <f>SUM(H67:H70)</f>
        <v>988212</v>
      </c>
      <c r="I71" s="700"/>
      <c r="J71" s="1347"/>
      <c r="K71" s="677">
        <f>SUM(K67:K70)</f>
        <v>32379432</v>
      </c>
    </row>
    <row r="72" spans="1:11" ht="14.25" thickBot="1" thickTop="1">
      <c r="A72" s="1359"/>
      <c r="B72" s="1360"/>
      <c r="C72" s="1360"/>
      <c r="D72" s="1360"/>
      <c r="E72" s="1360"/>
      <c r="F72" s="1360"/>
      <c r="G72" s="1360"/>
      <c r="H72" s="1360"/>
      <c r="I72" s="1360"/>
      <c r="J72" s="1360"/>
      <c r="K72" s="1361"/>
    </row>
    <row r="73" spans="1:11" s="796" customFormat="1" ht="24" customHeight="1" thickBot="1" thickTop="1">
      <c r="A73" s="804">
        <v>48</v>
      </c>
      <c r="B73" s="1362" t="s">
        <v>1008</v>
      </c>
      <c r="C73" s="1363"/>
      <c r="D73" s="1363"/>
      <c r="E73" s="1363"/>
      <c r="F73" s="1363"/>
      <c r="G73" s="1363"/>
      <c r="H73" s="1363"/>
      <c r="I73" s="1363"/>
      <c r="J73" s="1363"/>
      <c r="K73" s="1364"/>
    </row>
    <row r="74" spans="1:11" ht="12.75">
      <c r="A74" s="646">
        <v>49</v>
      </c>
      <c r="B74" s="704" t="s">
        <v>837</v>
      </c>
      <c r="C74" s="669">
        <v>0</v>
      </c>
      <c r="D74" s="689">
        <v>0</v>
      </c>
      <c r="E74" s="689">
        <v>0</v>
      </c>
      <c r="F74" s="690"/>
      <c r="G74" s="690"/>
      <c r="H74" s="690"/>
      <c r="I74" s="690"/>
      <c r="J74" s="653">
        <v>0</v>
      </c>
      <c r="K74" s="1345"/>
    </row>
    <row r="75" spans="1:11" ht="13.5" thickBot="1">
      <c r="A75" s="648">
        <v>50</v>
      </c>
      <c r="B75" s="654" t="s">
        <v>833</v>
      </c>
      <c r="C75" s="672">
        <v>1920000</v>
      </c>
      <c r="D75" s="683">
        <v>0</v>
      </c>
      <c r="E75" s="657">
        <v>1920000</v>
      </c>
      <c r="F75" s="691"/>
      <c r="G75" s="691"/>
      <c r="H75" s="691"/>
      <c r="I75" s="692"/>
      <c r="J75" s="659">
        <v>1920000</v>
      </c>
      <c r="K75" s="1346"/>
    </row>
    <row r="76" spans="1:11" ht="13.5" thickBot="1">
      <c r="A76" s="648">
        <v>51</v>
      </c>
      <c r="B76" s="660" t="s">
        <v>834</v>
      </c>
      <c r="C76" s="661">
        <f>SUM(C74:C75)</f>
        <v>1920000</v>
      </c>
      <c r="D76" s="662">
        <f>SUM(D74:D75)</f>
        <v>0</v>
      </c>
      <c r="E76" s="662">
        <f>SUM(E74:E75)</f>
        <v>1920000</v>
      </c>
      <c r="F76" s="652"/>
      <c r="G76" s="652"/>
      <c r="H76" s="652"/>
      <c r="I76" s="652"/>
      <c r="J76" s="666">
        <f>SUM(J74:J75)</f>
        <v>1920000</v>
      </c>
      <c r="K76" s="1354"/>
    </row>
    <row r="77" spans="1:11" ht="13.5" thickBot="1">
      <c r="A77" s="648"/>
      <c r="B77" s="1342"/>
      <c r="C77" s="1343"/>
      <c r="D77" s="1343"/>
      <c r="E77" s="1343"/>
      <c r="F77" s="1343"/>
      <c r="G77" s="1343"/>
      <c r="H77" s="1343"/>
      <c r="I77" s="1343"/>
      <c r="J77" s="1344"/>
      <c r="K77" s="647"/>
    </row>
    <row r="78" spans="1:11" ht="12.75">
      <c r="A78" s="667">
        <v>52</v>
      </c>
      <c r="B78" s="685" t="s">
        <v>835</v>
      </c>
      <c r="C78" s="669">
        <v>1753187</v>
      </c>
      <c r="D78" s="693">
        <v>0</v>
      </c>
      <c r="E78" s="651">
        <v>1753187</v>
      </c>
      <c r="F78" s="690"/>
      <c r="G78" s="690"/>
      <c r="H78" s="690"/>
      <c r="I78" s="690"/>
      <c r="J78" s="1345"/>
      <c r="K78" s="653">
        <v>1753187</v>
      </c>
    </row>
    <row r="79" spans="1:11" ht="12.75">
      <c r="A79" s="667">
        <v>53</v>
      </c>
      <c r="B79" s="694" t="s">
        <v>840</v>
      </c>
      <c r="C79" s="672">
        <v>0</v>
      </c>
      <c r="D79" s="695">
        <v>0</v>
      </c>
      <c r="E79" s="695">
        <v>0</v>
      </c>
      <c r="F79" s="658"/>
      <c r="G79" s="658"/>
      <c r="H79" s="658"/>
      <c r="I79" s="989"/>
      <c r="J79" s="1346"/>
      <c r="K79" s="659">
        <v>0</v>
      </c>
    </row>
    <row r="80" spans="1:11" ht="13.5" thickBot="1">
      <c r="A80" s="667"/>
      <c r="B80" s="774" t="s">
        <v>836</v>
      </c>
      <c r="C80" s="987">
        <v>166813</v>
      </c>
      <c r="D80" s="988"/>
      <c r="E80" s="657">
        <v>166813</v>
      </c>
      <c r="F80" s="691"/>
      <c r="G80" s="691"/>
      <c r="H80" s="691"/>
      <c r="I80" s="692"/>
      <c r="J80" s="1346"/>
      <c r="K80" s="894">
        <v>166813</v>
      </c>
    </row>
    <row r="81" spans="1:11" ht="13.5" thickBot="1">
      <c r="A81" s="686">
        <v>54</v>
      </c>
      <c r="B81" s="687" t="s">
        <v>366</v>
      </c>
      <c r="C81" s="675">
        <f>SUM(C78:C80)</f>
        <v>1920000</v>
      </c>
      <c r="D81" s="688">
        <f>SUM(D78:D79)</f>
        <v>0</v>
      </c>
      <c r="E81" s="688">
        <f>SUM(E78:E80)</f>
        <v>1920000</v>
      </c>
      <c r="F81" s="700"/>
      <c r="G81" s="700"/>
      <c r="H81" s="700"/>
      <c r="I81" s="701"/>
      <c r="J81" s="1347"/>
      <c r="K81" s="677">
        <f>SUM(K78:K80)</f>
        <v>1920000</v>
      </c>
    </row>
    <row r="82" spans="1:11" ht="14.25" thickBot="1" thickTop="1">
      <c r="A82" s="678"/>
      <c r="B82" s="1376"/>
      <c r="C82" s="1377"/>
      <c r="D82" s="1377"/>
      <c r="E82" s="1377"/>
      <c r="F82" s="1377"/>
      <c r="G82" s="1377"/>
      <c r="H82" s="1377"/>
      <c r="I82" s="1377"/>
      <c r="J82" s="1377"/>
      <c r="K82" s="1378"/>
    </row>
    <row r="83" spans="1:11" s="796" customFormat="1" ht="24" customHeight="1" thickBot="1" thickTop="1">
      <c r="A83" s="804">
        <v>24</v>
      </c>
      <c r="B83" s="1351" t="s">
        <v>1228</v>
      </c>
      <c r="C83" s="1352"/>
      <c r="D83" s="1352"/>
      <c r="E83" s="1352"/>
      <c r="F83" s="1352"/>
      <c r="G83" s="1352"/>
      <c r="H83" s="1352"/>
      <c r="I83" s="1352"/>
      <c r="J83" s="1353"/>
      <c r="K83" s="795"/>
    </row>
    <row r="84" spans="1:11" ht="12.75">
      <c r="A84" s="646">
        <v>25</v>
      </c>
      <c r="B84" s="696" t="s">
        <v>837</v>
      </c>
      <c r="C84" s="669">
        <f>913285+2</f>
        <v>913287</v>
      </c>
      <c r="D84" s="690"/>
      <c r="E84" s="928">
        <v>913285</v>
      </c>
      <c r="F84" s="928">
        <v>2</v>
      </c>
      <c r="G84" s="690"/>
      <c r="H84" s="690"/>
      <c r="I84" s="690"/>
      <c r="J84" s="659">
        <v>913285</v>
      </c>
      <c r="K84" s="1345"/>
    </row>
    <row r="85" spans="1:11" ht="13.5" thickBot="1">
      <c r="A85" s="648">
        <v>26</v>
      </c>
      <c r="B85" s="654" t="s">
        <v>833</v>
      </c>
      <c r="C85" s="697">
        <v>9980698</v>
      </c>
      <c r="D85" s="691"/>
      <c r="E85" s="929">
        <v>4990349</v>
      </c>
      <c r="F85" s="929">
        <v>4990349</v>
      </c>
      <c r="G85" s="691"/>
      <c r="H85" s="691"/>
      <c r="I85" s="692"/>
      <c r="J85" s="659">
        <v>9980698</v>
      </c>
      <c r="K85" s="1346"/>
    </row>
    <row r="86" spans="1:11" ht="13.5" thickBot="1">
      <c r="A86" s="648">
        <v>27</v>
      </c>
      <c r="B86" s="660" t="s">
        <v>834</v>
      </c>
      <c r="C86" s="661">
        <f>SUM(C84:C85)</f>
        <v>10893985</v>
      </c>
      <c r="D86" s="698"/>
      <c r="E86" s="931">
        <f>SUM(E84:E85)</f>
        <v>5903634</v>
      </c>
      <c r="F86" s="931">
        <f>SUM(F84:F85)</f>
        <v>4990351</v>
      </c>
      <c r="G86" s="698"/>
      <c r="H86" s="698"/>
      <c r="I86" s="699"/>
      <c r="J86" s="666">
        <f>SUM(J84+J85)</f>
        <v>10893983</v>
      </c>
      <c r="K86" s="1354"/>
    </row>
    <row r="87" spans="1:11" ht="13.5" thickBot="1">
      <c r="A87" s="648"/>
      <c r="B87" s="1342"/>
      <c r="C87" s="1343"/>
      <c r="D87" s="1343"/>
      <c r="E87" s="1343"/>
      <c r="F87" s="1343"/>
      <c r="G87" s="1343"/>
      <c r="H87" s="1343"/>
      <c r="I87" s="1343"/>
      <c r="J87" s="1344"/>
      <c r="K87" s="647"/>
    </row>
    <row r="88" spans="1:11" ht="12.75">
      <c r="A88" s="667">
        <v>28</v>
      </c>
      <c r="B88" s="685" t="s">
        <v>835</v>
      </c>
      <c r="C88" s="669">
        <v>10506000</v>
      </c>
      <c r="D88" s="690"/>
      <c r="E88" s="689">
        <v>9989566</v>
      </c>
      <c r="F88" s="928">
        <v>516434</v>
      </c>
      <c r="G88" s="690"/>
      <c r="H88" s="690"/>
      <c r="I88" s="690"/>
      <c r="J88" s="1345"/>
      <c r="K88" s="653">
        <f>913285+9980698</f>
        <v>10893983</v>
      </c>
    </row>
    <row r="89" spans="1:11" ht="13.5" thickBot="1">
      <c r="A89" s="667">
        <v>29</v>
      </c>
      <c r="B89" s="694" t="s">
        <v>840</v>
      </c>
      <c r="C89" s="672">
        <f>387985</f>
        <v>387985</v>
      </c>
      <c r="D89" s="691"/>
      <c r="E89" s="683">
        <v>387985</v>
      </c>
      <c r="F89" s="929"/>
      <c r="G89" s="691"/>
      <c r="H89" s="691"/>
      <c r="I89" s="692"/>
      <c r="J89" s="1346"/>
      <c r="K89" s="659"/>
    </row>
    <row r="90" spans="1:11" ht="13.5" thickBot="1">
      <c r="A90" s="686">
        <v>30</v>
      </c>
      <c r="B90" s="978" t="s">
        <v>366</v>
      </c>
      <c r="C90" s="979">
        <f>SUM(C88:C89)</f>
        <v>10893985</v>
      </c>
      <c r="D90" s="690"/>
      <c r="E90" s="980">
        <f>SUM(E88:E89)</f>
        <v>10377551</v>
      </c>
      <c r="F90" s="980">
        <f>SUM(F88:F89)</f>
        <v>516434</v>
      </c>
      <c r="G90" s="690"/>
      <c r="H90" s="690"/>
      <c r="I90" s="981"/>
      <c r="J90" s="1346"/>
      <c r="K90" s="677">
        <f>SUM(K87:K89)</f>
        <v>10893983</v>
      </c>
    </row>
    <row r="91" spans="1:11" ht="14.25" thickBot="1" thickTop="1">
      <c r="A91" s="648"/>
      <c r="B91" s="1357"/>
      <c r="C91" s="1358"/>
      <c r="D91" s="1358"/>
      <c r="E91" s="1358"/>
      <c r="F91" s="1358"/>
      <c r="G91" s="1358"/>
      <c r="H91" s="1358"/>
      <c r="I91" s="1358"/>
      <c r="J91" s="1358"/>
      <c r="K91" s="647"/>
    </row>
    <row r="92" spans="1:11" s="796" customFormat="1" ht="24" customHeight="1" thickBot="1" thickTop="1">
      <c r="A92" s="804">
        <v>63</v>
      </c>
      <c r="B92" s="1351" t="s">
        <v>1110</v>
      </c>
      <c r="C92" s="1352"/>
      <c r="D92" s="1352"/>
      <c r="E92" s="1352"/>
      <c r="F92" s="1352"/>
      <c r="G92" s="1352"/>
      <c r="H92" s="1352"/>
      <c r="I92" s="1352"/>
      <c r="J92" s="1353"/>
      <c r="K92" s="795"/>
    </row>
    <row r="93" spans="1:11" ht="12.75">
      <c r="A93" s="646">
        <v>64</v>
      </c>
      <c r="B93" s="704" t="s">
        <v>837</v>
      </c>
      <c r="C93" s="669">
        <v>0</v>
      </c>
      <c r="D93" s="781"/>
      <c r="E93" s="651">
        <v>0</v>
      </c>
      <c r="F93" s="689">
        <v>0</v>
      </c>
      <c r="G93" s="689">
        <v>0</v>
      </c>
      <c r="H93" s="690"/>
      <c r="I93" s="690"/>
      <c r="J93" s="653">
        <v>0</v>
      </c>
      <c r="K93" s="1345"/>
    </row>
    <row r="94" spans="1:11" ht="13.5" thickBot="1">
      <c r="A94" s="648">
        <v>65</v>
      </c>
      <c r="B94" s="654" t="s">
        <v>833</v>
      </c>
      <c r="C94" s="672">
        <v>196302400</v>
      </c>
      <c r="D94" s="781"/>
      <c r="E94" s="657">
        <v>196302400</v>
      </c>
      <c r="F94" s="657">
        <v>0</v>
      </c>
      <c r="G94" s="657">
        <v>0</v>
      </c>
      <c r="H94" s="691"/>
      <c r="I94" s="692"/>
      <c r="J94" s="659">
        <f>3832400+192470000</f>
        <v>196302400</v>
      </c>
      <c r="K94" s="1346"/>
    </row>
    <row r="95" spans="1:11" ht="13.5" thickBot="1">
      <c r="A95" s="648">
        <v>66</v>
      </c>
      <c r="B95" s="660" t="s">
        <v>834</v>
      </c>
      <c r="C95" s="661">
        <f>SUM(C93:C94)</f>
        <v>196302400</v>
      </c>
      <c r="D95" s="698"/>
      <c r="E95" s="662">
        <f>SUM(E93:E94)</f>
        <v>196302400</v>
      </c>
      <c r="F95" s="662">
        <f>SUM(F93:F94)</f>
        <v>0</v>
      </c>
      <c r="G95" s="662">
        <f>SUM(G93:G94)</f>
        <v>0</v>
      </c>
      <c r="H95" s="698"/>
      <c r="I95" s="699"/>
      <c r="J95" s="666">
        <f>SUM(J93:J94)</f>
        <v>196302400</v>
      </c>
      <c r="K95" s="1354"/>
    </row>
    <row r="96" spans="1:11" ht="13.5" thickBot="1">
      <c r="A96" s="648"/>
      <c r="B96" s="1342"/>
      <c r="C96" s="1343"/>
      <c r="D96" s="1343"/>
      <c r="E96" s="1343"/>
      <c r="F96" s="1343"/>
      <c r="G96" s="1343"/>
      <c r="H96" s="1343"/>
      <c r="I96" s="1343"/>
      <c r="J96" s="1344"/>
      <c r="K96" s="647"/>
    </row>
    <row r="97" spans="1:11" ht="12.75">
      <c r="A97" s="667">
        <v>67</v>
      </c>
      <c r="B97" s="685" t="s">
        <v>835</v>
      </c>
      <c r="C97" s="669">
        <f>SUM(E97:G97)</f>
        <v>196302400</v>
      </c>
      <c r="D97" s="990"/>
      <c r="E97" s="651">
        <v>7932399</v>
      </c>
      <c r="F97" s="651">
        <v>88889915</v>
      </c>
      <c r="G97" s="651">
        <v>99480086</v>
      </c>
      <c r="H97" s="690"/>
      <c r="I97" s="690"/>
      <c r="J97" s="1345"/>
      <c r="K97" s="653">
        <f>3832400+192470000</f>
        <v>196302400</v>
      </c>
    </row>
    <row r="98" spans="1:11" ht="13.5" thickBot="1">
      <c r="A98" s="667">
        <v>68</v>
      </c>
      <c r="B98" s="694" t="s">
        <v>840</v>
      </c>
      <c r="C98" s="672">
        <v>0</v>
      </c>
      <c r="D98" s="781"/>
      <c r="E98" s="695">
        <v>0</v>
      </c>
      <c r="F98" s="695">
        <v>0</v>
      </c>
      <c r="G98" s="695">
        <v>0</v>
      </c>
      <c r="H98" s="691"/>
      <c r="I98" s="692"/>
      <c r="J98" s="1346"/>
      <c r="K98" s="659">
        <v>0</v>
      </c>
    </row>
    <row r="99" spans="1:11" ht="13.5" thickBot="1">
      <c r="A99" s="686">
        <v>69</v>
      </c>
      <c r="B99" s="687" t="s">
        <v>366</v>
      </c>
      <c r="C99" s="675">
        <f>SUM(C97:C98)</f>
        <v>196302400</v>
      </c>
      <c r="D99" s="700"/>
      <c r="E99" s="688">
        <f>SUM(E97:E98)</f>
        <v>7932399</v>
      </c>
      <c r="F99" s="688">
        <f>SUM(F97:F98)</f>
        <v>88889915</v>
      </c>
      <c r="G99" s="688">
        <f>SUM(G97:G98)</f>
        <v>99480086</v>
      </c>
      <c r="H99" s="700"/>
      <c r="I99" s="700"/>
      <c r="J99" s="1347"/>
      <c r="K99" s="677">
        <f>SUM(K97:K98)</f>
        <v>196302400</v>
      </c>
    </row>
    <row r="100" spans="1:11" ht="14.25" thickBot="1" thickTop="1">
      <c r="A100" s="648"/>
      <c r="B100" s="1342"/>
      <c r="C100" s="1343"/>
      <c r="D100" s="1343"/>
      <c r="E100" s="1343"/>
      <c r="F100" s="1343"/>
      <c r="G100" s="1343"/>
      <c r="H100" s="1343"/>
      <c r="I100" s="1343"/>
      <c r="J100" s="1344"/>
      <c r="K100" s="647"/>
    </row>
    <row r="101" spans="1:11" s="796" customFormat="1" ht="24" customHeight="1" thickBot="1" thickTop="1">
      <c r="A101" s="804">
        <v>70</v>
      </c>
      <c r="B101" s="1351" t="s">
        <v>1111</v>
      </c>
      <c r="C101" s="1352"/>
      <c r="D101" s="1352"/>
      <c r="E101" s="1352"/>
      <c r="F101" s="1352"/>
      <c r="G101" s="1352"/>
      <c r="H101" s="1352"/>
      <c r="I101" s="1352"/>
      <c r="J101" s="1353"/>
      <c r="K101" s="795"/>
    </row>
    <row r="102" spans="1:11" ht="12.75">
      <c r="A102" s="646">
        <v>71</v>
      </c>
      <c r="B102" s="704" t="s">
        <v>837</v>
      </c>
      <c r="C102" s="669">
        <v>0</v>
      </c>
      <c r="D102" s="781"/>
      <c r="E102" s="651">
        <v>0</v>
      </c>
      <c r="F102" s="689">
        <v>0</v>
      </c>
      <c r="G102" s="690"/>
      <c r="H102" s="690"/>
      <c r="I102" s="690"/>
      <c r="J102" s="653">
        <v>0</v>
      </c>
      <c r="K102" s="1345"/>
    </row>
    <row r="103" spans="1:11" ht="13.5" thickBot="1">
      <c r="A103" s="648">
        <v>72</v>
      </c>
      <c r="B103" s="654" t="s">
        <v>833</v>
      </c>
      <c r="C103" s="672">
        <v>437625000</v>
      </c>
      <c r="D103" s="781"/>
      <c r="E103" s="657">
        <v>437625000</v>
      </c>
      <c r="F103" s="657">
        <v>0</v>
      </c>
      <c r="G103" s="691"/>
      <c r="H103" s="691"/>
      <c r="I103" s="692"/>
      <c r="J103" s="659">
        <f>17861888+411888112+7875000</f>
        <v>437625000</v>
      </c>
      <c r="K103" s="1346"/>
    </row>
    <row r="104" spans="1:11" ht="13.5" thickBot="1">
      <c r="A104" s="648">
        <v>73</v>
      </c>
      <c r="B104" s="660" t="s">
        <v>834</v>
      </c>
      <c r="C104" s="661">
        <f>SUM(C102:C103)</f>
        <v>437625000</v>
      </c>
      <c r="D104" s="698"/>
      <c r="E104" s="662">
        <f>SUM(E102:E103)</f>
        <v>437625000</v>
      </c>
      <c r="F104" s="662">
        <f>SUM(F102:F103)</f>
        <v>0</v>
      </c>
      <c r="G104" s="698"/>
      <c r="H104" s="698"/>
      <c r="I104" s="699"/>
      <c r="J104" s="666">
        <f>SUM(J102:J103)</f>
        <v>437625000</v>
      </c>
      <c r="K104" s="1354"/>
    </row>
    <row r="105" spans="1:11" ht="13.5" thickBot="1">
      <c r="A105" s="648"/>
      <c r="B105" s="1342"/>
      <c r="C105" s="1343"/>
      <c r="D105" s="1343"/>
      <c r="E105" s="1343"/>
      <c r="F105" s="1343"/>
      <c r="G105" s="1343"/>
      <c r="H105" s="1343"/>
      <c r="I105" s="1343"/>
      <c r="J105" s="1344"/>
      <c r="K105" s="647"/>
    </row>
    <row r="106" spans="1:11" ht="12.75">
      <c r="A106" s="667">
        <v>74</v>
      </c>
      <c r="B106" s="991" t="s">
        <v>835</v>
      </c>
      <c r="C106" s="669">
        <v>429750000</v>
      </c>
      <c r="D106" s="690"/>
      <c r="E106" s="651">
        <f>25736888-7875000</f>
        <v>17861888</v>
      </c>
      <c r="F106" s="651">
        <v>411888112</v>
      </c>
      <c r="G106" s="690"/>
      <c r="H106" s="690"/>
      <c r="I106" s="690"/>
      <c r="J106" s="1345"/>
      <c r="K106" s="653">
        <f>17861888+411888112</f>
        <v>429750000</v>
      </c>
    </row>
    <row r="107" spans="1:11" ht="12.75">
      <c r="A107" s="667"/>
      <c r="B107" s="668" t="s">
        <v>836</v>
      </c>
      <c r="C107" s="772">
        <v>7875000</v>
      </c>
      <c r="D107" s="780"/>
      <c r="E107" s="975">
        <v>7875000</v>
      </c>
      <c r="F107" s="975"/>
      <c r="G107" s="976"/>
      <c r="H107" s="976"/>
      <c r="I107" s="977"/>
      <c r="J107" s="1346"/>
      <c r="K107" s="803">
        <v>7875000</v>
      </c>
    </row>
    <row r="108" spans="1:11" ht="13.5" thickBot="1">
      <c r="A108" s="667">
        <v>75</v>
      </c>
      <c r="B108" s="694" t="s">
        <v>840</v>
      </c>
      <c r="C108" s="672">
        <v>0</v>
      </c>
      <c r="D108" s="781"/>
      <c r="E108" s="695">
        <v>0</v>
      </c>
      <c r="F108" s="695">
        <v>0</v>
      </c>
      <c r="G108" s="691"/>
      <c r="H108" s="691"/>
      <c r="I108" s="692"/>
      <c r="J108" s="1346"/>
      <c r="K108" s="659">
        <v>0</v>
      </c>
    </row>
    <row r="109" spans="1:11" ht="13.5" thickBot="1">
      <c r="A109" s="686">
        <v>76</v>
      </c>
      <c r="B109" s="687" t="s">
        <v>366</v>
      </c>
      <c r="C109" s="675">
        <f>SUM(E109:F109)</f>
        <v>437625000</v>
      </c>
      <c r="D109" s="700"/>
      <c r="E109" s="688">
        <f>SUM(E106:E108)</f>
        <v>25736888</v>
      </c>
      <c r="F109" s="688">
        <f>SUM(F106:F108)</f>
        <v>411888112</v>
      </c>
      <c r="G109" s="700"/>
      <c r="H109" s="700"/>
      <c r="I109" s="700"/>
      <c r="J109" s="1347"/>
      <c r="K109" s="677">
        <f>SUM(K106:K108)</f>
        <v>437625000</v>
      </c>
    </row>
    <row r="110" spans="1:11" ht="14.25" thickBot="1" thickTop="1">
      <c r="A110" s="648"/>
      <c r="B110" s="1342"/>
      <c r="C110" s="1343"/>
      <c r="D110" s="1343"/>
      <c r="E110" s="1343"/>
      <c r="F110" s="1343"/>
      <c r="G110" s="1343"/>
      <c r="H110" s="1343"/>
      <c r="I110" s="1343"/>
      <c r="J110" s="1344"/>
      <c r="K110" s="647"/>
    </row>
    <row r="111" spans="1:11" s="796" customFormat="1" ht="24" customHeight="1" thickBot="1" thickTop="1">
      <c r="A111" s="804">
        <v>77</v>
      </c>
      <c r="B111" s="1351" t="s">
        <v>1112</v>
      </c>
      <c r="C111" s="1352"/>
      <c r="D111" s="1352"/>
      <c r="E111" s="1352"/>
      <c r="F111" s="1352"/>
      <c r="G111" s="1352"/>
      <c r="H111" s="1352"/>
      <c r="I111" s="1352"/>
      <c r="J111" s="1353"/>
      <c r="K111" s="795"/>
    </row>
    <row r="112" spans="1:11" ht="12.75">
      <c r="A112" s="646">
        <v>78</v>
      </c>
      <c r="B112" s="704" t="s">
        <v>837</v>
      </c>
      <c r="C112" s="669">
        <v>0</v>
      </c>
      <c r="D112" s="781"/>
      <c r="E112" s="651">
        <v>0</v>
      </c>
      <c r="F112" s="689">
        <v>0</v>
      </c>
      <c r="G112" s="689">
        <v>0</v>
      </c>
      <c r="H112" s="690"/>
      <c r="I112" s="690"/>
      <c r="J112" s="653">
        <v>0</v>
      </c>
      <c r="K112" s="1345"/>
    </row>
    <row r="113" spans="1:11" ht="13.5" thickBot="1">
      <c r="A113" s="648">
        <v>79</v>
      </c>
      <c r="B113" s="654" t="s">
        <v>833</v>
      </c>
      <c r="C113" s="672">
        <v>100000000</v>
      </c>
      <c r="D113" s="781"/>
      <c r="E113" s="657">
        <v>100000000</v>
      </c>
      <c r="F113" s="657">
        <v>0</v>
      </c>
      <c r="G113" s="657">
        <v>0</v>
      </c>
      <c r="H113" s="691"/>
      <c r="I113" s="692"/>
      <c r="J113" s="659">
        <v>100000000</v>
      </c>
      <c r="K113" s="1346"/>
    </row>
    <row r="114" spans="1:11" ht="13.5" thickBot="1">
      <c r="A114" s="992">
        <v>80</v>
      </c>
      <c r="B114" s="660" t="s">
        <v>834</v>
      </c>
      <c r="C114" s="661">
        <f>SUM(C112:C113)</f>
        <v>100000000</v>
      </c>
      <c r="D114" s="698"/>
      <c r="E114" s="662">
        <f>SUM(E112:E113)</f>
        <v>100000000</v>
      </c>
      <c r="F114" s="662">
        <f>SUM(F112:F113)</f>
        <v>0</v>
      </c>
      <c r="G114" s="662">
        <f>SUM(G112:G113)</f>
        <v>0</v>
      </c>
      <c r="H114" s="698"/>
      <c r="I114" s="699"/>
      <c r="J114" s="993">
        <f>SUM(J112:J113)</f>
        <v>100000000</v>
      </c>
      <c r="K114" s="1354"/>
    </row>
    <row r="115" spans="1:11" ht="13.5" thickBot="1">
      <c r="A115" s="646"/>
      <c r="B115" s="1342"/>
      <c r="C115" s="1343"/>
      <c r="D115" s="1343"/>
      <c r="E115" s="1343"/>
      <c r="F115" s="1343"/>
      <c r="G115" s="1343"/>
      <c r="H115" s="1343"/>
      <c r="I115" s="1343"/>
      <c r="J115" s="1344"/>
      <c r="K115" s="647"/>
    </row>
    <row r="116" spans="1:11" ht="12.75">
      <c r="A116" s="667">
        <v>81</v>
      </c>
      <c r="B116" s="685" t="s">
        <v>841</v>
      </c>
      <c r="C116" s="669">
        <f>SUM(E116:G116)</f>
        <v>97606050</v>
      </c>
      <c r="D116" s="651">
        <v>2393950</v>
      </c>
      <c r="E116" s="651">
        <v>0</v>
      </c>
      <c r="F116" s="651">
        <v>85795050</v>
      </c>
      <c r="G116" s="651">
        <v>11811000</v>
      </c>
      <c r="H116" s="690"/>
      <c r="I116" s="690"/>
      <c r="J116" s="1345"/>
      <c r="K116" s="653">
        <v>97606050</v>
      </c>
    </row>
    <row r="117" spans="1:11" ht="13.5" thickBot="1">
      <c r="A117" s="667">
        <v>82</v>
      </c>
      <c r="B117" s="694" t="s">
        <v>842</v>
      </c>
      <c r="C117" s="672">
        <v>0</v>
      </c>
      <c r="D117" s="695">
        <v>0</v>
      </c>
      <c r="E117" s="695">
        <v>0</v>
      </c>
      <c r="F117" s="695">
        <v>0</v>
      </c>
      <c r="G117" s="695">
        <v>0</v>
      </c>
      <c r="H117" s="691"/>
      <c r="I117" s="692"/>
      <c r="J117" s="1346"/>
      <c r="K117" s="659">
        <v>0</v>
      </c>
    </row>
    <row r="118" spans="1:11" ht="13.5" thickBot="1">
      <c r="A118" s="686">
        <v>83</v>
      </c>
      <c r="B118" s="687" t="s">
        <v>366</v>
      </c>
      <c r="C118" s="675">
        <f>SUM(C116:C117)</f>
        <v>97606050</v>
      </c>
      <c r="D118" s="688">
        <f>SUM(D116:D117)</f>
        <v>2393950</v>
      </c>
      <c r="E118" s="688">
        <f>SUM(E116:E117)</f>
        <v>0</v>
      </c>
      <c r="F118" s="688">
        <f>SUM(F116:F117)</f>
        <v>85795050</v>
      </c>
      <c r="G118" s="688">
        <f>SUM(G116:G117)</f>
        <v>11811000</v>
      </c>
      <c r="H118" s="700"/>
      <c r="I118" s="700"/>
      <c r="J118" s="1347"/>
      <c r="K118" s="677">
        <f>SUM(K116:K117)</f>
        <v>97606050</v>
      </c>
    </row>
    <row r="119" spans="1:11" ht="14.25" thickBot="1" thickTop="1">
      <c r="A119" s="648"/>
      <c r="B119" s="1342"/>
      <c r="C119" s="1343"/>
      <c r="D119" s="1343"/>
      <c r="E119" s="1343"/>
      <c r="F119" s="1343"/>
      <c r="G119" s="1343"/>
      <c r="H119" s="1343"/>
      <c r="I119" s="1343"/>
      <c r="J119" s="1344"/>
      <c r="K119" s="647"/>
    </row>
    <row r="120" spans="1:11" s="796" customFormat="1" ht="24" customHeight="1" thickBot="1" thickTop="1">
      <c r="A120" s="804">
        <v>84</v>
      </c>
      <c r="B120" s="1351" t="s">
        <v>1113</v>
      </c>
      <c r="C120" s="1352"/>
      <c r="D120" s="1352"/>
      <c r="E120" s="1352"/>
      <c r="F120" s="1352"/>
      <c r="G120" s="1352"/>
      <c r="H120" s="1352"/>
      <c r="I120" s="1352"/>
      <c r="J120" s="1353"/>
      <c r="K120" s="795"/>
    </row>
    <row r="121" spans="1:11" ht="12.75">
      <c r="A121" s="646">
        <v>85</v>
      </c>
      <c r="B121" s="704" t="s">
        <v>837</v>
      </c>
      <c r="C121" s="669">
        <v>0</v>
      </c>
      <c r="D121" s="651">
        <v>0</v>
      </c>
      <c r="E121" s="651">
        <v>0</v>
      </c>
      <c r="F121" s="689">
        <v>0</v>
      </c>
      <c r="G121" s="690"/>
      <c r="H121" s="690"/>
      <c r="I121" s="690"/>
      <c r="J121" s="653">
        <v>0</v>
      </c>
      <c r="K121" s="1345"/>
    </row>
    <row r="122" spans="1:11" ht="13.5" thickBot="1">
      <c r="A122" s="648">
        <v>86</v>
      </c>
      <c r="B122" s="654" t="s">
        <v>833</v>
      </c>
      <c r="C122" s="672">
        <v>118000000</v>
      </c>
      <c r="D122" s="657">
        <v>0</v>
      </c>
      <c r="E122" s="657">
        <v>112219000</v>
      </c>
      <c r="F122" s="657">
        <v>5781000</v>
      </c>
      <c r="G122" s="691"/>
      <c r="H122" s="691"/>
      <c r="I122" s="692"/>
      <c r="J122" s="659">
        <v>112219000</v>
      </c>
      <c r="K122" s="1346"/>
    </row>
    <row r="123" spans="1:11" ht="13.5" thickBot="1">
      <c r="A123" s="648">
        <v>87</v>
      </c>
      <c r="B123" s="660" t="s">
        <v>834</v>
      </c>
      <c r="C123" s="661">
        <f>SUM(C121:C122)</f>
        <v>118000000</v>
      </c>
      <c r="D123" s="662">
        <f>SUM(D121:D122)</f>
        <v>0</v>
      </c>
      <c r="E123" s="662">
        <f>SUM(E121:E122)</f>
        <v>112219000</v>
      </c>
      <c r="F123" s="662">
        <f>SUM(F121:F122)</f>
        <v>5781000</v>
      </c>
      <c r="G123" s="698"/>
      <c r="H123" s="698"/>
      <c r="I123" s="699"/>
      <c r="J123" s="666">
        <f>SUM(J121:J122)</f>
        <v>112219000</v>
      </c>
      <c r="K123" s="1354"/>
    </row>
    <row r="124" spans="1:11" ht="13.5" thickBot="1">
      <c r="A124" s="648"/>
      <c r="B124" s="1342"/>
      <c r="C124" s="1343"/>
      <c r="D124" s="1343"/>
      <c r="E124" s="1343"/>
      <c r="F124" s="1343"/>
      <c r="G124" s="1343"/>
      <c r="H124" s="1343"/>
      <c r="I124" s="1343"/>
      <c r="J124" s="1344"/>
      <c r="K124" s="647"/>
    </row>
    <row r="125" spans="1:11" ht="12.75">
      <c r="A125" s="667">
        <v>88</v>
      </c>
      <c r="B125" s="685" t="s">
        <v>835</v>
      </c>
      <c r="C125" s="669">
        <f>SUM(D125:G125)</f>
        <v>118000000</v>
      </c>
      <c r="D125" s="651">
        <v>600000</v>
      </c>
      <c r="E125" s="651">
        <v>5257200</v>
      </c>
      <c r="F125" s="651">
        <v>112142800</v>
      </c>
      <c r="G125" s="690"/>
      <c r="H125" s="690"/>
      <c r="I125" s="690"/>
      <c r="J125" s="1345"/>
      <c r="K125" s="653">
        <v>111619000</v>
      </c>
    </row>
    <row r="126" spans="1:11" ht="13.5" thickBot="1">
      <c r="A126" s="667">
        <v>89</v>
      </c>
      <c r="B126" s="694" t="s">
        <v>840</v>
      </c>
      <c r="C126" s="672">
        <v>0</v>
      </c>
      <c r="D126" s="695">
        <v>0</v>
      </c>
      <c r="E126" s="695">
        <v>0</v>
      </c>
      <c r="F126" s="695">
        <v>0</v>
      </c>
      <c r="G126" s="691"/>
      <c r="H126" s="691"/>
      <c r="I126" s="692"/>
      <c r="J126" s="1346"/>
      <c r="K126" s="659">
        <v>0</v>
      </c>
    </row>
    <row r="127" spans="1:11" ht="13.5" thickBot="1">
      <c r="A127" s="686">
        <v>90</v>
      </c>
      <c r="B127" s="687" t="s">
        <v>366</v>
      </c>
      <c r="C127" s="675">
        <f>SUM(C125:C126)</f>
        <v>118000000</v>
      </c>
      <c r="D127" s="688">
        <f>SUM(D125:D126)</f>
        <v>600000</v>
      </c>
      <c r="E127" s="688">
        <f>SUM(E125:E126)</f>
        <v>5257200</v>
      </c>
      <c r="F127" s="688">
        <f>SUM(F125:F126)</f>
        <v>112142800</v>
      </c>
      <c r="G127" s="700"/>
      <c r="H127" s="700"/>
      <c r="I127" s="700"/>
      <c r="J127" s="1347"/>
      <c r="K127" s="677">
        <f>SUM(K125:K126)</f>
        <v>111619000</v>
      </c>
    </row>
    <row r="128" spans="1:11" ht="14.25" thickBot="1" thickTop="1">
      <c r="A128" s="918"/>
      <c r="B128" s="919"/>
      <c r="C128" s="920"/>
      <c r="D128" s="921"/>
      <c r="E128" s="922"/>
      <c r="F128" s="922"/>
      <c r="G128" s="921"/>
      <c r="H128" s="921"/>
      <c r="I128" s="921"/>
      <c r="J128" s="923"/>
      <c r="K128" s="924"/>
    </row>
    <row r="129" spans="1:11" s="796" customFormat="1" ht="24" customHeight="1" thickBot="1" thickTop="1">
      <c r="A129" s="804">
        <v>77</v>
      </c>
      <c r="B129" s="1351" t="s">
        <v>1172</v>
      </c>
      <c r="C129" s="1352"/>
      <c r="D129" s="1352"/>
      <c r="E129" s="1352"/>
      <c r="F129" s="1352"/>
      <c r="G129" s="1352"/>
      <c r="H129" s="1352"/>
      <c r="I129" s="1352"/>
      <c r="J129" s="1353"/>
      <c r="K129" s="795"/>
    </row>
    <row r="130" spans="1:11" ht="12.75">
      <c r="A130" s="646">
        <v>78</v>
      </c>
      <c r="B130" s="704" t="s">
        <v>837</v>
      </c>
      <c r="C130" s="669">
        <v>0</v>
      </c>
      <c r="D130" s="781"/>
      <c r="E130" s="651">
        <v>0</v>
      </c>
      <c r="F130" s="689">
        <v>0</v>
      </c>
      <c r="G130" s="690"/>
      <c r="H130" s="690"/>
      <c r="I130" s="690"/>
      <c r="J130" s="653">
        <v>0</v>
      </c>
      <c r="K130" s="1345"/>
    </row>
    <row r="131" spans="1:11" ht="13.5" thickBot="1">
      <c r="A131" s="648">
        <v>79</v>
      </c>
      <c r="B131" s="654" t="s">
        <v>833</v>
      </c>
      <c r="C131" s="672">
        <v>50000000</v>
      </c>
      <c r="D131" s="781"/>
      <c r="E131" s="657">
        <v>50000000</v>
      </c>
      <c r="F131" s="657">
        <v>0</v>
      </c>
      <c r="G131" s="691"/>
      <c r="H131" s="691"/>
      <c r="I131" s="692"/>
      <c r="J131" s="659">
        <f>2500000+47500000</f>
        <v>50000000</v>
      </c>
      <c r="K131" s="1346"/>
    </row>
    <row r="132" spans="1:11" ht="13.5" thickBot="1">
      <c r="A132" s="648">
        <v>80</v>
      </c>
      <c r="B132" s="660" t="s">
        <v>834</v>
      </c>
      <c r="C132" s="661">
        <f>SUM(C130:C131)</f>
        <v>50000000</v>
      </c>
      <c r="D132" s="698"/>
      <c r="E132" s="662">
        <f>SUM(E130:E131)</f>
        <v>50000000</v>
      </c>
      <c r="F132" s="662">
        <f>SUM(F130:F131)</f>
        <v>0</v>
      </c>
      <c r="G132" s="698"/>
      <c r="H132" s="698"/>
      <c r="I132" s="699"/>
      <c r="J132" s="666">
        <f>SUM(J130:J131)</f>
        <v>50000000</v>
      </c>
      <c r="K132" s="1354"/>
    </row>
    <row r="133" spans="1:11" ht="13.5" thickBot="1">
      <c r="A133" s="648"/>
      <c r="B133" s="1342"/>
      <c r="C133" s="1343"/>
      <c r="D133" s="1343"/>
      <c r="E133" s="1343"/>
      <c r="F133" s="1343"/>
      <c r="G133" s="1343"/>
      <c r="H133" s="1343"/>
      <c r="I133" s="1343"/>
      <c r="J133" s="1344"/>
      <c r="K133" s="647"/>
    </row>
    <row r="134" spans="1:11" ht="12.75">
      <c r="A134" s="667">
        <v>81</v>
      </c>
      <c r="B134" s="685" t="s">
        <v>841</v>
      </c>
      <c r="C134" s="669">
        <v>50000000</v>
      </c>
      <c r="D134" s="780"/>
      <c r="E134" s="925">
        <v>2450000</v>
      </c>
      <c r="F134" s="925">
        <v>47550000</v>
      </c>
      <c r="G134" s="690"/>
      <c r="H134" s="690"/>
      <c r="I134" s="690"/>
      <c r="J134" s="1345"/>
      <c r="K134" s="653">
        <f>2500000+47500000</f>
        <v>50000000</v>
      </c>
    </row>
    <row r="135" spans="1:11" ht="13.5" thickBot="1">
      <c r="A135" s="667">
        <v>82</v>
      </c>
      <c r="B135" s="694" t="s">
        <v>842</v>
      </c>
      <c r="C135" s="672">
        <v>0</v>
      </c>
      <c r="D135" s="781"/>
      <c r="E135" s="695">
        <v>0</v>
      </c>
      <c r="F135" s="695">
        <v>0</v>
      </c>
      <c r="G135" s="691"/>
      <c r="H135" s="691"/>
      <c r="I135" s="692"/>
      <c r="J135" s="1346"/>
      <c r="K135" s="659">
        <v>0</v>
      </c>
    </row>
    <row r="136" spans="1:11" ht="13.5" thickBot="1">
      <c r="A136" s="686">
        <v>83</v>
      </c>
      <c r="B136" s="687" t="s">
        <v>366</v>
      </c>
      <c r="C136" s="675">
        <f>SUM(C134:C135)</f>
        <v>50000000</v>
      </c>
      <c r="D136" s="700"/>
      <c r="E136" s="688">
        <f>SUM(E134:E135)</f>
        <v>2450000</v>
      </c>
      <c r="F136" s="688">
        <f>SUM(F134:F135)</f>
        <v>47550000</v>
      </c>
      <c r="G136" s="700"/>
      <c r="H136" s="700"/>
      <c r="I136" s="700"/>
      <c r="J136" s="1347"/>
      <c r="K136" s="677">
        <f>SUM(K134:K135)</f>
        <v>50000000</v>
      </c>
    </row>
    <row r="137" spans="1:11" ht="14.25" thickBot="1" thickTop="1">
      <c r="A137" s="667"/>
      <c r="B137" s="926"/>
      <c r="C137" s="934"/>
      <c r="D137" s="935"/>
      <c r="E137" s="934"/>
      <c r="F137" s="934"/>
      <c r="G137" s="935"/>
      <c r="H137" s="935"/>
      <c r="I137" s="935"/>
      <c r="J137" s="936"/>
      <c r="K137" s="937"/>
    </row>
    <row r="138" spans="1:11" s="796" customFormat="1" ht="24" customHeight="1" thickBot="1" thickTop="1">
      <c r="A138" s="804">
        <v>77</v>
      </c>
      <c r="B138" s="1351" t="s">
        <v>1173</v>
      </c>
      <c r="C138" s="1352"/>
      <c r="D138" s="1352"/>
      <c r="E138" s="1352"/>
      <c r="F138" s="1352"/>
      <c r="G138" s="1352"/>
      <c r="H138" s="1352"/>
      <c r="I138" s="1352"/>
      <c r="J138" s="1353"/>
      <c r="K138" s="795"/>
    </row>
    <row r="139" spans="1:11" ht="12.75">
      <c r="A139" s="646">
        <v>78</v>
      </c>
      <c r="B139" s="704" t="s">
        <v>837</v>
      </c>
      <c r="C139" s="669">
        <v>0</v>
      </c>
      <c r="D139" s="781"/>
      <c r="E139" s="651"/>
      <c r="F139" s="689"/>
      <c r="G139" s="928"/>
      <c r="H139" s="928"/>
      <c r="I139" s="928"/>
      <c r="J139" s="653">
        <v>0</v>
      </c>
      <c r="K139" s="1345"/>
    </row>
    <row r="140" spans="1:11" ht="13.5" thickBot="1">
      <c r="A140" s="648">
        <v>79</v>
      </c>
      <c r="B140" s="654" t="s">
        <v>833</v>
      </c>
      <c r="C140" s="672">
        <v>21635062</v>
      </c>
      <c r="D140" s="781"/>
      <c r="E140" s="657">
        <v>21635062</v>
      </c>
      <c r="F140" s="657"/>
      <c r="G140" s="929"/>
      <c r="H140" s="929"/>
      <c r="I140" s="930"/>
      <c r="J140" s="659">
        <v>21635062</v>
      </c>
      <c r="K140" s="1346"/>
    </row>
    <row r="141" spans="1:11" ht="13.5" thickBot="1">
      <c r="A141" s="648">
        <v>80</v>
      </c>
      <c r="B141" s="660" t="s">
        <v>834</v>
      </c>
      <c r="C141" s="661">
        <f>SUM(C139:C140)</f>
        <v>21635062</v>
      </c>
      <c r="D141" s="698"/>
      <c r="E141" s="662"/>
      <c r="F141" s="662"/>
      <c r="G141" s="931"/>
      <c r="H141" s="931"/>
      <c r="I141" s="932"/>
      <c r="J141" s="666">
        <f>SUM(J139:J140)</f>
        <v>21635062</v>
      </c>
      <c r="K141" s="1354"/>
    </row>
    <row r="142" spans="1:11" ht="13.5" thickBot="1">
      <c r="A142" s="648"/>
      <c r="B142" s="1342"/>
      <c r="C142" s="1343"/>
      <c r="D142" s="1343"/>
      <c r="E142" s="1343"/>
      <c r="F142" s="1343"/>
      <c r="G142" s="1343"/>
      <c r="H142" s="1343"/>
      <c r="I142" s="1343"/>
      <c r="J142" s="1344"/>
      <c r="K142" s="647"/>
    </row>
    <row r="143" spans="1:11" ht="12.75">
      <c r="A143" s="667">
        <v>81</v>
      </c>
      <c r="B143" s="685" t="s">
        <v>838</v>
      </c>
      <c r="C143" s="669">
        <v>10056000</v>
      </c>
      <c r="D143" s="780"/>
      <c r="E143" s="925">
        <v>717000</v>
      </c>
      <c r="F143" s="925">
        <v>3123000</v>
      </c>
      <c r="G143" s="925">
        <v>2880000</v>
      </c>
      <c r="H143" s="925">
        <v>2880000</v>
      </c>
      <c r="I143" s="925">
        <v>695000</v>
      </c>
      <c r="J143" s="1355"/>
      <c r="K143" s="669">
        <v>10056000</v>
      </c>
    </row>
    <row r="144" spans="1:11" ht="12.75">
      <c r="A144" s="667"/>
      <c r="B144" s="671" t="s">
        <v>836</v>
      </c>
      <c r="C144" s="772">
        <v>10749062</v>
      </c>
      <c r="D144" s="780"/>
      <c r="E144" s="927">
        <v>315347</v>
      </c>
      <c r="F144" s="927">
        <f>3984333+55</f>
        <v>3984388</v>
      </c>
      <c r="G144" s="933">
        <v>2149813</v>
      </c>
      <c r="H144" s="933">
        <v>2149812</v>
      </c>
      <c r="I144" s="933">
        <v>1910757</v>
      </c>
      <c r="J144" s="1356"/>
      <c r="K144" s="772">
        <v>10749062</v>
      </c>
    </row>
    <row r="145" spans="1:11" ht="13.5" thickBot="1">
      <c r="A145" s="667">
        <v>82</v>
      </c>
      <c r="B145" s="773" t="s">
        <v>835</v>
      </c>
      <c r="C145" s="672">
        <v>830000</v>
      </c>
      <c r="D145" s="781"/>
      <c r="E145" s="695">
        <v>829945</v>
      </c>
      <c r="F145" s="695"/>
      <c r="G145" s="929"/>
      <c r="H145" s="929"/>
      <c r="I145" s="930"/>
      <c r="J145" s="1346"/>
      <c r="K145" s="672">
        <v>830000</v>
      </c>
    </row>
    <row r="146" spans="1:11" ht="13.5" thickBot="1">
      <c r="A146" s="686">
        <v>83</v>
      </c>
      <c r="B146" s="687" t="s">
        <v>366</v>
      </c>
      <c r="C146" s="675">
        <f>SUM(E146:I146)</f>
        <v>21635062</v>
      </c>
      <c r="D146" s="700"/>
      <c r="E146" s="688">
        <f>SUM(E143:E145)</f>
        <v>1862292</v>
      </c>
      <c r="F146" s="688">
        <f>SUM(F143:F145)</f>
        <v>7107388</v>
      </c>
      <c r="G146" s="688">
        <f>SUM(G143:G145)</f>
        <v>5029813</v>
      </c>
      <c r="H146" s="688">
        <f>SUM(H143:H145)</f>
        <v>5029812</v>
      </c>
      <c r="I146" s="688">
        <f>SUM(I143:I145)</f>
        <v>2605757</v>
      </c>
      <c r="J146" s="1347"/>
      <c r="K146" s="677">
        <f>SUM(K143:K145)</f>
        <v>21635062</v>
      </c>
    </row>
    <row r="147" spans="1:11" ht="14.25" thickBot="1" thickTop="1">
      <c r="A147" s="667"/>
      <c r="B147" s="938"/>
      <c r="C147" s="934"/>
      <c r="D147" s="935"/>
      <c r="E147" s="934"/>
      <c r="F147" s="934"/>
      <c r="G147" s="935"/>
      <c r="H147" s="935"/>
      <c r="I147" s="935"/>
      <c r="J147" s="936"/>
      <c r="K147" s="937"/>
    </row>
    <row r="148" spans="1:11" s="796" customFormat="1" ht="24" customHeight="1" thickBot="1" thickTop="1">
      <c r="A148" s="804">
        <v>24</v>
      </c>
      <c r="B148" s="1351" t="s">
        <v>1227</v>
      </c>
      <c r="C148" s="1352"/>
      <c r="D148" s="1352"/>
      <c r="E148" s="1352"/>
      <c r="F148" s="1352"/>
      <c r="G148" s="1352"/>
      <c r="H148" s="1352"/>
      <c r="I148" s="1352"/>
      <c r="J148" s="1353"/>
      <c r="K148" s="795"/>
    </row>
    <row r="149" spans="1:11" ht="12.75">
      <c r="A149" s="646">
        <v>25</v>
      </c>
      <c r="B149" s="696" t="s">
        <v>837</v>
      </c>
      <c r="C149" s="669">
        <v>10986749</v>
      </c>
      <c r="D149" s="690"/>
      <c r="E149" s="928">
        <f>10986749-6400548</f>
        <v>4586201</v>
      </c>
      <c r="F149" s="928">
        <v>6400548</v>
      </c>
      <c r="G149" s="690"/>
      <c r="H149" s="690"/>
      <c r="I149" s="690"/>
      <c r="J149" s="659">
        <v>10986749</v>
      </c>
      <c r="K149" s="1345"/>
    </row>
    <row r="150" spans="1:11" ht="13.5" thickBot="1">
      <c r="A150" s="648">
        <v>26</v>
      </c>
      <c r="B150" s="654" t="s">
        <v>833</v>
      </c>
      <c r="C150" s="697">
        <v>19999984</v>
      </c>
      <c r="D150" s="691"/>
      <c r="E150" s="929">
        <v>9999992</v>
      </c>
      <c r="F150" s="929">
        <v>9999992</v>
      </c>
      <c r="G150" s="691"/>
      <c r="H150" s="691"/>
      <c r="I150" s="692"/>
      <c r="J150" s="659">
        <v>19999984</v>
      </c>
      <c r="K150" s="1346"/>
    </row>
    <row r="151" spans="1:11" ht="13.5" thickBot="1">
      <c r="A151" s="648">
        <v>27</v>
      </c>
      <c r="B151" s="660" t="s">
        <v>834</v>
      </c>
      <c r="C151" s="661">
        <f>SUM(C149:C150)</f>
        <v>30986733</v>
      </c>
      <c r="D151" s="698"/>
      <c r="E151" s="931">
        <f>SUM(E149:E150)</f>
        <v>14586193</v>
      </c>
      <c r="F151" s="931">
        <f>SUM(F149:F150)</f>
        <v>16400540</v>
      </c>
      <c r="G151" s="698"/>
      <c r="H151" s="698"/>
      <c r="I151" s="699"/>
      <c r="J151" s="666">
        <f>SUM(J149+J150)</f>
        <v>30986733</v>
      </c>
      <c r="K151" s="1354"/>
    </row>
    <row r="152" spans="1:11" ht="13.5" thickBot="1">
      <c r="A152" s="648"/>
      <c r="B152" s="1342"/>
      <c r="C152" s="1343"/>
      <c r="D152" s="1343"/>
      <c r="E152" s="1343"/>
      <c r="F152" s="1343"/>
      <c r="G152" s="1343"/>
      <c r="H152" s="1343"/>
      <c r="I152" s="1343"/>
      <c r="J152" s="1344"/>
      <c r="K152" s="647"/>
    </row>
    <row r="153" spans="1:11" ht="12.75">
      <c r="A153" s="667">
        <v>28</v>
      </c>
      <c r="B153" s="685" t="s">
        <v>835</v>
      </c>
      <c r="C153" s="669">
        <v>21052620</v>
      </c>
      <c r="D153" s="690"/>
      <c r="E153" s="689">
        <f>21052620-6400548</f>
        <v>14652072</v>
      </c>
      <c r="F153" s="928">
        <v>6400548</v>
      </c>
      <c r="G153" s="690"/>
      <c r="H153" s="690"/>
      <c r="I153" s="690"/>
      <c r="J153" s="1345"/>
      <c r="K153" s="653">
        <v>21052620</v>
      </c>
    </row>
    <row r="154" spans="1:11" ht="13.5" thickBot="1">
      <c r="A154" s="667">
        <v>29</v>
      </c>
      <c r="B154" s="694" t="s">
        <v>840</v>
      </c>
      <c r="C154" s="672">
        <v>9934113</v>
      </c>
      <c r="D154" s="691"/>
      <c r="E154" s="683">
        <v>9934113</v>
      </c>
      <c r="F154" s="929"/>
      <c r="G154" s="691"/>
      <c r="H154" s="691"/>
      <c r="I154" s="692"/>
      <c r="J154" s="1346"/>
      <c r="K154" s="659">
        <v>9934113</v>
      </c>
    </row>
    <row r="155" spans="1:11" ht="13.5" thickBot="1">
      <c r="A155" s="686">
        <v>30</v>
      </c>
      <c r="B155" s="687" t="s">
        <v>366</v>
      </c>
      <c r="C155" s="675">
        <f>SUM(C153:C154)</f>
        <v>30986733</v>
      </c>
      <c r="D155" s="700"/>
      <c r="E155" s="688">
        <f>SUM(E153:E154)</f>
        <v>24586185</v>
      </c>
      <c r="F155" s="688">
        <f>SUM(F153:F154)</f>
        <v>6400548</v>
      </c>
      <c r="G155" s="700"/>
      <c r="H155" s="700"/>
      <c r="I155" s="701"/>
      <c r="J155" s="1354"/>
      <c r="K155" s="677">
        <f>SUM(K152:K154)</f>
        <v>30986733</v>
      </c>
    </row>
    <row r="156" spans="1:11" ht="14.25" thickBot="1" thickTop="1">
      <c r="A156" s="678"/>
      <c r="B156" s="1368"/>
      <c r="C156" s="1369"/>
      <c r="D156" s="1369"/>
      <c r="E156" s="1369"/>
      <c r="F156" s="1369"/>
      <c r="G156" s="1369"/>
      <c r="H156" s="1369"/>
      <c r="I156" s="1369"/>
      <c r="J156" s="1369"/>
      <c r="K156" s="1370"/>
    </row>
    <row r="157" spans="1:11" ht="14.25" thickBot="1" thickTop="1">
      <c r="A157" s="648"/>
      <c r="B157" s="1348"/>
      <c r="C157" s="1349"/>
      <c r="D157" s="1349"/>
      <c r="E157" s="1349"/>
      <c r="F157" s="1349"/>
      <c r="G157" s="1349"/>
      <c r="H157" s="1349"/>
      <c r="I157" s="1349"/>
      <c r="J157" s="1349"/>
      <c r="K157" s="1350"/>
    </row>
    <row r="158" spans="1:11" ht="19.5" thickBot="1" thickTop="1">
      <c r="A158" s="799">
        <v>91</v>
      </c>
      <c r="B158" s="1365" t="s">
        <v>769</v>
      </c>
      <c r="C158" s="1366"/>
      <c r="D158" s="1366"/>
      <c r="E158" s="1366"/>
      <c r="F158" s="1366"/>
      <c r="G158" s="1366"/>
      <c r="H158" s="1366"/>
      <c r="I158" s="1366"/>
      <c r="J158" s="1366"/>
      <c r="K158" s="1367"/>
    </row>
    <row r="159" spans="1:11" ht="14.25" thickBot="1" thickTop="1">
      <c r="A159" s="678"/>
      <c r="B159" s="1368"/>
      <c r="C159" s="1369"/>
      <c r="D159" s="1369"/>
      <c r="E159" s="1369"/>
      <c r="F159" s="1369"/>
      <c r="G159" s="1369"/>
      <c r="H159" s="1369"/>
      <c r="I159" s="1369"/>
      <c r="J159" s="1369"/>
      <c r="K159" s="1370"/>
    </row>
    <row r="160" spans="1:11" s="796" customFormat="1" ht="30" customHeight="1" thickBot="1" thickTop="1">
      <c r="A160" s="804">
        <v>92</v>
      </c>
      <c r="B160" s="1374" t="s">
        <v>922</v>
      </c>
      <c r="C160" s="1375"/>
      <c r="D160" s="1375"/>
      <c r="E160" s="1375"/>
      <c r="F160" s="1375"/>
      <c r="G160" s="1375"/>
      <c r="H160" s="1375"/>
      <c r="I160" s="1375"/>
      <c r="J160" s="1375"/>
      <c r="K160" s="805"/>
    </row>
    <row r="161" spans="1:11" ht="12.75">
      <c r="A161" s="646">
        <v>93</v>
      </c>
      <c r="B161" s="696" t="s">
        <v>837</v>
      </c>
      <c r="C161" s="800">
        <v>0</v>
      </c>
      <c r="D161" s="801"/>
      <c r="E161" s="802">
        <v>0</v>
      </c>
      <c r="F161" s="802">
        <v>0</v>
      </c>
      <c r="G161" s="802">
        <v>0</v>
      </c>
      <c r="H161" s="802"/>
      <c r="I161" s="801"/>
      <c r="J161" s="803">
        <v>0</v>
      </c>
      <c r="K161" s="1346"/>
    </row>
    <row r="162" spans="1:11" ht="13.5" thickBot="1">
      <c r="A162" s="681">
        <v>94</v>
      </c>
      <c r="B162" s="654" t="s">
        <v>833</v>
      </c>
      <c r="C162" s="682">
        <v>88217316</v>
      </c>
      <c r="D162" s="776"/>
      <c r="E162" s="657">
        <v>45094449</v>
      </c>
      <c r="F162" s="657"/>
      <c r="G162" s="657"/>
      <c r="H162" s="657"/>
      <c r="I162" s="776"/>
      <c r="J162" s="659">
        <v>45094449</v>
      </c>
      <c r="K162" s="1346"/>
    </row>
    <row r="163" spans="1:11" ht="13.5" thickBot="1">
      <c r="A163" s="648">
        <v>95</v>
      </c>
      <c r="B163" s="660" t="s">
        <v>834</v>
      </c>
      <c r="C163" s="661">
        <f>SUM(C161:C162)</f>
        <v>88217316</v>
      </c>
      <c r="D163" s="663"/>
      <c r="E163" s="662">
        <f>SUM(E161:E162)</f>
        <v>45094449</v>
      </c>
      <c r="F163" s="662">
        <f>SUM(F161:F162)</f>
        <v>0</v>
      </c>
      <c r="G163" s="662">
        <f>SUM(G161:G162)</f>
        <v>0</v>
      </c>
      <c r="H163" s="662">
        <f>SUM(H161:H162)</f>
        <v>0</v>
      </c>
      <c r="I163" s="663"/>
      <c r="J163" s="666">
        <f>SUM(J161:J162)</f>
        <v>45094449</v>
      </c>
      <c r="K163" s="1354"/>
    </row>
    <row r="164" spans="1:11" ht="13.5" thickBot="1">
      <c r="A164" s="648"/>
      <c r="B164" s="1342"/>
      <c r="C164" s="1343"/>
      <c r="D164" s="1343"/>
      <c r="E164" s="1343"/>
      <c r="F164" s="1343"/>
      <c r="G164" s="1343"/>
      <c r="H164" s="1343"/>
      <c r="I164" s="1343"/>
      <c r="J164" s="1344"/>
      <c r="K164" s="647"/>
    </row>
    <row r="165" spans="1:11" ht="12.75">
      <c r="A165" s="684">
        <v>96</v>
      </c>
      <c r="B165" s="685" t="s">
        <v>838</v>
      </c>
      <c r="C165" s="785">
        <f>SUM(E165:H165)</f>
        <v>53041950</v>
      </c>
      <c r="D165" s="779"/>
      <c r="E165" s="651">
        <v>16267810</v>
      </c>
      <c r="F165" s="689">
        <v>17680650</v>
      </c>
      <c r="G165" s="689">
        <v>17680650</v>
      </c>
      <c r="H165" s="689">
        <v>1412840</v>
      </c>
      <c r="I165" s="779"/>
      <c r="J165" s="1345"/>
      <c r="K165" s="653">
        <v>26737000</v>
      </c>
    </row>
    <row r="166" spans="1:11" ht="12.75">
      <c r="A166" s="667">
        <v>97</v>
      </c>
      <c r="B166" s="671" t="s">
        <v>836</v>
      </c>
      <c r="C166" s="672">
        <f>SUM(E166:H166)</f>
        <v>33488176</v>
      </c>
      <c r="D166" s="780"/>
      <c r="E166" s="657">
        <v>11524620</v>
      </c>
      <c r="F166" s="683">
        <v>10704096</v>
      </c>
      <c r="G166" s="683">
        <v>10494095</v>
      </c>
      <c r="H166" s="683">
        <v>765365</v>
      </c>
      <c r="I166" s="780"/>
      <c r="J166" s="1346"/>
      <c r="K166" s="659">
        <v>16670259</v>
      </c>
    </row>
    <row r="167" spans="1:11" ht="13.5" thickBot="1">
      <c r="A167" s="667">
        <v>98</v>
      </c>
      <c r="B167" s="773" t="s">
        <v>835</v>
      </c>
      <c r="C167" s="772">
        <f>SUM(E167:H167)</f>
        <v>1687190</v>
      </c>
      <c r="D167" s="781"/>
      <c r="E167" s="657">
        <v>1687190</v>
      </c>
      <c r="F167" s="683">
        <v>0</v>
      </c>
      <c r="G167" s="683">
        <v>0</v>
      </c>
      <c r="H167" s="683">
        <v>0</v>
      </c>
      <c r="I167" s="781"/>
      <c r="J167" s="1346"/>
      <c r="K167" s="659">
        <v>1687190</v>
      </c>
    </row>
    <row r="168" spans="1:11" ht="13.5" thickBot="1">
      <c r="A168" s="686">
        <v>99</v>
      </c>
      <c r="B168" s="687" t="s">
        <v>366</v>
      </c>
      <c r="C168" s="675">
        <f>SUM(C165:C167)</f>
        <v>88217316</v>
      </c>
      <c r="D168" s="700"/>
      <c r="E168" s="688">
        <f>SUM(E165:E167)</f>
        <v>29479620</v>
      </c>
      <c r="F168" s="688">
        <f>SUM(F165:F167)</f>
        <v>28384746</v>
      </c>
      <c r="G168" s="688">
        <f>SUM(G165:G167)</f>
        <v>28174745</v>
      </c>
      <c r="H168" s="688">
        <f>SUM(H165:H167)</f>
        <v>2178205</v>
      </c>
      <c r="I168" s="700"/>
      <c r="J168" s="1347"/>
      <c r="K168" s="677">
        <f>SUM(K165:K167)</f>
        <v>45094449</v>
      </c>
    </row>
    <row r="169" spans="1:11" ht="14.25" thickBot="1" thickTop="1">
      <c r="A169" s="678"/>
      <c r="B169" s="1368"/>
      <c r="C169" s="1369"/>
      <c r="D169" s="1369"/>
      <c r="E169" s="1369"/>
      <c r="F169" s="1369"/>
      <c r="G169" s="1369"/>
      <c r="H169" s="1369"/>
      <c r="I169" s="1369"/>
      <c r="J169" s="1369"/>
      <c r="K169" s="1370"/>
    </row>
    <row r="170" spans="1:11" s="796" customFormat="1" ht="30" customHeight="1" thickBot="1" thickTop="1">
      <c r="A170" s="804">
        <v>100</v>
      </c>
      <c r="B170" s="1371" t="s">
        <v>921</v>
      </c>
      <c r="C170" s="1372"/>
      <c r="D170" s="1372"/>
      <c r="E170" s="1372"/>
      <c r="F170" s="1372"/>
      <c r="G170" s="1372"/>
      <c r="H170" s="1372"/>
      <c r="I170" s="1372"/>
      <c r="J170" s="1373"/>
      <c r="K170" s="795"/>
    </row>
    <row r="171" spans="1:11" ht="12.75">
      <c r="A171" s="646">
        <v>101</v>
      </c>
      <c r="B171" s="649" t="s">
        <v>837</v>
      </c>
      <c r="C171" s="679">
        <v>0</v>
      </c>
      <c r="D171" s="680">
        <v>0</v>
      </c>
      <c r="E171" s="680">
        <v>0</v>
      </c>
      <c r="F171" s="680">
        <v>0</v>
      </c>
      <c r="G171" s="775"/>
      <c r="H171" s="775"/>
      <c r="I171" s="775"/>
      <c r="J171" s="653">
        <v>0</v>
      </c>
      <c r="K171" s="1345"/>
    </row>
    <row r="172" spans="1:11" ht="13.5" thickBot="1">
      <c r="A172" s="681">
        <v>102</v>
      </c>
      <c r="B172" s="654" t="s">
        <v>833</v>
      </c>
      <c r="C172" s="682">
        <f>SUM(D172:F172)</f>
        <v>40000000</v>
      </c>
      <c r="D172" s="657">
        <v>39200000</v>
      </c>
      <c r="E172" s="657">
        <v>0</v>
      </c>
      <c r="F172" s="657">
        <v>800000</v>
      </c>
      <c r="G172" s="776"/>
      <c r="H172" s="776"/>
      <c r="I172" s="776"/>
      <c r="J172" s="659">
        <v>33512420</v>
      </c>
      <c r="K172" s="1346"/>
    </row>
    <row r="173" spans="1:11" ht="13.5" thickBot="1">
      <c r="A173" s="648">
        <v>103</v>
      </c>
      <c r="B173" s="660" t="s">
        <v>834</v>
      </c>
      <c r="C173" s="661">
        <f>SUM(C171:C172)</f>
        <v>40000000</v>
      </c>
      <c r="D173" s="662">
        <f>SUM(D171:D172)</f>
        <v>39200000</v>
      </c>
      <c r="E173" s="662">
        <f>SUM(E171:E172)</f>
        <v>0</v>
      </c>
      <c r="F173" s="662">
        <f>SUM(F171:F172)</f>
        <v>800000</v>
      </c>
      <c r="G173" s="663"/>
      <c r="H173" s="663"/>
      <c r="I173" s="663"/>
      <c r="J173" s="666">
        <f>SUM(J171:J172)</f>
        <v>33512420</v>
      </c>
      <c r="K173" s="1354"/>
    </row>
    <row r="174" spans="1:11" ht="13.5" thickBot="1">
      <c r="A174" s="648"/>
      <c r="B174" s="1342"/>
      <c r="C174" s="1343"/>
      <c r="D174" s="1343"/>
      <c r="E174" s="1343"/>
      <c r="F174" s="1343"/>
      <c r="G174" s="1343"/>
      <c r="H174" s="1343"/>
      <c r="I174" s="1343"/>
      <c r="J174" s="1344"/>
      <c r="K174" s="647"/>
    </row>
    <row r="175" spans="1:11" ht="13.5" thickBot="1">
      <c r="A175" s="684">
        <v>104</v>
      </c>
      <c r="B175" s="685" t="s">
        <v>838</v>
      </c>
      <c r="C175" s="785">
        <f>SUM(D175:F175)</f>
        <v>12988120</v>
      </c>
      <c r="D175" s="651">
        <v>1760137</v>
      </c>
      <c r="E175" s="651">
        <v>8420987</v>
      </c>
      <c r="F175" s="689">
        <v>2806996</v>
      </c>
      <c r="G175" s="779"/>
      <c r="H175" s="779"/>
      <c r="I175" s="779"/>
      <c r="J175" s="1345"/>
      <c r="K175" s="653">
        <v>11227983</v>
      </c>
    </row>
    <row r="176" spans="1:11" ht="13.5" thickBot="1">
      <c r="A176" s="667">
        <v>105</v>
      </c>
      <c r="B176" s="671" t="s">
        <v>836</v>
      </c>
      <c r="C176" s="785">
        <f>SUM(D176:F176)</f>
        <v>23158258</v>
      </c>
      <c r="D176" s="657">
        <v>2486374</v>
      </c>
      <c r="E176" s="657">
        <v>19871884</v>
      </c>
      <c r="F176" s="683">
        <v>800000</v>
      </c>
      <c r="G176" s="780"/>
      <c r="H176" s="780"/>
      <c r="I176" s="780"/>
      <c r="J176" s="1346"/>
      <c r="K176" s="659">
        <v>19871884</v>
      </c>
    </row>
    <row r="177" spans="1:11" ht="13.5" thickBot="1">
      <c r="A177" s="667">
        <v>106</v>
      </c>
      <c r="B177" s="773" t="s">
        <v>835</v>
      </c>
      <c r="C177" s="785">
        <f>SUM(D177:F177)</f>
        <v>3853622</v>
      </c>
      <c r="D177" s="657">
        <v>1441069</v>
      </c>
      <c r="E177" s="657">
        <v>2412553</v>
      </c>
      <c r="F177" s="683">
        <v>0</v>
      </c>
      <c r="G177" s="781"/>
      <c r="H177" s="781"/>
      <c r="I177" s="781"/>
      <c r="J177" s="1346"/>
      <c r="K177" s="659">
        <v>2412553</v>
      </c>
    </row>
    <row r="178" spans="1:11" ht="13.5" thickBot="1">
      <c r="A178" s="686">
        <v>107</v>
      </c>
      <c r="B178" s="687" t="s">
        <v>366</v>
      </c>
      <c r="C178" s="675">
        <f>SUM(C175:C177)</f>
        <v>40000000</v>
      </c>
      <c r="D178" s="688">
        <f>SUM(D175:D177)</f>
        <v>5687580</v>
      </c>
      <c r="E178" s="688">
        <f>SUM(E175:E177)</f>
        <v>30705424</v>
      </c>
      <c r="F178" s="688">
        <f>SUM(F175:F177)</f>
        <v>3606996</v>
      </c>
      <c r="G178" s="700"/>
      <c r="H178" s="700"/>
      <c r="I178" s="700"/>
      <c r="J178" s="1347"/>
      <c r="K178" s="677">
        <f>SUM(K175:K177)</f>
        <v>33512420</v>
      </c>
    </row>
    <row r="179" ht="13.5" thickTop="1"/>
  </sheetData>
  <sheetProtection/>
  <mergeCells count="94">
    <mergeCell ref="J153:J155"/>
    <mergeCell ref="B156:K156"/>
    <mergeCell ref="B83:J83"/>
    <mergeCell ref="B49:K49"/>
    <mergeCell ref="B50:J50"/>
    <mergeCell ref="K51:K53"/>
    <mergeCell ref="B54:J54"/>
    <mergeCell ref="J55:J60"/>
    <mergeCell ref="K74:K76"/>
    <mergeCell ref="B77:J77"/>
    <mergeCell ref="B45:J45"/>
    <mergeCell ref="J46:J48"/>
    <mergeCell ref="K33:K35"/>
    <mergeCell ref="B36:J36"/>
    <mergeCell ref="J37:J39"/>
    <mergeCell ref="B40:K40"/>
    <mergeCell ref="K42:K44"/>
    <mergeCell ref="B41:J41"/>
    <mergeCell ref="B22:J22"/>
    <mergeCell ref="K23:K25"/>
    <mergeCell ref="B26:J26"/>
    <mergeCell ref="J27:J30"/>
    <mergeCell ref="B31:K31"/>
    <mergeCell ref="B32:J32"/>
    <mergeCell ref="B12:K12"/>
    <mergeCell ref="B13:J13"/>
    <mergeCell ref="K14:K16"/>
    <mergeCell ref="B17:J17"/>
    <mergeCell ref="J18:J20"/>
    <mergeCell ref="B21:K21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J78:J81"/>
    <mergeCell ref="B82:K82"/>
    <mergeCell ref="B61:K61"/>
    <mergeCell ref="B62:J62"/>
    <mergeCell ref="K63:K65"/>
    <mergeCell ref="B66:J66"/>
    <mergeCell ref="J67:J71"/>
    <mergeCell ref="K161:K163"/>
    <mergeCell ref="B164:J164"/>
    <mergeCell ref="J165:J168"/>
    <mergeCell ref="B169:K169"/>
    <mergeCell ref="B87:J87"/>
    <mergeCell ref="J88:J90"/>
    <mergeCell ref="B160:J160"/>
    <mergeCell ref="B92:J92"/>
    <mergeCell ref="K93:K95"/>
    <mergeCell ref="B96:J96"/>
    <mergeCell ref="K84:K86"/>
    <mergeCell ref="A72:K72"/>
    <mergeCell ref="B73:K73"/>
    <mergeCell ref="J175:J178"/>
    <mergeCell ref="B158:K158"/>
    <mergeCell ref="B159:K159"/>
    <mergeCell ref="B170:J170"/>
    <mergeCell ref="K171:K173"/>
    <mergeCell ref="B174:J174"/>
    <mergeCell ref="J97:J99"/>
    <mergeCell ref="B91:J91"/>
    <mergeCell ref="B101:J101"/>
    <mergeCell ref="K102:K104"/>
    <mergeCell ref="B105:J105"/>
    <mergeCell ref="J106:J109"/>
    <mergeCell ref="B100:J100"/>
    <mergeCell ref="B110:J110"/>
    <mergeCell ref="B111:J111"/>
    <mergeCell ref="K112:K114"/>
    <mergeCell ref="B115:J115"/>
    <mergeCell ref="J116:J118"/>
    <mergeCell ref="B120:J120"/>
    <mergeCell ref="K121:K123"/>
    <mergeCell ref="B124:J124"/>
    <mergeCell ref="J125:J127"/>
    <mergeCell ref="B119:J119"/>
    <mergeCell ref="B129:J129"/>
    <mergeCell ref="K130:K132"/>
    <mergeCell ref="B133:J133"/>
    <mergeCell ref="J134:J136"/>
    <mergeCell ref="B157:K157"/>
    <mergeCell ref="B138:J138"/>
    <mergeCell ref="K139:K141"/>
    <mergeCell ref="B142:J142"/>
    <mergeCell ref="J143:J146"/>
    <mergeCell ref="B148:J148"/>
    <mergeCell ref="K149:K151"/>
    <mergeCell ref="B152:J15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0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34" customWidth="1"/>
    <col min="2" max="4" width="9.125" style="134" customWidth="1"/>
    <col min="5" max="5" width="40.375" style="134" customWidth="1"/>
    <col min="6" max="6" width="16.125" style="134" bestFit="1" customWidth="1"/>
    <col min="7" max="7" width="14.125" style="134" bestFit="1" customWidth="1"/>
    <col min="8" max="9" width="14.875" style="134" customWidth="1"/>
    <col min="10" max="10" width="16.00390625" style="134" bestFit="1" customWidth="1"/>
    <col min="11" max="16384" width="9.125" style="134" customWidth="1"/>
  </cols>
  <sheetData>
    <row r="1" spans="1:10" s="138" customFormat="1" ht="12.75">
      <c r="A1" s="1024" t="s">
        <v>1250</v>
      </c>
      <c r="B1" s="1024"/>
      <c r="C1" s="1024"/>
      <c r="D1" s="1024"/>
      <c r="E1" s="1024"/>
      <c r="F1" s="1024"/>
      <c r="G1" s="1024"/>
      <c r="H1" s="1024"/>
      <c r="I1" s="1024"/>
      <c r="J1" s="1024"/>
    </row>
    <row r="2" spans="1:10" s="138" customFormat="1" ht="9.7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</row>
    <row r="3" spans="1:10" s="138" customFormat="1" ht="16.5">
      <c r="A3" s="1025" t="s">
        <v>772</v>
      </c>
      <c r="B3" s="1025"/>
      <c r="C3" s="1025"/>
      <c r="D3" s="1025"/>
      <c r="E3" s="1025"/>
      <c r="F3" s="1025"/>
      <c r="G3" s="1025"/>
      <c r="H3" s="1025"/>
      <c r="I3" s="1025"/>
      <c r="J3" s="1025"/>
    </row>
    <row r="4" spans="1:10" s="138" customFormat="1" ht="12.75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78" customHeight="1">
      <c r="A5" s="1026" t="s">
        <v>0</v>
      </c>
      <c r="B5" s="1027"/>
      <c r="C5" s="1027"/>
      <c r="D5" s="1027"/>
      <c r="E5" s="1028"/>
      <c r="F5" s="141" t="s">
        <v>89</v>
      </c>
      <c r="G5" s="141" t="s">
        <v>367</v>
      </c>
      <c r="H5" s="141" t="s">
        <v>769</v>
      </c>
      <c r="I5" s="141" t="s">
        <v>851</v>
      </c>
      <c r="J5" s="142" t="s">
        <v>361</v>
      </c>
    </row>
    <row r="6" spans="1:10" s="145" customFormat="1" ht="15">
      <c r="A6" s="143" t="s">
        <v>420</v>
      </c>
      <c r="B6" s="1029" t="s">
        <v>421</v>
      </c>
      <c r="C6" s="1030"/>
      <c r="D6" s="1030"/>
      <c r="E6" s="1031"/>
      <c r="F6" s="144" t="s">
        <v>422</v>
      </c>
      <c r="G6" s="144" t="s">
        <v>423</v>
      </c>
      <c r="H6" s="144" t="s">
        <v>424</v>
      </c>
      <c r="I6" s="144" t="s">
        <v>425</v>
      </c>
      <c r="J6" s="144" t="s">
        <v>427</v>
      </c>
    </row>
    <row r="7" spans="1:11" ht="14.25" customHeight="1">
      <c r="A7" s="146" t="s">
        <v>1</v>
      </c>
      <c r="B7" s="1021" t="s">
        <v>355</v>
      </c>
      <c r="C7" s="1021"/>
      <c r="D7" s="1021"/>
      <c r="E7" s="1021"/>
      <c r="F7" s="133">
        <f>29033148+2158500+514000+34895474+10871880+21446460+25000+2846984+16985805+80000+2168500+27145152+40610080+28103985+27815502+12762600+30800+2200+3600833+9375932+420000+1768202+4454365+12762600-12762600+27815502-27815502+3600833-3600833+8400000-720000-2800000+1744+10196-3600833</f>
        <v>278406509</v>
      </c>
      <c r="G7" s="133">
        <f>83641200+385000+1420400+1083000+6373+34746-53600+2800000-111033</f>
        <v>89206086</v>
      </c>
      <c r="H7" s="133">
        <f>147547916-7297240-336000+433600+66000+21649000+9187815+621002-2801679+757761+720000+40000-38100-6000-1706079-1848079-178021+123148+16004+38100+6000-167248-16004</f>
        <v>166811896</v>
      </c>
      <c r="I7" s="133">
        <f>2428400+7343000-1768202-4454365-960000</f>
        <v>2588833</v>
      </c>
      <c r="J7" s="133">
        <f>SUM(F7:I7)</f>
        <v>537013324</v>
      </c>
      <c r="K7" s="584"/>
    </row>
    <row r="8" spans="1:11" ht="13.5" customHeight="1">
      <c r="A8" s="146" t="s">
        <v>3</v>
      </c>
      <c r="B8" s="1021" t="s">
        <v>4</v>
      </c>
      <c r="C8" s="1021"/>
      <c r="D8" s="1021"/>
      <c r="E8" s="1021"/>
      <c r="F8" s="133">
        <f>7533426+424933+489933+6862023+1105308+2180390+4388+573827+3345516+41361+426883+6999328+3959404+2740077+6738701+2999211+6006+429+834330+1492000+914153+80000+348675+867408+2999211-2999211+6738701-6738701+834330-834330+1656000-140400-546000+4668+148462+225003+4151-834330</f>
        <v>51485264</v>
      </c>
      <c r="G8" s="133">
        <f>15658358+75075+293205+211188-8607-10455+546000+111033</f>
        <v>16875797</v>
      </c>
      <c r="H8" s="133">
        <f>31659765-1422962-65520+84552+12870+5088000+2040168+121098-541561+147763+140400+7020-7429-1170-694245-394284-402-23224+4691+75941+7729+1170-4691-75941-8899</f>
        <v>36150839</v>
      </c>
      <c r="I8" s="133">
        <f>478841+1437188-348675-867408-208000</f>
        <v>491946</v>
      </c>
      <c r="J8" s="133">
        <f aca="true" t="shared" si="0" ref="J8:J76">SUM(F8:I8)</f>
        <v>105003846</v>
      </c>
      <c r="K8" s="584"/>
    </row>
    <row r="9" spans="1:11" ht="12" customHeight="1">
      <c r="A9" s="146" t="s">
        <v>5</v>
      </c>
      <c r="B9" s="1021" t="s">
        <v>6</v>
      </c>
      <c r="C9" s="1021"/>
      <c r="D9" s="1021"/>
      <c r="E9" s="1021"/>
      <c r="F9" s="133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+63500+68000+90000+146050+190500+15000000+550000-235153+7679730+601200+1417+1283275+672563+95585+3300476-233830-73660+10976885+1100000+500000-1150000+823080-2893619+1350000+46939+243600-15-152400+400000-300000-100000-200000-5715000+444500+228600-228600-1054591-36480+527827+5771921+12859+15053577-15053577+65394106-65394106+13337603-13337603+10749062+66142+857250-857250-29000-5990-2601-23713-1250000-6000000+40000-40000+1393900-1393900+85000-85000-718770+18090+39171+2570768+50800+2166387+102430-102430+7875000+19806671-230101-484397-63436-1907772-14347+166813-13337603</f>
        <v>406907203</v>
      </c>
      <c r="G9" s="133">
        <f>20108238+256193+439819+2370+2234+585933-2359243</f>
        <v>19035544</v>
      </c>
      <c r="H9" s="133">
        <f>56208129+3-96000-170000+16670259+19871884-152273-151629-84541-195000-79900+17240-198285-10240-1048608+150000+22980-76969-35900-2928867-2783615-1532681-1799442-186951-384524+200267-200267-72282-18000</f>
        <v>80934788</v>
      </c>
      <c r="I9" s="133">
        <f>1100000+3400630+49530+13986001-3000000-103900-574597-700000-527827-2793033-2981388-10359+17858-4616817+32596+4468-37064-51440</f>
        <v>3194658</v>
      </c>
      <c r="J9" s="133">
        <f t="shared" si="0"/>
        <v>510072193</v>
      </c>
      <c r="K9" s="584"/>
    </row>
    <row r="10" spans="1:11" ht="12.75">
      <c r="A10" s="146" t="s">
        <v>8</v>
      </c>
      <c r="B10" s="1021" t="s">
        <v>9</v>
      </c>
      <c r="C10" s="1021"/>
      <c r="D10" s="1021"/>
      <c r="E10" s="1021"/>
      <c r="F10" s="133">
        <f>SUM(F11,F12,F15:F20)</f>
        <v>2942222</v>
      </c>
      <c r="G10" s="133">
        <f>SUM(G11,G12,G15:G20)</f>
        <v>7033580</v>
      </c>
      <c r="H10" s="133">
        <f>SUM(H11,H12,H15:H20)</f>
        <v>0</v>
      </c>
      <c r="I10" s="133">
        <f>SUM(I11,I12,I15:I20)</f>
        <v>0</v>
      </c>
      <c r="J10" s="133">
        <f t="shared" si="0"/>
        <v>9975802</v>
      </c>
      <c r="K10" s="584"/>
    </row>
    <row r="11" spans="1:11" ht="12.75">
      <c r="A11" s="129"/>
      <c r="B11" s="129" t="s">
        <v>10</v>
      </c>
      <c r="C11" s="1032" t="s">
        <v>11</v>
      </c>
      <c r="D11" s="1033"/>
      <c r="E11" s="1034"/>
      <c r="F11" s="132">
        <v>0</v>
      </c>
      <c r="G11" s="132">
        <v>0</v>
      </c>
      <c r="H11" s="132">
        <v>0</v>
      </c>
      <c r="I11" s="132">
        <v>0</v>
      </c>
      <c r="J11" s="133">
        <f t="shared" si="0"/>
        <v>0</v>
      </c>
      <c r="K11" s="584"/>
    </row>
    <row r="12" spans="1:11" ht="12.75">
      <c r="A12" s="129"/>
      <c r="B12" s="129" t="s">
        <v>12</v>
      </c>
      <c r="C12" s="1012" t="s">
        <v>13</v>
      </c>
      <c r="D12" s="1012"/>
      <c r="E12" s="1012"/>
      <c r="F12" s="132">
        <f>SUM(F13:F14)</f>
        <v>0</v>
      </c>
      <c r="G12" s="132">
        <f>SUM(G13:G14)</f>
        <v>7033580</v>
      </c>
      <c r="H12" s="132">
        <f>SUM(H13:H14)</f>
        <v>0</v>
      </c>
      <c r="I12" s="132">
        <f>SUM(I13:I14)</f>
        <v>0</v>
      </c>
      <c r="J12" s="133">
        <f t="shared" si="0"/>
        <v>7033580</v>
      </c>
      <c r="K12" s="584"/>
    </row>
    <row r="13" spans="1:11" ht="23.25" customHeight="1">
      <c r="A13" s="135"/>
      <c r="B13" s="129"/>
      <c r="C13" s="135"/>
      <c r="D13" s="1010" t="s">
        <v>647</v>
      </c>
      <c r="E13" s="1011"/>
      <c r="F13" s="136"/>
      <c r="G13" s="787">
        <f>5650000+1358500</f>
        <v>7008500</v>
      </c>
      <c r="H13" s="787">
        <v>0</v>
      </c>
      <c r="I13" s="787">
        <v>0</v>
      </c>
      <c r="J13" s="788">
        <f t="shared" si="0"/>
        <v>7008500</v>
      </c>
      <c r="K13" s="584"/>
    </row>
    <row r="14" spans="1:11" ht="22.5" customHeight="1">
      <c r="A14" s="135"/>
      <c r="B14" s="129"/>
      <c r="C14" s="135"/>
      <c r="D14" s="1022" t="s">
        <v>648</v>
      </c>
      <c r="E14" s="1023"/>
      <c r="F14" s="136"/>
      <c r="G14" s="787">
        <f>368160-275880-67200</f>
        <v>25080</v>
      </c>
      <c r="H14" s="787">
        <v>0</v>
      </c>
      <c r="I14" s="787">
        <v>0</v>
      </c>
      <c r="J14" s="788">
        <f t="shared" si="0"/>
        <v>25080</v>
      </c>
      <c r="K14" s="584"/>
    </row>
    <row r="15" spans="1:11" ht="12.75">
      <c r="A15" s="129"/>
      <c r="B15" s="129" t="s">
        <v>136</v>
      </c>
      <c r="C15" s="1012" t="s">
        <v>137</v>
      </c>
      <c r="D15" s="1012"/>
      <c r="E15" s="1012"/>
      <c r="F15" s="132">
        <v>0</v>
      </c>
      <c r="G15" s="132">
        <v>0</v>
      </c>
      <c r="H15" s="132">
        <v>0</v>
      </c>
      <c r="I15" s="132">
        <v>0</v>
      </c>
      <c r="J15" s="133">
        <f t="shared" si="0"/>
        <v>0</v>
      </c>
      <c r="K15" s="584"/>
    </row>
    <row r="16" spans="1:11" ht="12" customHeight="1">
      <c r="A16" s="129"/>
      <c r="B16" s="129" t="s">
        <v>138</v>
      </c>
      <c r="C16" s="1032" t="s">
        <v>139</v>
      </c>
      <c r="D16" s="1033"/>
      <c r="E16" s="1034"/>
      <c r="F16" s="132">
        <f>SUM(F17:F18)</f>
        <v>0</v>
      </c>
      <c r="G16" s="132">
        <f>SUM(G17:G18)</f>
        <v>0</v>
      </c>
      <c r="H16" s="132">
        <f>SUM(H17:H18)</f>
        <v>0</v>
      </c>
      <c r="I16" s="132">
        <f>SUM(I17:I18)</f>
        <v>0</v>
      </c>
      <c r="J16" s="133">
        <f t="shared" si="0"/>
        <v>0</v>
      </c>
      <c r="K16" s="584"/>
    </row>
    <row r="17" spans="1:11" ht="13.5" customHeight="1">
      <c r="A17" s="135"/>
      <c r="B17" s="129" t="s">
        <v>140</v>
      </c>
      <c r="C17" s="129" t="s">
        <v>141</v>
      </c>
      <c r="D17" s="130"/>
      <c r="E17" s="131"/>
      <c r="F17" s="136">
        <v>0</v>
      </c>
      <c r="G17" s="136">
        <v>0</v>
      </c>
      <c r="H17" s="136">
        <v>0</v>
      </c>
      <c r="I17" s="136">
        <v>0</v>
      </c>
      <c r="J17" s="133">
        <f t="shared" si="0"/>
        <v>0</v>
      </c>
      <c r="K17" s="584"/>
    </row>
    <row r="18" spans="1:11" ht="12.75">
      <c r="A18" s="129"/>
      <c r="B18" s="129" t="s">
        <v>142</v>
      </c>
      <c r="C18" s="1032" t="s">
        <v>143</v>
      </c>
      <c r="D18" s="1033"/>
      <c r="E18" s="1034"/>
      <c r="F18" s="132">
        <f>SUM(F19)</f>
        <v>0</v>
      </c>
      <c r="G18" s="132">
        <f>SUM(G19)</f>
        <v>0</v>
      </c>
      <c r="H18" s="132">
        <f>SUM(H19)</f>
        <v>0</v>
      </c>
      <c r="I18" s="132">
        <f>SUM(I19)</f>
        <v>0</v>
      </c>
      <c r="J18" s="133">
        <f t="shared" si="0"/>
        <v>0</v>
      </c>
      <c r="K18" s="584"/>
    </row>
    <row r="19" spans="1:11" ht="12.75">
      <c r="A19" s="129"/>
      <c r="B19" s="129" t="s">
        <v>144</v>
      </c>
      <c r="C19" s="1012" t="s">
        <v>14</v>
      </c>
      <c r="D19" s="1012"/>
      <c r="E19" s="1012"/>
      <c r="F19" s="132">
        <v>0</v>
      </c>
      <c r="G19" s="132">
        <v>0</v>
      </c>
      <c r="H19" s="132">
        <v>0</v>
      </c>
      <c r="I19" s="132">
        <v>0</v>
      </c>
      <c r="J19" s="133">
        <f t="shared" si="0"/>
        <v>0</v>
      </c>
      <c r="K19" s="584"/>
    </row>
    <row r="20" spans="1:11" ht="12.75">
      <c r="A20" s="129"/>
      <c r="B20" s="129" t="s">
        <v>145</v>
      </c>
      <c r="C20" s="1032" t="s">
        <v>146</v>
      </c>
      <c r="D20" s="1033"/>
      <c r="E20" s="1034"/>
      <c r="F20" s="132">
        <f>SUM(F21:F22)</f>
        <v>2942222</v>
      </c>
      <c r="G20" s="132">
        <f>SUM(G21:G22)</f>
        <v>0</v>
      </c>
      <c r="H20" s="132">
        <f>SUM(H21:H22)</f>
        <v>0</v>
      </c>
      <c r="I20" s="132">
        <f>SUM(I21:I22)</f>
        <v>0</v>
      </c>
      <c r="J20" s="133">
        <f t="shared" si="0"/>
        <v>2942222</v>
      </c>
      <c r="K20" s="584"/>
    </row>
    <row r="21" spans="1:11" ht="12.75">
      <c r="A21" s="135"/>
      <c r="B21" s="135"/>
      <c r="C21" s="135"/>
      <c r="D21" s="1032" t="s">
        <v>606</v>
      </c>
      <c r="E21" s="1034"/>
      <c r="F21" s="136">
        <v>1500000</v>
      </c>
      <c r="G21" s="136">
        <v>0</v>
      </c>
      <c r="H21" s="136">
        <v>0</v>
      </c>
      <c r="I21" s="136">
        <v>0</v>
      </c>
      <c r="J21" s="133">
        <f t="shared" si="0"/>
        <v>1500000</v>
      </c>
      <c r="K21" s="584"/>
    </row>
    <row r="22" spans="1:11" s="137" customFormat="1" ht="12.75">
      <c r="A22" s="135"/>
      <c r="B22" s="135"/>
      <c r="C22" s="135"/>
      <c r="D22" s="1032" t="s">
        <v>605</v>
      </c>
      <c r="E22" s="1034"/>
      <c r="F22" s="136">
        <v>1442222</v>
      </c>
      <c r="G22" s="136">
        <v>0</v>
      </c>
      <c r="H22" s="136">
        <v>0</v>
      </c>
      <c r="I22" s="136">
        <v>0</v>
      </c>
      <c r="J22" s="133">
        <f t="shared" si="0"/>
        <v>1442222</v>
      </c>
      <c r="K22" s="584"/>
    </row>
    <row r="23" spans="1:11" ht="12" customHeight="1">
      <c r="A23" s="146" t="s">
        <v>147</v>
      </c>
      <c r="B23" s="1013" t="s">
        <v>148</v>
      </c>
      <c r="C23" s="1014"/>
      <c r="D23" s="1014"/>
      <c r="E23" s="1015"/>
      <c r="F23" s="133">
        <f>SUM(F58+F45+F46+F47+F43+F42+F41+F40+F29+F28+F27+F26+F24+F25)</f>
        <v>248515765</v>
      </c>
      <c r="G23" s="133">
        <f>SUM(G58+G45+G46+G47+G43+G42+G41+G40+G29+G28+G27+G26+G24+G25)</f>
        <v>0</v>
      </c>
      <c r="H23" s="133">
        <f>SUM(H58+H45+H46+H47+H43+H42+H41+H40+H29+H28+H27+H26+H24+H25)</f>
        <v>0</v>
      </c>
      <c r="I23" s="133">
        <f>SUM(I58+I45+I46+I47+I43+I42+I41+I40+I29+I28+I27+I26+I24+I25)</f>
        <v>0</v>
      </c>
      <c r="J23" s="133">
        <f t="shared" si="0"/>
        <v>248515765</v>
      </c>
      <c r="K23" s="584"/>
    </row>
    <row r="24" spans="1:11" ht="6" customHeight="1" hidden="1">
      <c r="A24" s="135"/>
      <c r="B24" s="135"/>
      <c r="C24" s="135" t="s">
        <v>149</v>
      </c>
      <c r="D24" s="135" t="s">
        <v>150</v>
      </c>
      <c r="E24" s="135"/>
      <c r="F24" s="136">
        <v>0</v>
      </c>
      <c r="G24" s="136">
        <v>0</v>
      </c>
      <c r="H24" s="136">
        <v>0</v>
      </c>
      <c r="I24" s="136">
        <v>0</v>
      </c>
      <c r="J24" s="147">
        <f t="shared" si="0"/>
        <v>0</v>
      </c>
      <c r="K24" s="585"/>
    </row>
    <row r="25" spans="1:11" ht="15" customHeight="1">
      <c r="A25" s="135"/>
      <c r="B25" s="135"/>
      <c r="C25" s="135" t="s">
        <v>151</v>
      </c>
      <c r="D25" s="135" t="s">
        <v>152</v>
      </c>
      <c r="E25" s="135"/>
      <c r="F25" s="136">
        <f>34037935+66110+32640+20906574+24160</f>
        <v>55067419</v>
      </c>
      <c r="G25" s="136">
        <v>0</v>
      </c>
      <c r="H25" s="136">
        <v>0</v>
      </c>
      <c r="I25" s="136">
        <v>0</v>
      </c>
      <c r="J25" s="147">
        <f t="shared" si="0"/>
        <v>55067419</v>
      </c>
      <c r="K25" s="585"/>
    </row>
    <row r="26" spans="1:11" ht="12.75" hidden="1">
      <c r="A26" s="135"/>
      <c r="B26" s="135"/>
      <c r="C26" s="135" t="s">
        <v>153</v>
      </c>
      <c r="D26" s="1019" t="s">
        <v>154</v>
      </c>
      <c r="E26" s="1020"/>
      <c r="F26" s="136">
        <v>0</v>
      </c>
      <c r="G26" s="136">
        <v>0</v>
      </c>
      <c r="H26" s="136">
        <v>0</v>
      </c>
      <c r="I26" s="136">
        <v>0</v>
      </c>
      <c r="J26" s="147">
        <f t="shared" si="0"/>
        <v>0</v>
      </c>
      <c r="K26" s="585"/>
    </row>
    <row r="27" spans="1:11" ht="12.75" hidden="1">
      <c r="A27" s="135"/>
      <c r="B27" s="135"/>
      <c r="C27" s="135" t="s">
        <v>155</v>
      </c>
      <c r="D27" s="1019" t="s">
        <v>156</v>
      </c>
      <c r="E27" s="1020"/>
      <c r="F27" s="136">
        <v>0</v>
      </c>
      <c r="G27" s="136">
        <v>0</v>
      </c>
      <c r="H27" s="136">
        <v>0</v>
      </c>
      <c r="I27" s="136">
        <v>0</v>
      </c>
      <c r="J27" s="147">
        <f t="shared" si="0"/>
        <v>0</v>
      </c>
      <c r="K27" s="585"/>
    </row>
    <row r="28" spans="1:11" ht="12.75" hidden="1">
      <c r="A28" s="135"/>
      <c r="B28" s="135"/>
      <c r="C28" s="135" t="s">
        <v>177</v>
      </c>
      <c r="D28" s="1019" t="s">
        <v>178</v>
      </c>
      <c r="E28" s="1020"/>
      <c r="F28" s="136">
        <v>0</v>
      </c>
      <c r="G28" s="136">
        <v>0</v>
      </c>
      <c r="H28" s="136">
        <v>0</v>
      </c>
      <c r="I28" s="136">
        <v>0</v>
      </c>
      <c r="J28" s="147">
        <f t="shared" si="0"/>
        <v>0</v>
      </c>
      <c r="K28" s="585"/>
    </row>
    <row r="29" spans="1:11" ht="12.75" hidden="1">
      <c r="A29" s="135"/>
      <c r="B29" s="135"/>
      <c r="C29" s="135" t="s">
        <v>179</v>
      </c>
      <c r="D29" s="1019" t="s">
        <v>180</v>
      </c>
      <c r="E29" s="1020"/>
      <c r="F29" s="136">
        <f>SUM(F30:F39)</f>
        <v>0</v>
      </c>
      <c r="G29" s="136">
        <f>SUM(G30:G39)</f>
        <v>0</v>
      </c>
      <c r="H29" s="136">
        <f>SUM(H30:H39)</f>
        <v>0</v>
      </c>
      <c r="I29" s="136">
        <f>SUM(I30:I39)</f>
        <v>0</v>
      </c>
      <c r="J29" s="147">
        <f t="shared" si="0"/>
        <v>0</v>
      </c>
      <c r="K29" s="585"/>
    </row>
    <row r="30" spans="1:11" ht="12.75" hidden="1">
      <c r="A30" s="148"/>
      <c r="B30" s="148"/>
      <c r="C30" s="149" t="s">
        <v>2</v>
      </c>
      <c r="D30" s="149" t="s">
        <v>157</v>
      </c>
      <c r="E30" s="149" t="s">
        <v>158</v>
      </c>
      <c r="F30" s="150">
        <v>0</v>
      </c>
      <c r="G30" s="150">
        <v>0</v>
      </c>
      <c r="H30" s="150">
        <v>0</v>
      </c>
      <c r="I30" s="150">
        <v>0</v>
      </c>
      <c r="J30" s="147">
        <f t="shared" si="0"/>
        <v>0</v>
      </c>
      <c r="K30" s="585"/>
    </row>
    <row r="31" spans="1:11" ht="12.75" hidden="1">
      <c r="A31" s="148"/>
      <c r="B31" s="148"/>
      <c r="C31" s="149"/>
      <c r="D31" s="149" t="s">
        <v>159</v>
      </c>
      <c r="E31" s="149" t="s">
        <v>160</v>
      </c>
      <c r="F31" s="150">
        <v>0</v>
      </c>
      <c r="G31" s="150">
        <v>0</v>
      </c>
      <c r="H31" s="150">
        <v>0</v>
      </c>
      <c r="I31" s="150">
        <v>0</v>
      </c>
      <c r="J31" s="147">
        <f t="shared" si="0"/>
        <v>0</v>
      </c>
      <c r="K31" s="585"/>
    </row>
    <row r="32" spans="1:11" ht="12.75" hidden="1">
      <c r="A32" s="148"/>
      <c r="B32" s="148"/>
      <c r="C32" s="149"/>
      <c r="D32" s="149" t="s">
        <v>161</v>
      </c>
      <c r="E32" s="149" t="s">
        <v>162</v>
      </c>
      <c r="F32" s="150">
        <v>0</v>
      </c>
      <c r="G32" s="150">
        <v>0</v>
      </c>
      <c r="H32" s="150">
        <v>0</v>
      </c>
      <c r="I32" s="150">
        <v>0</v>
      </c>
      <c r="J32" s="147">
        <f t="shared" si="0"/>
        <v>0</v>
      </c>
      <c r="K32" s="585"/>
    </row>
    <row r="33" spans="1:11" ht="12.75" hidden="1">
      <c r="A33" s="148"/>
      <c r="B33" s="148"/>
      <c r="C33" s="149"/>
      <c r="D33" s="149" t="s">
        <v>163</v>
      </c>
      <c r="E33" s="149" t="s">
        <v>164</v>
      </c>
      <c r="F33" s="150">
        <v>0</v>
      </c>
      <c r="G33" s="150">
        <v>0</v>
      </c>
      <c r="H33" s="150">
        <v>0</v>
      </c>
      <c r="I33" s="150">
        <v>0</v>
      </c>
      <c r="J33" s="147">
        <f t="shared" si="0"/>
        <v>0</v>
      </c>
      <c r="K33" s="585"/>
    </row>
    <row r="34" spans="1:11" ht="12.75" hidden="1">
      <c r="A34" s="148"/>
      <c r="B34" s="148"/>
      <c r="C34" s="149"/>
      <c r="D34" s="149" t="s">
        <v>165</v>
      </c>
      <c r="E34" s="149" t="s">
        <v>166</v>
      </c>
      <c r="F34" s="150">
        <v>0</v>
      </c>
      <c r="G34" s="150">
        <v>0</v>
      </c>
      <c r="H34" s="150">
        <v>0</v>
      </c>
      <c r="I34" s="150">
        <v>0</v>
      </c>
      <c r="J34" s="147">
        <f t="shared" si="0"/>
        <v>0</v>
      </c>
      <c r="K34" s="585"/>
    </row>
    <row r="35" spans="1:11" ht="12.75" hidden="1">
      <c r="A35" s="148"/>
      <c r="B35" s="148"/>
      <c r="C35" s="149"/>
      <c r="D35" s="149" t="s">
        <v>167</v>
      </c>
      <c r="E35" s="149" t="s">
        <v>168</v>
      </c>
      <c r="F35" s="150">
        <v>0</v>
      </c>
      <c r="G35" s="150">
        <v>0</v>
      </c>
      <c r="H35" s="150">
        <v>0</v>
      </c>
      <c r="I35" s="150">
        <v>0</v>
      </c>
      <c r="J35" s="147">
        <f t="shared" si="0"/>
        <v>0</v>
      </c>
      <c r="K35" s="585"/>
    </row>
    <row r="36" spans="1:11" ht="0.75" customHeight="1" hidden="1">
      <c r="A36" s="148"/>
      <c r="B36" s="148"/>
      <c r="C36" s="149"/>
      <c r="D36" s="149" t="s">
        <v>169</v>
      </c>
      <c r="E36" s="149" t="s">
        <v>170</v>
      </c>
      <c r="F36" s="150">
        <v>0</v>
      </c>
      <c r="G36" s="150">
        <v>0</v>
      </c>
      <c r="H36" s="150">
        <v>0</v>
      </c>
      <c r="I36" s="150">
        <v>0</v>
      </c>
      <c r="J36" s="147">
        <f t="shared" si="0"/>
        <v>0</v>
      </c>
      <c r="K36" s="585"/>
    </row>
    <row r="37" spans="1:11" ht="12.75" hidden="1">
      <c r="A37" s="148"/>
      <c r="B37" s="148"/>
      <c r="C37" s="149"/>
      <c r="D37" s="149" t="s">
        <v>171</v>
      </c>
      <c r="E37" s="149" t="s">
        <v>172</v>
      </c>
      <c r="F37" s="150">
        <v>0</v>
      </c>
      <c r="G37" s="150">
        <v>0</v>
      </c>
      <c r="H37" s="150">
        <v>0</v>
      </c>
      <c r="I37" s="150">
        <v>0</v>
      </c>
      <c r="J37" s="147">
        <f t="shared" si="0"/>
        <v>0</v>
      </c>
      <c r="K37" s="585"/>
    </row>
    <row r="38" spans="1:11" ht="12.75" hidden="1">
      <c r="A38" s="148"/>
      <c r="B38" s="148"/>
      <c r="C38" s="149"/>
      <c r="D38" s="149" t="s">
        <v>173</v>
      </c>
      <c r="E38" s="149" t="s">
        <v>174</v>
      </c>
      <c r="F38" s="150">
        <v>0</v>
      </c>
      <c r="G38" s="150">
        <v>0</v>
      </c>
      <c r="H38" s="150">
        <v>0</v>
      </c>
      <c r="I38" s="150">
        <v>0</v>
      </c>
      <c r="J38" s="147">
        <f t="shared" si="0"/>
        <v>0</v>
      </c>
      <c r="K38" s="585"/>
    </row>
    <row r="39" spans="1:11" ht="12.75" hidden="1">
      <c r="A39" s="148"/>
      <c r="B39" s="148"/>
      <c r="C39" s="149"/>
      <c r="D39" s="149" t="s">
        <v>175</v>
      </c>
      <c r="E39" s="149" t="s">
        <v>176</v>
      </c>
      <c r="F39" s="150">
        <v>0</v>
      </c>
      <c r="G39" s="150">
        <v>0</v>
      </c>
      <c r="H39" s="150">
        <v>0</v>
      </c>
      <c r="I39" s="150">
        <v>0</v>
      </c>
      <c r="J39" s="147">
        <f t="shared" si="0"/>
        <v>0</v>
      </c>
      <c r="K39" s="585"/>
    </row>
    <row r="40" spans="1:11" ht="12.75" hidden="1">
      <c r="A40" s="135"/>
      <c r="B40" s="135"/>
      <c r="C40" s="135" t="s">
        <v>181</v>
      </c>
      <c r="D40" s="1019" t="s">
        <v>182</v>
      </c>
      <c r="E40" s="1020"/>
      <c r="F40" s="136">
        <v>0</v>
      </c>
      <c r="G40" s="136">
        <v>0</v>
      </c>
      <c r="H40" s="136">
        <v>0</v>
      </c>
      <c r="I40" s="136">
        <v>0</v>
      </c>
      <c r="J40" s="147">
        <f t="shared" si="0"/>
        <v>0</v>
      </c>
      <c r="K40" s="585"/>
    </row>
    <row r="41" spans="1:11" ht="12.75" hidden="1">
      <c r="A41" s="135"/>
      <c r="B41" s="135"/>
      <c r="C41" s="135" t="s">
        <v>183</v>
      </c>
      <c r="D41" s="1019" t="s">
        <v>536</v>
      </c>
      <c r="E41" s="1020"/>
      <c r="F41" s="136">
        <v>0</v>
      </c>
      <c r="G41" s="136">
        <v>0</v>
      </c>
      <c r="H41" s="136">
        <v>0</v>
      </c>
      <c r="I41" s="136">
        <v>0</v>
      </c>
      <c r="J41" s="147">
        <f t="shared" si="0"/>
        <v>0</v>
      </c>
      <c r="K41" s="585"/>
    </row>
    <row r="42" spans="1:11" ht="12.75" hidden="1">
      <c r="A42" s="135"/>
      <c r="B42" s="135"/>
      <c r="C42" s="135" t="s">
        <v>194</v>
      </c>
      <c r="D42" s="1019" t="s">
        <v>195</v>
      </c>
      <c r="E42" s="1020"/>
      <c r="F42" s="136">
        <v>0</v>
      </c>
      <c r="G42" s="136">
        <v>0</v>
      </c>
      <c r="H42" s="136">
        <v>0</v>
      </c>
      <c r="I42" s="136">
        <v>0</v>
      </c>
      <c r="J42" s="147">
        <f t="shared" si="0"/>
        <v>0</v>
      </c>
      <c r="K42" s="585"/>
    </row>
    <row r="43" spans="1:11" ht="12.75" hidden="1">
      <c r="A43" s="135"/>
      <c r="B43" s="135"/>
      <c r="C43" s="135" t="s">
        <v>196</v>
      </c>
      <c r="D43" s="1019" t="s">
        <v>197</v>
      </c>
      <c r="E43" s="1020"/>
      <c r="F43" s="136">
        <v>0</v>
      </c>
      <c r="G43" s="136">
        <v>0</v>
      </c>
      <c r="H43" s="136">
        <v>0</v>
      </c>
      <c r="I43" s="136">
        <v>0</v>
      </c>
      <c r="J43" s="147">
        <f t="shared" si="0"/>
        <v>0</v>
      </c>
      <c r="K43" s="585"/>
    </row>
    <row r="44" spans="1:11" ht="12.75" hidden="1">
      <c r="A44" s="135"/>
      <c r="B44" s="135"/>
      <c r="C44" s="135" t="s">
        <v>198</v>
      </c>
      <c r="D44" s="1019" t="s">
        <v>578</v>
      </c>
      <c r="E44" s="1020"/>
      <c r="F44" s="136">
        <v>0</v>
      </c>
      <c r="G44" s="136">
        <v>0</v>
      </c>
      <c r="H44" s="136">
        <v>0</v>
      </c>
      <c r="I44" s="136">
        <v>0</v>
      </c>
      <c r="J44" s="147">
        <f t="shared" si="0"/>
        <v>0</v>
      </c>
      <c r="K44" s="585"/>
    </row>
    <row r="45" spans="1:11" ht="11.25" customHeight="1">
      <c r="A45" s="135"/>
      <c r="B45" s="135"/>
      <c r="C45" s="135" t="s">
        <v>965</v>
      </c>
      <c r="D45" s="1010" t="s">
        <v>964</v>
      </c>
      <c r="E45" s="1011"/>
      <c r="F45" s="136">
        <f>1055350+28922+15000</f>
        <v>1099272</v>
      </c>
      <c r="G45" s="136">
        <v>0</v>
      </c>
      <c r="H45" s="136">
        <v>0</v>
      </c>
      <c r="I45" s="136">
        <v>0</v>
      </c>
      <c r="J45" s="147">
        <f t="shared" si="0"/>
        <v>1099272</v>
      </c>
      <c r="K45" s="585"/>
    </row>
    <row r="46" spans="1:11" ht="23.25" customHeight="1">
      <c r="A46" s="135"/>
      <c r="B46" s="135"/>
      <c r="C46" s="135" t="s">
        <v>183</v>
      </c>
      <c r="D46" s="1010" t="s">
        <v>1094</v>
      </c>
      <c r="E46" s="1011"/>
      <c r="F46" s="136">
        <v>1032600</v>
      </c>
      <c r="G46" s="136"/>
      <c r="H46" s="136"/>
      <c r="I46" s="136"/>
      <c r="J46" s="147"/>
      <c r="K46" s="585"/>
    </row>
    <row r="47" spans="1:11" ht="12.75">
      <c r="A47" s="135"/>
      <c r="B47" s="135"/>
      <c r="C47" s="135" t="s">
        <v>200</v>
      </c>
      <c r="D47" s="1010" t="s">
        <v>199</v>
      </c>
      <c r="E47" s="1011"/>
      <c r="F47" s="136">
        <f>38436000+9850000+1000000+25828000+17049000+16441000+4592665+40519000-9850000-1100000-4650000-1000000+1031200+1564044+5275000+3015000+922000+1397000+2261329+1625335+100000+7100000+868+300000+3692132+2800000+4638836+7265000-3663000-760000-618000-787000-306000-619000+15000+1564044-1564044+2521000+100000</f>
        <v>175986409</v>
      </c>
      <c r="G47" s="136">
        <f>SUM(G48:G57)</f>
        <v>0</v>
      </c>
      <c r="H47" s="136">
        <f>SUM(H48:H57)</f>
        <v>0</v>
      </c>
      <c r="I47" s="136">
        <f>SUM(I48:I57)</f>
        <v>0</v>
      </c>
      <c r="J47" s="147">
        <f t="shared" si="0"/>
        <v>175986409</v>
      </c>
      <c r="K47" s="585"/>
    </row>
    <row r="48" spans="1:11" ht="12.75" hidden="1">
      <c r="A48" s="151"/>
      <c r="B48" s="151"/>
      <c r="C48" s="149" t="s">
        <v>2</v>
      </c>
      <c r="D48" s="200" t="s">
        <v>157</v>
      </c>
      <c r="E48" s="200" t="s">
        <v>184</v>
      </c>
      <c r="F48" s="150">
        <v>0</v>
      </c>
      <c r="G48" s="150">
        <v>0</v>
      </c>
      <c r="H48" s="150">
        <v>0</v>
      </c>
      <c r="I48" s="150">
        <v>0</v>
      </c>
      <c r="J48" s="147">
        <f t="shared" si="0"/>
        <v>0</v>
      </c>
      <c r="K48" s="585"/>
    </row>
    <row r="49" spans="1:11" ht="12.75" hidden="1">
      <c r="A49" s="151"/>
      <c r="B49" s="151"/>
      <c r="C49" s="149"/>
      <c r="D49" s="200" t="s">
        <v>159</v>
      </c>
      <c r="E49" s="200" t="s">
        <v>575</v>
      </c>
      <c r="F49" s="150">
        <v>0</v>
      </c>
      <c r="G49" s="150"/>
      <c r="H49" s="150"/>
      <c r="I49" s="150"/>
      <c r="J49" s="147">
        <f t="shared" si="0"/>
        <v>0</v>
      </c>
      <c r="K49" s="585"/>
    </row>
    <row r="50" spans="1:11" ht="12.75" hidden="1">
      <c r="A50" s="151"/>
      <c r="B50" s="151"/>
      <c r="C50" s="149"/>
      <c r="D50" s="200" t="s">
        <v>161</v>
      </c>
      <c r="E50" s="200" t="s">
        <v>185</v>
      </c>
      <c r="F50" s="150">
        <f>100000</f>
        <v>100000</v>
      </c>
      <c r="G50" s="150">
        <v>0</v>
      </c>
      <c r="H50" s="150">
        <v>0</v>
      </c>
      <c r="I50" s="150">
        <v>0</v>
      </c>
      <c r="J50" s="147">
        <f t="shared" si="0"/>
        <v>100000</v>
      </c>
      <c r="K50" s="585"/>
    </row>
    <row r="51" spans="1:11" ht="12.75" hidden="1">
      <c r="A51" s="151"/>
      <c r="B51" s="151"/>
      <c r="C51" s="149"/>
      <c r="D51" s="200" t="s">
        <v>163</v>
      </c>
      <c r="E51" s="200" t="s">
        <v>186</v>
      </c>
      <c r="F51" s="150">
        <v>0</v>
      </c>
      <c r="G51" s="150">
        <v>0</v>
      </c>
      <c r="H51" s="150">
        <v>0</v>
      </c>
      <c r="I51" s="150">
        <v>0</v>
      </c>
      <c r="J51" s="147">
        <f t="shared" si="0"/>
        <v>0</v>
      </c>
      <c r="K51" s="585"/>
    </row>
    <row r="52" spans="1:11" ht="12.75" hidden="1">
      <c r="A52" s="151"/>
      <c r="B52" s="151"/>
      <c r="C52" s="149"/>
      <c r="D52" s="200" t="s">
        <v>165</v>
      </c>
      <c r="E52" s="200" t="s">
        <v>187</v>
      </c>
      <c r="F52" s="150">
        <v>0</v>
      </c>
      <c r="G52" s="150">
        <v>0</v>
      </c>
      <c r="H52" s="150">
        <v>0</v>
      </c>
      <c r="I52" s="150">
        <v>0</v>
      </c>
      <c r="J52" s="147">
        <f t="shared" si="0"/>
        <v>0</v>
      </c>
      <c r="K52" s="585"/>
    </row>
    <row r="53" spans="1:11" ht="12.75" hidden="1">
      <c r="A53" s="151"/>
      <c r="B53" s="151"/>
      <c r="C53" s="149"/>
      <c r="D53" s="200" t="s">
        <v>167</v>
      </c>
      <c r="E53" s="200" t="s">
        <v>188</v>
      </c>
      <c r="F53" s="150">
        <v>0</v>
      </c>
      <c r="G53" s="150">
        <v>0</v>
      </c>
      <c r="H53" s="150">
        <v>0</v>
      </c>
      <c r="I53" s="150">
        <v>0</v>
      </c>
      <c r="J53" s="147">
        <f t="shared" si="0"/>
        <v>0</v>
      </c>
      <c r="K53" s="585"/>
    </row>
    <row r="54" spans="1:11" ht="12.75" hidden="1">
      <c r="A54" s="148"/>
      <c r="B54" s="148"/>
      <c r="C54" s="149"/>
      <c r="D54" s="200" t="s">
        <v>169</v>
      </c>
      <c r="E54" s="200" t="s">
        <v>189</v>
      </c>
      <c r="F54" s="150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4" s="150">
        <v>0</v>
      </c>
      <c r="H54" s="150">
        <v>0</v>
      </c>
      <c r="I54" s="150">
        <v>0</v>
      </c>
      <c r="J54" s="147">
        <f t="shared" si="0"/>
        <v>208924042</v>
      </c>
      <c r="K54" s="585"/>
    </row>
    <row r="55" spans="1:11" ht="12.75" hidden="1">
      <c r="A55" s="148"/>
      <c r="B55" s="148"/>
      <c r="C55" s="149"/>
      <c r="D55" s="200" t="s">
        <v>171</v>
      </c>
      <c r="E55" s="200" t="s">
        <v>190</v>
      </c>
      <c r="F55" s="150">
        <f>3224350+35026110</f>
        <v>38250460</v>
      </c>
      <c r="G55" s="150">
        <v>0</v>
      </c>
      <c r="H55" s="150">
        <v>0</v>
      </c>
      <c r="I55" s="150">
        <v>0</v>
      </c>
      <c r="J55" s="147">
        <f t="shared" si="0"/>
        <v>38250460</v>
      </c>
      <c r="K55" s="585"/>
    </row>
    <row r="56" spans="1:11" ht="12.75" hidden="1">
      <c r="A56" s="151"/>
      <c r="B56" s="151"/>
      <c r="C56" s="149"/>
      <c r="D56" s="200" t="s">
        <v>173</v>
      </c>
      <c r="E56" s="200" t="s">
        <v>192</v>
      </c>
      <c r="F56" s="150">
        <v>0</v>
      </c>
      <c r="G56" s="150">
        <v>0</v>
      </c>
      <c r="H56" s="150">
        <v>0</v>
      </c>
      <c r="I56" s="150">
        <v>0</v>
      </c>
      <c r="J56" s="147">
        <f t="shared" si="0"/>
        <v>0</v>
      </c>
      <c r="K56" s="585"/>
    </row>
    <row r="57" spans="1:11" ht="12.75" hidden="1">
      <c r="A57" s="151"/>
      <c r="B57" s="151"/>
      <c r="C57" s="149"/>
      <c r="D57" s="200" t="s">
        <v>175</v>
      </c>
      <c r="E57" s="200" t="s">
        <v>193</v>
      </c>
      <c r="F57" s="150">
        <v>0</v>
      </c>
      <c r="G57" s="150">
        <v>0</v>
      </c>
      <c r="H57" s="150">
        <v>0</v>
      </c>
      <c r="I57" s="150">
        <v>0</v>
      </c>
      <c r="J57" s="147">
        <f t="shared" si="0"/>
        <v>0</v>
      </c>
      <c r="K57" s="585"/>
    </row>
    <row r="58" spans="1:11" ht="12.75">
      <c r="A58" s="151"/>
      <c r="B58" s="151"/>
      <c r="C58" s="135" t="s">
        <v>579</v>
      </c>
      <c r="D58" s="1010" t="s">
        <v>201</v>
      </c>
      <c r="E58" s="1011"/>
      <c r="F58" s="136">
        <f>SUM(F59:F67)</f>
        <v>15330065</v>
      </c>
      <c r="G58" s="136">
        <f>SUM(G59:G64)</f>
        <v>0</v>
      </c>
      <c r="H58" s="136">
        <f>SUM(H59:H64)</f>
        <v>0</v>
      </c>
      <c r="I58" s="136">
        <f>SUM(I59:I64)</f>
        <v>0</v>
      </c>
      <c r="J58" s="147">
        <f t="shared" si="0"/>
        <v>15330065</v>
      </c>
      <c r="K58" s="585"/>
    </row>
    <row r="59" spans="1:11" ht="12.75">
      <c r="A59" s="148"/>
      <c r="B59" s="148"/>
      <c r="C59" s="152" t="s">
        <v>2</v>
      </c>
      <c r="D59" s="153"/>
      <c r="E59" s="154" t="s">
        <v>419</v>
      </c>
      <c r="F59" s="150">
        <f>1000000-250000</f>
        <v>750000</v>
      </c>
      <c r="G59" s="150">
        <v>0</v>
      </c>
      <c r="H59" s="150">
        <v>0</v>
      </c>
      <c r="I59" s="150">
        <v>0</v>
      </c>
      <c r="J59" s="147">
        <f t="shared" si="0"/>
        <v>750000</v>
      </c>
      <c r="K59" s="585"/>
    </row>
    <row r="60" spans="1:11" ht="12.75" hidden="1">
      <c r="A60" s="148"/>
      <c r="B60" s="148"/>
      <c r="C60" s="149"/>
      <c r="D60" s="153"/>
      <c r="E60" s="154" t="s">
        <v>456</v>
      </c>
      <c r="F60" s="150">
        <f>1000000-63500-68000-30000-90000-146050-190500-150000-261950</f>
        <v>0</v>
      </c>
      <c r="G60" s="150">
        <v>0</v>
      </c>
      <c r="H60" s="150">
        <v>0</v>
      </c>
      <c r="I60" s="150">
        <v>0</v>
      </c>
      <c r="J60" s="147">
        <f t="shared" si="0"/>
        <v>0</v>
      </c>
      <c r="K60" s="585"/>
    </row>
    <row r="61" spans="1:11" ht="12.75">
      <c r="A61" s="148"/>
      <c r="B61" s="148"/>
      <c r="C61" s="149"/>
      <c r="D61" s="153"/>
      <c r="E61" s="154" t="s">
        <v>691</v>
      </c>
      <c r="F61" s="150">
        <f>495000+553029</f>
        <v>1048029</v>
      </c>
      <c r="G61" s="150">
        <v>0</v>
      </c>
      <c r="H61" s="150">
        <v>0</v>
      </c>
      <c r="I61" s="150">
        <v>0</v>
      </c>
      <c r="J61" s="147">
        <f t="shared" si="0"/>
        <v>1048029</v>
      </c>
      <c r="K61" s="585"/>
    </row>
    <row r="62" spans="1:11" ht="22.5" hidden="1">
      <c r="A62" s="148"/>
      <c r="B62" s="148"/>
      <c r="C62" s="149"/>
      <c r="D62" s="153"/>
      <c r="E62" s="583" t="s">
        <v>771</v>
      </c>
      <c r="F62" s="789">
        <f>23433000-20000000-1576197-1055350-288050-513403</f>
        <v>0</v>
      </c>
      <c r="G62" s="789"/>
      <c r="H62" s="789"/>
      <c r="I62" s="789"/>
      <c r="J62" s="147">
        <f t="shared" si="0"/>
        <v>0</v>
      </c>
      <c r="K62" s="585"/>
    </row>
    <row r="63" spans="1:11" ht="22.5">
      <c r="A63" s="148"/>
      <c r="B63" s="148"/>
      <c r="C63" s="149"/>
      <c r="D63" s="153"/>
      <c r="E63" s="583" t="s">
        <v>1186</v>
      </c>
      <c r="F63" s="789">
        <v>8004000</v>
      </c>
      <c r="G63" s="789">
        <v>0</v>
      </c>
      <c r="H63" s="789">
        <v>0</v>
      </c>
      <c r="I63" s="789">
        <v>0</v>
      </c>
      <c r="J63" s="147">
        <f t="shared" si="0"/>
        <v>8004000</v>
      </c>
      <c r="K63" s="585"/>
    </row>
    <row r="64" spans="1:11" ht="27.75" customHeight="1">
      <c r="A64" s="148"/>
      <c r="B64" s="148"/>
      <c r="C64" s="149"/>
      <c r="D64" s="153"/>
      <c r="E64" s="791" t="s">
        <v>918</v>
      </c>
      <c r="F64" s="789">
        <f>5000000-1269600+3500000-3749167-2585716</f>
        <v>895517</v>
      </c>
      <c r="G64" s="789">
        <v>0</v>
      </c>
      <c r="H64" s="789">
        <v>0</v>
      </c>
      <c r="I64" s="789">
        <v>0</v>
      </c>
      <c r="J64" s="790">
        <f t="shared" si="0"/>
        <v>895517</v>
      </c>
      <c r="K64" s="585"/>
    </row>
    <row r="65" spans="1:11" ht="15.75" customHeight="1">
      <c r="A65" s="148"/>
      <c r="B65" s="148"/>
      <c r="C65" s="149"/>
      <c r="D65" s="153"/>
      <c r="E65" s="791" t="s">
        <v>966</v>
      </c>
      <c r="F65" s="789">
        <f>4176519+456000</f>
        <v>4632519</v>
      </c>
      <c r="G65" s="789">
        <v>0</v>
      </c>
      <c r="H65" s="789">
        <v>0</v>
      </c>
      <c r="I65" s="789">
        <v>0</v>
      </c>
      <c r="J65" s="790">
        <f t="shared" si="0"/>
        <v>4632519</v>
      </c>
      <c r="K65" s="585"/>
    </row>
    <row r="66" spans="1:11" ht="18" customHeight="1" hidden="1">
      <c r="A66" s="148"/>
      <c r="B66" s="148"/>
      <c r="C66" s="149"/>
      <c r="D66" s="153"/>
      <c r="E66" s="791" t="s">
        <v>955</v>
      </c>
      <c r="F66" s="789">
        <f>59808757-7679730-553029-602617-1492000-8045171-7935168-4176519-28922-20906574-217072-8171955</f>
        <v>0</v>
      </c>
      <c r="G66" s="789"/>
      <c r="H66" s="789"/>
      <c r="I66" s="789"/>
      <c r="J66" s="790">
        <f t="shared" si="0"/>
        <v>0</v>
      </c>
      <c r="K66" s="585"/>
    </row>
    <row r="67" spans="1:11" ht="17.25" customHeight="1" hidden="1">
      <c r="A67" s="148"/>
      <c r="B67" s="148"/>
      <c r="C67" s="149"/>
      <c r="D67" s="153"/>
      <c r="E67" s="791" t="s">
        <v>958</v>
      </c>
      <c r="F67" s="789">
        <f>9782649-6323709-100000-3358940</f>
        <v>0</v>
      </c>
      <c r="G67" s="789"/>
      <c r="H67" s="789"/>
      <c r="I67" s="789"/>
      <c r="J67" s="790">
        <f t="shared" si="0"/>
        <v>0</v>
      </c>
      <c r="K67" s="585"/>
    </row>
    <row r="68" spans="1:11" ht="12" customHeight="1">
      <c r="A68" s="146" t="s">
        <v>129</v>
      </c>
      <c r="B68" s="1013" t="s">
        <v>363</v>
      </c>
      <c r="C68" s="1014"/>
      <c r="D68" s="1014"/>
      <c r="E68" s="1015"/>
      <c r="F68" s="133">
        <f>264185263+12223750+525300+8644085+335750+76200+15576620+10986734-11201400+495250+151044+299888+1846997+8983129+120000+2497100+30000+150000+235153+233830+73660+1920000+106200000+807720+3055442+2893619+2316859-243600+15+152400+387985+200000+197100+49530-49530+1595000+5715000+103900+242642019-242642019+3832400-3832400+17861888-17861888+8983129-8983129+2497100-2497100+192470000+830000+29000+5990+914+25400+1250000+6000000+250000+411888112+19999984+9980698-15606966+484397+63436+1753187-1920000+831000-831000+10986749-10986749+913285-913285-2497100</f>
        <v>1066776845</v>
      </c>
      <c r="G68" s="133">
        <f>1229404+1269600+2585716+3749167</f>
        <v>8833887</v>
      </c>
      <c r="H68" s="133">
        <f>304800+1687190+2412553+152273+151629+84541+195000+79900+123070+198285-39190+768772+76969+35900+72282+18000+16-16</f>
        <v>6321974</v>
      </c>
      <c r="I68" s="133">
        <v>51440</v>
      </c>
      <c r="J68" s="133">
        <f t="shared" si="0"/>
        <v>1081984146</v>
      </c>
      <c r="K68" s="584"/>
    </row>
    <row r="69" spans="1:11" ht="12.75">
      <c r="A69" s="146" t="s">
        <v>131</v>
      </c>
      <c r="B69" s="1013" t="s">
        <v>130</v>
      </c>
      <c r="C69" s="1014"/>
      <c r="D69" s="1014"/>
      <c r="E69" s="1015"/>
      <c r="F69" s="133">
        <f>6310000-3810000+508000+17634204+389000+2606050+22279919+850900+3000000+5000000+6528562+1576197+95000000+29947750-387985+900000-900000-197100-545000-444500+97606050-97606050+2500000-2500000+6528562-6528562+47500000-389000-3969604+1907772+23130819-23130819</f>
        <v>231295165</v>
      </c>
      <c r="G69" s="133">
        <v>0</v>
      </c>
      <c r="H69" s="133">
        <f>700924+49430</f>
        <v>750354</v>
      </c>
      <c r="I69" s="133">
        <v>0</v>
      </c>
      <c r="J69" s="133">
        <f t="shared" si="0"/>
        <v>232045519</v>
      </c>
      <c r="K69" s="584"/>
    </row>
    <row r="70" spans="1:11" ht="12.75">
      <c r="A70" s="146" t="s">
        <v>133</v>
      </c>
      <c r="B70" s="1013" t="s">
        <v>132</v>
      </c>
      <c r="C70" s="1014"/>
      <c r="D70" s="1014"/>
      <c r="E70" s="1015"/>
      <c r="F70" s="133">
        <f>SUM(F71:F79)</f>
        <v>18530987</v>
      </c>
      <c r="G70" s="133">
        <f>SUM(G71:G79)</f>
        <v>0</v>
      </c>
      <c r="H70" s="133">
        <f>SUM(H71:H79)</f>
        <v>0</v>
      </c>
      <c r="I70" s="133">
        <f>SUM(I71:I79)</f>
        <v>0</v>
      </c>
      <c r="J70" s="133">
        <f t="shared" si="0"/>
        <v>18530987</v>
      </c>
      <c r="K70" s="584"/>
    </row>
    <row r="71" spans="1:11" ht="12.75" hidden="1">
      <c r="A71" s="129"/>
      <c r="B71" s="129" t="s">
        <v>203</v>
      </c>
      <c r="C71" s="1012" t="s">
        <v>204</v>
      </c>
      <c r="D71" s="1012"/>
      <c r="E71" s="1012"/>
      <c r="F71" s="132">
        <v>0</v>
      </c>
      <c r="G71" s="132">
        <v>0</v>
      </c>
      <c r="H71" s="132">
        <v>0</v>
      </c>
      <c r="I71" s="132">
        <v>0</v>
      </c>
      <c r="J71" s="133">
        <f t="shared" si="0"/>
        <v>0</v>
      </c>
      <c r="K71" s="584"/>
    </row>
    <row r="72" spans="1:11" ht="12.75" hidden="1">
      <c r="A72" s="129"/>
      <c r="B72" s="129" t="s">
        <v>205</v>
      </c>
      <c r="C72" s="1012" t="s">
        <v>206</v>
      </c>
      <c r="D72" s="1012"/>
      <c r="E72" s="1012"/>
      <c r="F72" s="132">
        <v>0</v>
      </c>
      <c r="G72" s="132">
        <v>0</v>
      </c>
      <c r="H72" s="132">
        <v>0</v>
      </c>
      <c r="I72" s="132">
        <v>0</v>
      </c>
      <c r="J72" s="133">
        <f t="shared" si="0"/>
        <v>0</v>
      </c>
      <c r="K72" s="584"/>
    </row>
    <row r="73" spans="1:11" ht="12.75" hidden="1">
      <c r="A73" s="129" t="s">
        <v>202</v>
      </c>
      <c r="B73" s="129" t="s">
        <v>207</v>
      </c>
      <c r="C73" s="1012" t="s">
        <v>208</v>
      </c>
      <c r="D73" s="1012"/>
      <c r="E73" s="1012"/>
      <c r="F73" s="132">
        <v>0</v>
      </c>
      <c r="G73" s="132">
        <v>0</v>
      </c>
      <c r="H73" s="132">
        <v>0</v>
      </c>
      <c r="I73" s="132">
        <v>0</v>
      </c>
      <c r="J73" s="133">
        <f t="shared" si="0"/>
        <v>0</v>
      </c>
      <c r="K73" s="584"/>
    </row>
    <row r="74" spans="1:11" ht="12.75" hidden="1">
      <c r="A74" s="129"/>
      <c r="B74" s="129" t="s">
        <v>209</v>
      </c>
      <c r="C74" s="1012" t="s">
        <v>210</v>
      </c>
      <c r="D74" s="1012"/>
      <c r="E74" s="1012"/>
      <c r="F74" s="132">
        <v>0</v>
      </c>
      <c r="G74" s="132">
        <v>0</v>
      </c>
      <c r="H74" s="132">
        <v>0</v>
      </c>
      <c r="I74" s="132">
        <v>0</v>
      </c>
      <c r="J74" s="133">
        <f t="shared" si="0"/>
        <v>0</v>
      </c>
      <c r="K74" s="584"/>
    </row>
    <row r="75" spans="1:11" ht="12.75" hidden="1">
      <c r="A75" s="129"/>
      <c r="B75" s="129" t="s">
        <v>211</v>
      </c>
      <c r="C75" s="1012" t="s">
        <v>212</v>
      </c>
      <c r="D75" s="1012"/>
      <c r="E75" s="1012"/>
      <c r="F75" s="132">
        <v>0</v>
      </c>
      <c r="G75" s="132">
        <v>0</v>
      </c>
      <c r="H75" s="132">
        <v>0</v>
      </c>
      <c r="I75" s="132">
        <v>0</v>
      </c>
      <c r="J75" s="133">
        <f t="shared" si="0"/>
        <v>0</v>
      </c>
      <c r="K75" s="584"/>
    </row>
    <row r="76" spans="1:11" ht="12.75" hidden="1">
      <c r="A76" s="129"/>
      <c r="B76" s="129" t="s">
        <v>213</v>
      </c>
      <c r="C76" s="1012" t="s">
        <v>214</v>
      </c>
      <c r="D76" s="1012"/>
      <c r="E76" s="1012"/>
      <c r="F76" s="132">
        <v>0</v>
      </c>
      <c r="G76" s="132">
        <v>0</v>
      </c>
      <c r="H76" s="132">
        <v>0</v>
      </c>
      <c r="I76" s="132">
        <v>0</v>
      </c>
      <c r="J76" s="133">
        <f t="shared" si="0"/>
        <v>0</v>
      </c>
      <c r="K76" s="584"/>
    </row>
    <row r="77" spans="1:11" ht="12.75" hidden="1">
      <c r="A77" s="129"/>
      <c r="B77" s="129" t="s">
        <v>215</v>
      </c>
      <c r="C77" s="1012" t="s">
        <v>216</v>
      </c>
      <c r="D77" s="1012"/>
      <c r="E77" s="1012"/>
      <c r="F77" s="132">
        <v>0</v>
      </c>
      <c r="G77" s="132">
        <v>0</v>
      </c>
      <c r="H77" s="132">
        <v>0</v>
      </c>
      <c r="I77" s="132">
        <v>0</v>
      </c>
      <c r="J77" s="133">
        <f>SUM(F77:I77)</f>
        <v>0</v>
      </c>
      <c r="K77" s="584"/>
    </row>
    <row r="78" spans="1:11" ht="12.75" hidden="1">
      <c r="A78" s="129"/>
      <c r="B78" s="129" t="s">
        <v>217</v>
      </c>
      <c r="C78" s="1012" t="s">
        <v>581</v>
      </c>
      <c r="D78" s="1012"/>
      <c r="E78" s="1012"/>
      <c r="F78" s="132">
        <v>0</v>
      </c>
      <c r="G78" s="132">
        <v>0</v>
      </c>
      <c r="H78" s="132">
        <v>0</v>
      </c>
      <c r="I78" s="132">
        <v>0</v>
      </c>
      <c r="J78" s="133">
        <f>SUM(F78:I78)</f>
        <v>0</v>
      </c>
      <c r="K78" s="584"/>
    </row>
    <row r="79" spans="1:11" ht="12.75">
      <c r="A79" s="129"/>
      <c r="B79" s="129" t="s">
        <v>580</v>
      </c>
      <c r="C79" s="1012" t="s">
        <v>690</v>
      </c>
      <c r="D79" s="1012"/>
      <c r="E79" s="1012"/>
      <c r="F79" s="132">
        <f>449520+1159500+18081467-1159500</f>
        <v>18530987</v>
      </c>
      <c r="G79" s="132">
        <v>0</v>
      </c>
      <c r="H79" s="132">
        <v>0</v>
      </c>
      <c r="I79" s="132">
        <v>0</v>
      </c>
      <c r="J79" s="133">
        <f>SUM(F79:I79)</f>
        <v>18530987</v>
      </c>
      <c r="K79" s="584"/>
    </row>
    <row r="80" spans="1:11" ht="12.75">
      <c r="A80" s="146" t="s">
        <v>135</v>
      </c>
      <c r="B80" s="1013" t="s">
        <v>134</v>
      </c>
      <c r="C80" s="1014"/>
      <c r="D80" s="1014"/>
      <c r="E80" s="1015"/>
      <c r="F80" s="133">
        <f>18041236+17347428</f>
        <v>35388664</v>
      </c>
      <c r="G80" s="133">
        <v>0</v>
      </c>
      <c r="H80" s="133">
        <v>0</v>
      </c>
      <c r="I80" s="133">
        <v>0</v>
      </c>
      <c r="J80" s="133">
        <f>SUM(F80:I80)</f>
        <v>35388664</v>
      </c>
      <c r="K80" s="584"/>
    </row>
    <row r="81" spans="1:10" ht="12.75">
      <c r="A81" s="155"/>
      <c r="B81" s="156"/>
      <c r="C81" s="156"/>
      <c r="D81" s="156"/>
      <c r="E81" s="156"/>
      <c r="F81" s="157"/>
      <c r="G81" s="158"/>
      <c r="H81" s="158"/>
      <c r="I81" s="158"/>
      <c r="J81" s="159"/>
    </row>
    <row r="82" spans="1:10" ht="15.75">
      <c r="A82" s="1016" t="s">
        <v>218</v>
      </c>
      <c r="B82" s="1017"/>
      <c r="C82" s="1017"/>
      <c r="D82" s="1017"/>
      <c r="E82" s="1018"/>
      <c r="F82" s="160">
        <f>SUM(F7+F8+F9+F10+F23+F68+F69+F70+F80)</f>
        <v>2340248624</v>
      </c>
      <c r="G82" s="160">
        <f>SUM(G7+G8+G9+G10+G23+G68+G69+G70+G80)</f>
        <v>140984894</v>
      </c>
      <c r="H82" s="160">
        <f>SUM(H7+H8+H9+H10+H23+H68+H69+H70+H80)</f>
        <v>290969851</v>
      </c>
      <c r="I82" s="160">
        <f>SUM(I7+I8+I9+I10+I23+I68+I69+I70+I80)</f>
        <v>6326877</v>
      </c>
      <c r="J82" s="160">
        <f>SUM(J7+J8+J9+J10+J23+J68+J69+J70+J80)</f>
        <v>2778530246</v>
      </c>
    </row>
  </sheetData>
  <sheetProtection/>
  <mergeCells count="47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1:J1"/>
    <mergeCell ref="A3:J3"/>
    <mergeCell ref="A5:E5"/>
    <mergeCell ref="B6:E6"/>
    <mergeCell ref="B7:E7"/>
    <mergeCell ref="C12:E12"/>
    <mergeCell ref="C11:E1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70:E70"/>
    <mergeCell ref="C71:E71"/>
    <mergeCell ref="C72:E72"/>
    <mergeCell ref="B69:E69"/>
    <mergeCell ref="D47:E47"/>
    <mergeCell ref="D58:E58"/>
    <mergeCell ref="B68:E68"/>
    <mergeCell ref="D46:E46"/>
    <mergeCell ref="C79:E79"/>
    <mergeCell ref="B80:E80"/>
    <mergeCell ref="A82:E82"/>
    <mergeCell ref="C73:E73"/>
    <mergeCell ref="C74:E74"/>
    <mergeCell ref="C75:E75"/>
    <mergeCell ref="C76:E76"/>
    <mergeCell ref="C77:E77"/>
    <mergeCell ref="C78:E78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61"/>
  <sheetViews>
    <sheetView zoomScalePageLayoutView="0" workbookViewId="0" topLeftCell="C1">
      <selection activeCell="B2" sqref="B2:I2"/>
    </sheetView>
  </sheetViews>
  <sheetFormatPr defaultColWidth="9.00390625" defaultRowHeight="12.75"/>
  <cols>
    <col min="1" max="1" width="4.125" style="83" bestFit="1" customWidth="1"/>
    <col min="2" max="2" width="55.125" style="36" bestFit="1" customWidth="1"/>
    <col min="3" max="5" width="13.375" style="36" bestFit="1" customWidth="1"/>
    <col min="6" max="6" width="53.875" style="36" bestFit="1" customWidth="1"/>
    <col min="7" max="9" width="14.125" style="36" bestFit="1" customWidth="1"/>
    <col min="10" max="16384" width="9.125" style="36" customWidth="1"/>
  </cols>
  <sheetData>
    <row r="1" spans="6:10" ht="12.75" customHeight="1">
      <c r="F1" s="1038" t="s">
        <v>1251</v>
      </c>
      <c r="G1" s="1039"/>
      <c r="H1" s="1039"/>
      <c r="I1" s="1039"/>
      <c r="J1" s="76"/>
    </row>
    <row r="2" spans="2:9" ht="15.75">
      <c r="B2" s="1040" t="s">
        <v>773</v>
      </c>
      <c r="C2" s="1040"/>
      <c r="D2" s="1040"/>
      <c r="E2" s="1040"/>
      <c r="F2" s="1040"/>
      <c r="G2" s="1040"/>
      <c r="H2" s="1040"/>
      <c r="I2" s="1040"/>
    </row>
    <row r="3" ht="8.25" customHeight="1"/>
    <row r="4" spans="1:9" s="37" customFormat="1" ht="15" customHeight="1">
      <c r="A4" s="1042" t="s">
        <v>426</v>
      </c>
      <c r="B4" s="1041" t="s">
        <v>432</v>
      </c>
      <c r="C4" s="1041"/>
      <c r="D4" s="1041"/>
      <c r="E4" s="1041"/>
      <c r="F4" s="1041" t="s">
        <v>358</v>
      </c>
      <c r="G4" s="1041"/>
      <c r="H4" s="1041"/>
      <c r="I4" s="1041"/>
    </row>
    <row r="5" spans="1:9" s="40" customFormat="1" ht="14.25">
      <c r="A5" s="1042"/>
      <c r="B5" s="38" t="s">
        <v>357</v>
      </c>
      <c r="C5" s="39" t="s">
        <v>350</v>
      </c>
      <c r="D5" s="39" t="s">
        <v>349</v>
      </c>
      <c r="E5" s="39" t="s">
        <v>415</v>
      </c>
      <c r="F5" s="38" t="s">
        <v>357</v>
      </c>
      <c r="G5" s="39" t="s">
        <v>350</v>
      </c>
      <c r="H5" s="39" t="s">
        <v>349</v>
      </c>
      <c r="I5" s="39" t="s">
        <v>415</v>
      </c>
    </row>
    <row r="6" spans="1:9" s="82" customFormat="1" ht="12">
      <c r="A6" s="1042"/>
      <c r="B6" s="81" t="s">
        <v>420</v>
      </c>
      <c r="C6" s="81" t="s">
        <v>421</v>
      </c>
      <c r="D6" s="81" t="s">
        <v>422</v>
      </c>
      <c r="E6" s="81" t="s">
        <v>423</v>
      </c>
      <c r="F6" s="81" t="s">
        <v>424</v>
      </c>
      <c r="G6" s="81" t="s">
        <v>425</v>
      </c>
      <c r="H6" s="81" t="s">
        <v>427</v>
      </c>
      <c r="I6" s="81" t="s">
        <v>428</v>
      </c>
    </row>
    <row r="7" spans="1:9" s="56" customFormat="1" ht="14.25">
      <c r="A7" s="81">
        <v>1</v>
      </c>
      <c r="B7" s="55" t="s">
        <v>515</v>
      </c>
      <c r="C7" s="73">
        <f>SUM(C8)</f>
        <v>1293341708</v>
      </c>
      <c r="D7" s="73">
        <f>SUM(D32,D8)</f>
        <v>1051080045</v>
      </c>
      <c r="E7" s="73">
        <f aca="true" t="shared" si="0" ref="E7:E30">SUM(C7:D7)</f>
        <v>2344421753</v>
      </c>
      <c r="F7" s="55" t="s">
        <v>516</v>
      </c>
      <c r="G7" s="73">
        <f>SUM(G8,G32)</f>
        <v>1405052894</v>
      </c>
      <c r="H7" s="73">
        <f>SUM(H8,H32)</f>
        <v>1338088688</v>
      </c>
      <c r="I7" s="73">
        <f aca="true" t="shared" si="1" ref="I7:I16">SUM(G7:H7)</f>
        <v>2743141582</v>
      </c>
    </row>
    <row r="8" spans="1:9" s="65" customFormat="1" ht="12.75">
      <c r="A8" s="84">
        <v>2</v>
      </c>
      <c r="B8" s="62" t="s">
        <v>450</v>
      </c>
      <c r="C8" s="63">
        <f>SUM(C28+C18+C13+C9)</f>
        <v>1293341708</v>
      </c>
      <c r="D8" s="63">
        <f>SUM(D28+D18+D13+D9)</f>
        <v>0</v>
      </c>
      <c r="E8" s="63">
        <f t="shared" si="0"/>
        <v>1293341708</v>
      </c>
      <c r="F8" s="64" t="s">
        <v>453</v>
      </c>
      <c r="G8" s="63">
        <f>SUM(G9:G13)</f>
        <v>1405052894</v>
      </c>
      <c r="H8" s="63">
        <f>SUM(H9:H13)</f>
        <v>5528036</v>
      </c>
      <c r="I8" s="63">
        <f t="shared" si="1"/>
        <v>1410580930</v>
      </c>
    </row>
    <row r="9" spans="1:9" s="43" customFormat="1" ht="12.75">
      <c r="A9" s="84">
        <v>3</v>
      </c>
      <c r="B9" s="71" t="s">
        <v>15</v>
      </c>
      <c r="C9" s="52">
        <f>SUM(C10:C12)</f>
        <v>1000828856</v>
      </c>
      <c r="D9" s="52">
        <v>0</v>
      </c>
      <c r="E9" s="52">
        <f t="shared" si="0"/>
        <v>1000828856</v>
      </c>
      <c r="F9" s="72" t="s">
        <v>454</v>
      </c>
      <c r="G9" s="52">
        <f>147547916+29033148+2158500+514000+34895474+10871880+21446460+25000+2846984+16985805+80000+2168500+27145152+83641200+2428400+7343000-7297240-336000+40610080+28103985+27815502+12762600+30800+2200+385000+1420400+433600+66000+3600833+21649000+9187815+1083000+6373+34746+9375932+420000+621002+1768202+4454365+8400000-720000-2801679+757761+720000+40000-1768202-4454365-2800000+1744-3600833+10196-960000-53600+2800000-111033-38100-6000-1706079-1848079-178021+123148+16004+38100+6000-167248-16004</f>
        <v>537013324</v>
      </c>
      <c r="H9" s="52">
        <v>0</v>
      </c>
      <c r="I9" s="52">
        <f t="shared" si="1"/>
        <v>537013324</v>
      </c>
    </row>
    <row r="10" spans="1:9" s="43" customFormat="1" ht="12.75">
      <c r="A10" s="81">
        <v>4</v>
      </c>
      <c r="B10" s="49" t="s">
        <v>16</v>
      </c>
      <c r="C10" s="54">
        <f>200053809+112608900+165550125+10661310+367584+1341084+1096532+10529284+7265000+95585+30000000-824700-509480-636698-239481-40212+1824296+1948367-1798626+8004000-116754+40212+172279</f>
        <v>547392416</v>
      </c>
      <c r="D10" s="54">
        <v>0</v>
      </c>
      <c r="E10" s="54">
        <f t="shared" si="0"/>
        <v>547392416</v>
      </c>
      <c r="F10" s="72" t="s">
        <v>704</v>
      </c>
      <c r="G10" s="52">
        <f>31659765+7533426+424933+489933+6862023+1105308+2180390+4388+573827+3345516+41361+426883+6999328+15658358+478841+1437188-1422962-65520+3959404+2740077+6738701+2999211+6006+429+75075+293205+84552+12870+834330+5088000+2040168+1492000+211188-8607+914153+80000+121098+348675+867408+1656000-140400-541561+147763+140400+7020-348675-867408-546000+4668+148462+225003-834330+4151-208000-10455+546000+111033-7429-1170-694245-394284-402-23224+4691+75941+7729+1170-4691-75941-8899</f>
        <v>105003846</v>
      </c>
      <c r="H10" s="52">
        <v>0</v>
      </c>
      <c r="I10" s="52">
        <f t="shared" si="1"/>
        <v>105003846</v>
      </c>
    </row>
    <row r="11" spans="1:9" s="43" customFormat="1" ht="12.75">
      <c r="A11" s="84">
        <v>5</v>
      </c>
      <c r="B11" s="49" t="s">
        <v>702</v>
      </c>
      <c r="C11" s="54">
        <v>0</v>
      </c>
      <c r="D11" s="54">
        <v>0</v>
      </c>
      <c r="E11" s="54">
        <f t="shared" si="0"/>
        <v>0</v>
      </c>
      <c r="F11" s="72" t="s">
        <v>38</v>
      </c>
      <c r="G11" s="52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+63500+68000+90000+146050+190500+15000000+550000-235153+7679730+601200+1417+1283275+672563+95585+3300476-233830-73660+439819-152273-151629-84541-195000-79900+17240+2370+2234-198285+1100000+10976885+500000-1150000+823080-2893619+1350000-574597-700000+46939-10240+243600-15-152400-200000-5715000+444500-1054591-36480+527827+5771921+12859+10749062+66142-29000-5990-2601-23713-1250000-6000000-1048608+150000+22980-76969-35900-527827-2793033-2981388-10359+17858+40000-40000+1393900-1393900+85000-85000-718770+18090+39171+2570768+50800+2166387+102430-102430+7875000-13337603+19806671-230101-484397-63436-1907772-14347+166813-4616817+32596+4468-37064-51440+585933-2359243-2928867-2783615-1532681-1799442-186951-384524+200267-200267-72282-18000</f>
        <v>510072193</v>
      </c>
      <c r="H11" s="52">
        <v>0</v>
      </c>
      <c r="I11" s="52">
        <f t="shared" si="1"/>
        <v>510072193</v>
      </c>
    </row>
    <row r="12" spans="1:9" s="43" customFormat="1" ht="12.75">
      <c r="A12" s="84">
        <v>6</v>
      </c>
      <c r="B12" s="49" t="s">
        <v>17</v>
      </c>
      <c r="C12" s="54">
        <f>38966057+11977188+23626850+3652363+21588000+3971695+6245115+6018160+63035474+2000000+581210+46614899+38901777+88971424+32379432+1969798+17772766+43407259-8045171-7935168+1294188+37116+10976885+1100000+11113165-2893619+1407021+1011276+742100+20805062-478968-1250000+1015420+7875000-17772766+166813-6000000-11411381</f>
        <v>453436440</v>
      </c>
      <c r="D12" s="54">
        <v>0</v>
      </c>
      <c r="E12" s="54">
        <f t="shared" si="0"/>
        <v>453436440</v>
      </c>
      <c r="F12" s="72" t="s">
        <v>39</v>
      </c>
      <c r="G12" s="52">
        <f>2942222+6018160+1015420</f>
        <v>9975802</v>
      </c>
      <c r="H12" s="52">
        <v>0</v>
      </c>
      <c r="I12" s="52">
        <f t="shared" si="1"/>
        <v>9975802</v>
      </c>
    </row>
    <row r="13" spans="1:9" s="43" customFormat="1" ht="12.75">
      <c r="A13" s="81">
        <v>7</v>
      </c>
      <c r="B13" s="71" t="s">
        <v>21</v>
      </c>
      <c r="C13" s="52">
        <f>SUM(C14:C17)</f>
        <v>230116000</v>
      </c>
      <c r="D13" s="52">
        <f>SUM(D14:D17)</f>
        <v>0</v>
      </c>
      <c r="E13" s="52">
        <f t="shared" si="0"/>
        <v>230116000</v>
      </c>
      <c r="F13" s="75" t="s">
        <v>40</v>
      </c>
      <c r="G13" s="52">
        <f>SUM(G14:G18)</f>
        <v>242987729</v>
      </c>
      <c r="H13" s="52">
        <f>SUM(H14:H18)</f>
        <v>5528036</v>
      </c>
      <c r="I13" s="52">
        <f t="shared" si="1"/>
        <v>248515765</v>
      </c>
    </row>
    <row r="14" spans="1:9" s="44" customFormat="1" ht="12.75">
      <c r="A14" s="84">
        <v>8</v>
      </c>
      <c r="B14" s="49" t="s">
        <v>117</v>
      </c>
      <c r="C14" s="54">
        <f>202400000+2521000</f>
        <v>204921000</v>
      </c>
      <c r="D14" s="54">
        <v>0</v>
      </c>
      <c r="E14" s="54">
        <f t="shared" si="0"/>
        <v>204921000</v>
      </c>
      <c r="F14" s="51" t="s">
        <v>774</v>
      </c>
      <c r="G14" s="54">
        <f>34037935+66110+32640+20906574+24160</f>
        <v>55067419</v>
      </c>
      <c r="H14" s="54">
        <v>0</v>
      </c>
      <c r="I14" s="54">
        <f t="shared" si="1"/>
        <v>55067419</v>
      </c>
    </row>
    <row r="15" spans="1:9" s="44" customFormat="1" ht="12.75">
      <c r="A15" s="84">
        <v>9</v>
      </c>
      <c r="B15" s="50" t="s">
        <v>847</v>
      </c>
      <c r="C15" s="54">
        <v>50000</v>
      </c>
      <c r="D15" s="54">
        <v>0</v>
      </c>
      <c r="E15" s="54">
        <f t="shared" si="0"/>
        <v>50000</v>
      </c>
      <c r="F15" s="51" t="s">
        <v>703</v>
      </c>
      <c r="G15" s="54">
        <f>0+1032600</f>
        <v>1032600</v>
      </c>
      <c r="H15" s="54">
        <v>0</v>
      </c>
      <c r="I15" s="54">
        <f t="shared" si="1"/>
        <v>1032600</v>
      </c>
    </row>
    <row r="16" spans="1:9" s="44" customFormat="1" ht="12.75">
      <c r="A16" s="84">
        <v>10</v>
      </c>
      <c r="B16" s="50" t="s">
        <v>848</v>
      </c>
      <c r="C16" s="54">
        <v>24000000</v>
      </c>
      <c r="D16" s="54">
        <v>0</v>
      </c>
      <c r="E16" s="54">
        <f t="shared" si="0"/>
        <v>24000000</v>
      </c>
      <c r="F16" s="51" t="s">
        <v>967</v>
      </c>
      <c r="G16" s="54">
        <f>1055350+28922+15000</f>
        <v>1099272</v>
      </c>
      <c r="H16" s="54">
        <v>0</v>
      </c>
      <c r="I16" s="54">
        <f t="shared" si="1"/>
        <v>1099272</v>
      </c>
    </row>
    <row r="17" spans="1:9" s="44" customFormat="1" ht="12.75">
      <c r="A17" s="81">
        <v>11</v>
      </c>
      <c r="B17" s="49" t="s">
        <v>849</v>
      </c>
      <c r="C17" s="54">
        <v>1145000</v>
      </c>
      <c r="D17" s="54">
        <v>0</v>
      </c>
      <c r="E17" s="54">
        <f t="shared" si="0"/>
        <v>1145000</v>
      </c>
      <c r="F17" s="51" t="s">
        <v>968</v>
      </c>
      <c r="G17" s="54">
        <f>38436000+9850000+1000000+25828000+17049000+16441000+4592665+40519000-9850000-1100000-4650000-1000000+1031200+1564044+14495664+100000+18531836+7265000+4592665-4592665-3663000-760000-618000-787000-306000-619000+15000+2521000+100000</f>
        <v>175986409</v>
      </c>
      <c r="H17" s="54">
        <v>0</v>
      </c>
      <c r="I17" s="54">
        <f>SUM(G17:H17)</f>
        <v>175986409</v>
      </c>
    </row>
    <row r="18" spans="1:9" s="44" customFormat="1" ht="12.75">
      <c r="A18" s="84">
        <v>12</v>
      </c>
      <c r="B18" s="71" t="s">
        <v>22</v>
      </c>
      <c r="C18" s="52">
        <f>SUM(C19:C27)</f>
        <v>62027281</v>
      </c>
      <c r="D18" s="52">
        <f>SUM(D19:D27)</f>
        <v>0</v>
      </c>
      <c r="E18" s="52">
        <f t="shared" si="0"/>
        <v>62027281</v>
      </c>
      <c r="F18" s="51" t="s">
        <v>969</v>
      </c>
      <c r="G18" s="54">
        <f>73496000-47568000-20000000-63500-68000-30000-90000-146050-1576197-190500-150000-1055350-261950-288050+59808757+9782649-7679730+553029-553029-602617-1492000-8045171-7935168-4176519-28922-20906574-217072-8171955-6323709-100000-3358940-513403-250000+8004000</f>
        <v>9802029</v>
      </c>
      <c r="H18" s="54">
        <f>5000000+4176519-1269600+3500000+456000-3749167-2585716</f>
        <v>5528036</v>
      </c>
      <c r="I18" s="54">
        <f>SUM(G18:H18)</f>
        <v>15330065</v>
      </c>
    </row>
    <row r="19" spans="1:9" s="43" customFormat="1" ht="12.75">
      <c r="A19" s="84">
        <v>13</v>
      </c>
      <c r="B19" s="49" t="s">
        <v>582</v>
      </c>
      <c r="C19" s="54">
        <f>400000+5848600+2166387+373465</f>
        <v>8788452</v>
      </c>
      <c r="D19" s="54">
        <v>0</v>
      </c>
      <c r="E19" s="54">
        <f t="shared" si="0"/>
        <v>8788452</v>
      </c>
      <c r="F19" s="75"/>
      <c r="G19" s="52"/>
      <c r="H19" s="52"/>
      <c r="I19" s="52"/>
    </row>
    <row r="20" spans="1:9" s="43" customFormat="1" ht="12.75">
      <c r="A20" s="81">
        <v>14</v>
      </c>
      <c r="B20" s="49" t="s">
        <v>23</v>
      </c>
      <c r="C20" s="54">
        <f>14236474+4500000+250000+100559+2851094+48819+1050000+51312+2652628+70000-51312-2652628+66142+40000+1028162+179000</f>
        <v>24420250</v>
      </c>
      <c r="D20" s="54">
        <v>0</v>
      </c>
      <c r="E20" s="54">
        <f t="shared" si="0"/>
        <v>24420250</v>
      </c>
      <c r="F20" s="51"/>
      <c r="G20" s="54"/>
      <c r="H20" s="54"/>
      <c r="I20" s="54"/>
    </row>
    <row r="21" spans="1:9" s="43" customFormat="1" ht="12.75">
      <c r="A21" s="84">
        <v>15</v>
      </c>
      <c r="B21" s="49" t="s">
        <v>24</v>
      </c>
      <c r="C21" s="54">
        <f>2486532+652000+101556+3949049+360500+36960+360500-360500+585933</f>
        <v>8172530</v>
      </c>
      <c r="D21" s="54">
        <v>0</v>
      </c>
      <c r="E21" s="54">
        <f t="shared" si="0"/>
        <v>8172530</v>
      </c>
      <c r="F21" s="51"/>
      <c r="G21" s="54"/>
      <c r="H21" s="54"/>
      <c r="I21" s="54"/>
    </row>
    <row r="22" spans="1:9" s="43" customFormat="1" ht="12.75">
      <c r="A22" s="84">
        <v>16</v>
      </c>
      <c r="B22" s="49" t="s">
        <v>537</v>
      </c>
      <c r="C22" s="54">
        <f>639000+15000+67000+24160</f>
        <v>745160</v>
      </c>
      <c r="D22" s="54">
        <v>0</v>
      </c>
      <c r="E22" s="54">
        <f t="shared" si="0"/>
        <v>745160</v>
      </c>
      <c r="F22" s="51"/>
      <c r="G22" s="54"/>
      <c r="H22" s="54"/>
      <c r="I22" s="54"/>
    </row>
    <row r="23" spans="1:9" s="43" customFormat="1" ht="12.75">
      <c r="A23" s="81">
        <v>17</v>
      </c>
      <c r="B23" s="49" t="s">
        <v>25</v>
      </c>
      <c r="C23" s="54">
        <f>963355+5498780</f>
        <v>6462135</v>
      </c>
      <c r="D23" s="54">
        <v>0</v>
      </c>
      <c r="E23" s="54">
        <f t="shared" si="0"/>
        <v>6462135</v>
      </c>
      <c r="F23" s="51"/>
      <c r="G23" s="54"/>
      <c r="H23" s="54"/>
      <c r="I23" s="54"/>
    </row>
    <row r="24" spans="1:9" s="43" customFormat="1" ht="12.75">
      <c r="A24" s="84">
        <v>18</v>
      </c>
      <c r="B24" s="49" t="s">
        <v>26</v>
      </c>
      <c r="C24" s="54">
        <f>259712+551266+176040+1323000+1484671+15638+977417+27151+705130+1+13181+9979+13878+651522-13878-651522+17858+18090+10800+156763+21400</f>
        <v>5768097</v>
      </c>
      <c r="D24" s="54">
        <v>0</v>
      </c>
      <c r="E24" s="54">
        <f t="shared" si="0"/>
        <v>5768097</v>
      </c>
      <c r="F24" s="42"/>
      <c r="G24" s="54"/>
      <c r="H24" s="53"/>
      <c r="I24" s="53"/>
    </row>
    <row r="25" spans="1:9" s="43" customFormat="1" ht="12.75">
      <c r="A25" s="84">
        <v>19</v>
      </c>
      <c r="B25" s="49" t="s">
        <v>311</v>
      </c>
      <c r="C25" s="54">
        <f>0+3863162+809838+2403600</f>
        <v>7076600</v>
      </c>
      <c r="D25" s="54">
        <v>0</v>
      </c>
      <c r="E25" s="54">
        <f t="shared" si="0"/>
        <v>7076600</v>
      </c>
      <c r="F25" s="42"/>
      <c r="G25" s="54"/>
      <c r="H25" s="53"/>
      <c r="I25" s="53"/>
    </row>
    <row r="26" spans="1:9" s="43" customFormat="1" ht="12.75">
      <c r="A26" s="84">
        <v>20</v>
      </c>
      <c r="B26" s="49" t="s">
        <v>727</v>
      </c>
      <c r="C26" s="54">
        <f>3000+1</f>
        <v>3001</v>
      </c>
      <c r="D26" s="54">
        <v>0</v>
      </c>
      <c r="E26" s="54">
        <f t="shared" si="0"/>
        <v>3001</v>
      </c>
      <c r="F26" s="42"/>
      <c r="G26" s="54"/>
      <c r="H26" s="53"/>
      <c r="I26" s="53"/>
    </row>
    <row r="27" spans="1:9" s="41" customFormat="1" ht="12.75">
      <c r="A27" s="81">
        <v>21</v>
      </c>
      <c r="B27" s="49" t="s">
        <v>728</v>
      </c>
      <c r="C27" s="54">
        <f>10801933+60128-10529284+100000+158279</f>
        <v>591056</v>
      </c>
      <c r="D27" s="54">
        <v>0</v>
      </c>
      <c r="E27" s="54">
        <f t="shared" si="0"/>
        <v>591056</v>
      </c>
      <c r="F27" s="42"/>
      <c r="G27" s="53"/>
      <c r="H27" s="53"/>
      <c r="I27" s="53"/>
    </row>
    <row r="28" spans="1:9" s="41" customFormat="1" ht="12.75">
      <c r="A28" s="84">
        <v>22</v>
      </c>
      <c r="B28" s="71" t="s">
        <v>32</v>
      </c>
      <c r="C28" s="52">
        <f>SUM(C29:C30)</f>
        <v>369571</v>
      </c>
      <c r="D28" s="52">
        <v>0</v>
      </c>
      <c r="E28" s="52">
        <f t="shared" si="0"/>
        <v>369571</v>
      </c>
      <c r="F28" s="42"/>
      <c r="G28" s="53"/>
      <c r="H28" s="53"/>
      <c r="I28" s="53"/>
    </row>
    <row r="29" spans="1:9" s="41" customFormat="1" ht="12.75">
      <c r="A29" s="84">
        <v>23</v>
      </c>
      <c r="B29" s="49" t="s">
        <v>33</v>
      </c>
      <c r="C29" s="54">
        <v>0</v>
      </c>
      <c r="D29" s="54">
        <v>0</v>
      </c>
      <c r="E29" s="54">
        <f t="shared" si="0"/>
        <v>0</v>
      </c>
      <c r="F29" s="42"/>
      <c r="G29" s="53"/>
      <c r="H29" s="53"/>
      <c r="I29" s="53"/>
    </row>
    <row r="30" spans="1:9" s="41" customFormat="1" ht="12.75">
      <c r="A30" s="81">
        <v>24</v>
      </c>
      <c r="B30" s="49" t="s">
        <v>34</v>
      </c>
      <c r="C30" s="54">
        <f>302525+67046</f>
        <v>369571</v>
      </c>
      <c r="D30" s="54">
        <v>0</v>
      </c>
      <c r="E30" s="54">
        <f t="shared" si="0"/>
        <v>369571</v>
      </c>
      <c r="F30" s="42"/>
      <c r="G30" s="53"/>
      <c r="H30" s="53"/>
      <c r="I30" s="53"/>
    </row>
    <row r="31" spans="1:9" s="41" customFormat="1" ht="12.75">
      <c r="A31" s="84">
        <v>25</v>
      </c>
      <c r="B31" s="49"/>
      <c r="C31" s="54"/>
      <c r="D31" s="54"/>
      <c r="E31" s="54"/>
      <c r="F31" s="42"/>
      <c r="G31" s="53"/>
      <c r="H31" s="53"/>
      <c r="I31" s="53"/>
    </row>
    <row r="32" spans="1:9" s="65" customFormat="1" ht="12.75">
      <c r="A32" s="84">
        <v>26</v>
      </c>
      <c r="B32" s="66" t="s">
        <v>452</v>
      </c>
      <c r="C32" s="63">
        <f>SUM(C41+C36+C33)</f>
        <v>0</v>
      </c>
      <c r="D32" s="63">
        <f>SUM(D41+D36+D33)</f>
        <v>1051080045</v>
      </c>
      <c r="E32" s="63">
        <f>SUM(D32:D32)</f>
        <v>1051080045</v>
      </c>
      <c r="F32" s="64" t="s">
        <v>345</v>
      </c>
      <c r="G32" s="63">
        <f>SUM(G33:G35)</f>
        <v>0</v>
      </c>
      <c r="H32" s="63">
        <f>SUM(H33:H35)</f>
        <v>1332560652</v>
      </c>
      <c r="I32" s="63">
        <f aca="true" t="shared" si="2" ref="I32:I40">SUM(G32:H32)</f>
        <v>1332560652</v>
      </c>
    </row>
    <row r="33" spans="1:9" s="41" customFormat="1" ht="12.75">
      <c r="A33" s="81">
        <v>27</v>
      </c>
      <c r="B33" s="71" t="s">
        <v>18</v>
      </c>
      <c r="C33" s="52">
        <f>SUM(C34:C35)</f>
        <v>0</v>
      </c>
      <c r="D33" s="52">
        <f>SUM(D34:D35)</f>
        <v>1002414979</v>
      </c>
      <c r="E33" s="52">
        <f>SUM(D33:D33)</f>
        <v>1002414979</v>
      </c>
      <c r="F33" s="72" t="s">
        <v>41</v>
      </c>
      <c r="G33" s="52">
        <v>0</v>
      </c>
      <c r="H33" s="52">
        <f>304800+264185263+12223750+525300+8644085+335750+76200+15576620+10986734+1229404-11201400+495250+151044+299888+1846997+8983129+103900+120000+2497100+1687190+2412553+30000+150000+235153+233830+73660+152273+151629+84541+195000+79900+123070+1920000+139700-139700+198285+106200000+807720+3055442+2893619+1269600+2316859-39190-243600+15+152400+387985+200000+197100+1595000+5715000+103900+192470000+830000+29000+5990+914+25400+1250000+6000000+768772+76969+35900-103900+250000+411888112+19999984+9980698-2497100-15606966+484397+63436+1753187-1920000+831000-831000+10986749-10986749+913285-913285+51440+2585716+3749167+72282+18000+16-16</f>
        <v>1081984146</v>
      </c>
      <c r="I33" s="52">
        <f t="shared" si="2"/>
        <v>1081984146</v>
      </c>
    </row>
    <row r="34" spans="1:9" s="41" customFormat="1" ht="12.75">
      <c r="A34" s="84">
        <v>28</v>
      </c>
      <c r="B34" s="49" t="s">
        <v>19</v>
      </c>
      <c r="C34" s="54">
        <v>0</v>
      </c>
      <c r="D34" s="54">
        <v>29947750</v>
      </c>
      <c r="E34" s="54">
        <f aca="true" t="shared" si="3" ref="E34:E43">SUM(D34:D34)</f>
        <v>29947750</v>
      </c>
      <c r="F34" s="72" t="s">
        <v>42</v>
      </c>
      <c r="G34" s="52">
        <v>0</v>
      </c>
      <c r="H34" s="52">
        <f>6310000+508000+17634204+389000+2606050+22279919-3810000+850900+3000000+5000000+6528562+1576197+700924+95000000+49430+29947750-387985-197100-545000-444500+47500000-389000-3969604+1907772+23130819-23130819</f>
        <v>232045519</v>
      </c>
      <c r="I34" s="52">
        <f t="shared" si="2"/>
        <v>232045519</v>
      </c>
    </row>
    <row r="35" spans="1:9" s="41" customFormat="1" ht="12.75">
      <c r="A35" s="84">
        <v>29</v>
      </c>
      <c r="B35" s="49" t="s">
        <v>20</v>
      </c>
      <c r="C35" s="54">
        <v>0</v>
      </c>
      <c r="D35" s="54">
        <f>2500000+21694288+6019000+5000000+9889960+299888+1846997+15511691+2497100+1687190+841234+1920000+95000000+106200000+2893619+192470000+47500000+830000+1250000+411888112+19999984+9980698-2497100+9889960-9889960+1753187-1920000+6000000+11411381</f>
        <v>972467229</v>
      </c>
      <c r="E35" s="54">
        <f t="shared" si="3"/>
        <v>972467229</v>
      </c>
      <c r="F35" s="72" t="s">
        <v>43</v>
      </c>
      <c r="G35" s="52">
        <f>SUM(G36:G40)</f>
        <v>0</v>
      </c>
      <c r="H35" s="52">
        <f>SUM(H36:H40)</f>
        <v>18530987</v>
      </c>
      <c r="I35" s="52">
        <f t="shared" si="2"/>
        <v>18530987</v>
      </c>
    </row>
    <row r="36" spans="1:9" s="41" customFormat="1" ht="12.75">
      <c r="A36" s="81">
        <v>30</v>
      </c>
      <c r="B36" s="71" t="s">
        <v>27</v>
      </c>
      <c r="C36" s="52">
        <f>SUM(C37:C40)</f>
        <v>0</v>
      </c>
      <c r="D36" s="52">
        <f>SUM(D37:D40)</f>
        <v>15583599</v>
      </c>
      <c r="E36" s="52">
        <f t="shared" si="3"/>
        <v>15583599</v>
      </c>
      <c r="F36" s="51" t="s">
        <v>44</v>
      </c>
      <c r="G36" s="54">
        <v>0</v>
      </c>
      <c r="H36" s="54">
        <v>0</v>
      </c>
      <c r="I36" s="54">
        <f t="shared" si="2"/>
        <v>0</v>
      </c>
    </row>
    <row r="37" spans="1:9" s="41" customFormat="1" ht="12.75">
      <c r="A37" s="84">
        <v>31</v>
      </c>
      <c r="B37" s="49" t="s">
        <v>28</v>
      </c>
      <c r="C37" s="54">
        <v>0</v>
      </c>
      <c r="D37" s="54">
        <v>0</v>
      </c>
      <c r="E37" s="54">
        <f t="shared" si="3"/>
        <v>0</v>
      </c>
      <c r="F37" s="51" t="s">
        <v>45</v>
      </c>
      <c r="G37" s="54">
        <v>0</v>
      </c>
      <c r="H37" s="54">
        <v>0</v>
      </c>
      <c r="I37" s="54">
        <f t="shared" si="2"/>
        <v>0</v>
      </c>
    </row>
    <row r="38" spans="1:9" s="43" customFormat="1" ht="12.75">
      <c r="A38" s="84">
        <v>32</v>
      </c>
      <c r="B38" s="49" t="s">
        <v>29</v>
      </c>
      <c r="C38" s="54">
        <f>SUM(C39:C40)</f>
        <v>0</v>
      </c>
      <c r="D38" s="54">
        <f>62747330-3831623-848360+15172896+672563+3300476-30000000+1066203+500000-6753000+1032600+15000-1150000-1011276+3500000-3912880-868511-40212-172279-2717923-16864014-4353391</f>
        <v>15483599</v>
      </c>
      <c r="E38" s="54">
        <f t="shared" si="3"/>
        <v>15483599</v>
      </c>
      <c r="F38" s="51" t="s">
        <v>46</v>
      </c>
      <c r="G38" s="54">
        <v>0</v>
      </c>
      <c r="H38" s="54">
        <v>0</v>
      </c>
      <c r="I38" s="54">
        <f t="shared" si="2"/>
        <v>0</v>
      </c>
    </row>
    <row r="39" spans="1:9" s="43" customFormat="1" ht="12.75">
      <c r="A39" s="81">
        <v>33</v>
      </c>
      <c r="B39" s="49" t="s">
        <v>30</v>
      </c>
      <c r="C39" s="54">
        <v>0</v>
      </c>
      <c r="D39" s="54">
        <f>0+100000</f>
        <v>100000</v>
      </c>
      <c r="E39" s="54">
        <f t="shared" si="3"/>
        <v>100000</v>
      </c>
      <c r="F39" s="51" t="s">
        <v>47</v>
      </c>
      <c r="G39" s="54">
        <v>0</v>
      </c>
      <c r="H39" s="54">
        <v>0</v>
      </c>
      <c r="I39" s="54">
        <f t="shared" si="2"/>
        <v>0</v>
      </c>
    </row>
    <row r="40" spans="1:9" s="45" customFormat="1" ht="13.5">
      <c r="A40" s="84">
        <v>34</v>
      </c>
      <c r="B40" s="49" t="s">
        <v>31</v>
      </c>
      <c r="C40" s="54">
        <v>0</v>
      </c>
      <c r="D40" s="54">
        <v>0</v>
      </c>
      <c r="E40" s="54">
        <f t="shared" si="3"/>
        <v>0</v>
      </c>
      <c r="F40" s="51" t="s">
        <v>48</v>
      </c>
      <c r="G40" s="54">
        <v>0</v>
      </c>
      <c r="H40" s="54">
        <f>1609020+18081467-1159500</f>
        <v>18530987</v>
      </c>
      <c r="I40" s="54">
        <f t="shared" si="2"/>
        <v>18530987</v>
      </c>
    </row>
    <row r="41" spans="1:9" s="45" customFormat="1" ht="13.5">
      <c r="A41" s="84">
        <v>35</v>
      </c>
      <c r="B41" s="71" t="s">
        <v>35</v>
      </c>
      <c r="C41" s="52">
        <f>SUM(C42:C43)</f>
        <v>0</v>
      </c>
      <c r="D41" s="52">
        <f>SUM(D42:D43)</f>
        <v>33081467</v>
      </c>
      <c r="E41" s="52">
        <f t="shared" si="3"/>
        <v>33081467</v>
      </c>
      <c r="F41" s="51"/>
      <c r="G41" s="54"/>
      <c r="H41" s="54"/>
      <c r="I41" s="54"/>
    </row>
    <row r="42" spans="1:9" s="45" customFormat="1" ht="13.5">
      <c r="A42" s="81">
        <v>36</v>
      </c>
      <c r="B42" s="49" t="s">
        <v>695</v>
      </c>
      <c r="C42" s="54">
        <v>0</v>
      </c>
      <c r="D42" s="54">
        <v>0</v>
      </c>
      <c r="E42" s="54">
        <f t="shared" si="3"/>
        <v>0</v>
      </c>
      <c r="F42" s="46"/>
      <c r="G42" s="54"/>
      <c r="H42" s="54"/>
      <c r="I42" s="54"/>
    </row>
    <row r="43" spans="1:9" s="45" customFormat="1" ht="13.5">
      <c r="A43" s="84">
        <v>37</v>
      </c>
      <c r="B43" s="49" t="s">
        <v>694</v>
      </c>
      <c r="C43" s="54">
        <v>0</v>
      </c>
      <c r="D43" s="54">
        <v>33081467</v>
      </c>
      <c r="E43" s="54">
        <f t="shared" si="3"/>
        <v>33081467</v>
      </c>
      <c r="F43" s="46"/>
      <c r="G43" s="54"/>
      <c r="H43" s="54"/>
      <c r="I43" s="54"/>
    </row>
    <row r="44" spans="1:9" s="47" customFormat="1" ht="6" customHeight="1">
      <c r="A44" s="1043"/>
      <c r="B44" s="1044"/>
      <c r="C44" s="1044"/>
      <c r="D44" s="1044"/>
      <c r="E44" s="1044"/>
      <c r="F44" s="1044"/>
      <c r="G44" s="1044"/>
      <c r="H44" s="1044"/>
      <c r="I44" s="1045"/>
    </row>
    <row r="45" spans="1:9" s="47" customFormat="1" ht="15">
      <c r="A45" s="84">
        <v>38</v>
      </c>
      <c r="B45" s="1046" t="s">
        <v>517</v>
      </c>
      <c r="C45" s="1047"/>
      <c r="D45" s="1047"/>
      <c r="E45" s="1047"/>
      <c r="F45" s="1047"/>
      <c r="G45" s="118">
        <f>C7-G7</f>
        <v>-111711186</v>
      </c>
      <c r="H45" s="118">
        <f>D7-H7</f>
        <v>-287008643</v>
      </c>
      <c r="I45" s="118">
        <f>SUM(G45:H45)</f>
        <v>-398719829</v>
      </c>
    </row>
    <row r="46" spans="1:9" s="47" customFormat="1" ht="6" customHeight="1">
      <c r="A46" s="1035"/>
      <c r="B46" s="1036"/>
      <c r="C46" s="1036"/>
      <c r="D46" s="1036"/>
      <c r="E46" s="1036"/>
      <c r="F46" s="1036"/>
      <c r="G46" s="1036"/>
      <c r="H46" s="1036"/>
      <c r="I46" s="1037"/>
    </row>
    <row r="47" spans="1:9" s="59" customFormat="1" ht="28.5">
      <c r="A47" s="84">
        <v>39</v>
      </c>
      <c r="B47" s="55" t="s">
        <v>346</v>
      </c>
      <c r="C47" s="57">
        <f>SUM(C48:C49)</f>
        <v>120421620</v>
      </c>
      <c r="D47" s="57">
        <f>SUM(D48:D49)</f>
        <v>296339445</v>
      </c>
      <c r="E47" s="57">
        <f aca="true" t="shared" si="4" ref="E47:E54">SUM(C47:D47)</f>
        <v>416761065</v>
      </c>
      <c r="F47" s="58"/>
      <c r="G47" s="57"/>
      <c r="H47" s="57"/>
      <c r="I47" s="57"/>
    </row>
    <row r="48" spans="1:9" s="68" customFormat="1" ht="13.5">
      <c r="A48" s="81">
        <v>40</v>
      </c>
      <c r="B48" s="69" t="s">
        <v>696</v>
      </c>
      <c r="C48" s="63">
        <f>22840902+626145+31099867+55632238+439819</f>
        <v>110638971</v>
      </c>
      <c r="D48" s="63">
        <f>297951773-8201400+2412553+4176519</f>
        <v>296339445</v>
      </c>
      <c r="E48" s="63">
        <f t="shared" si="4"/>
        <v>406978416</v>
      </c>
      <c r="F48" s="64"/>
      <c r="G48" s="63"/>
      <c r="H48" s="63"/>
      <c r="I48" s="63"/>
    </row>
    <row r="49" spans="1:9" s="68" customFormat="1" ht="13.5">
      <c r="A49" s="81">
        <v>41</v>
      </c>
      <c r="B49" s="69" t="s">
        <v>697</v>
      </c>
      <c r="C49" s="63">
        <v>9782649</v>
      </c>
      <c r="D49" s="63">
        <v>0</v>
      </c>
      <c r="E49" s="63">
        <f t="shared" si="4"/>
        <v>9782649</v>
      </c>
      <c r="F49" s="64"/>
      <c r="G49" s="63"/>
      <c r="H49" s="63"/>
      <c r="I49" s="63"/>
    </row>
    <row r="50" spans="1:9" s="794" customFormat="1" ht="28.5">
      <c r="A50" s="786">
        <v>42</v>
      </c>
      <c r="B50" s="55" t="s">
        <v>347</v>
      </c>
      <c r="C50" s="792">
        <f>SUM(C51:C53)</f>
        <v>17347428</v>
      </c>
      <c r="D50" s="792">
        <f>SUM(D51:D53)</f>
        <v>0</v>
      </c>
      <c r="E50" s="792">
        <f t="shared" si="4"/>
        <v>17347428</v>
      </c>
      <c r="F50" s="793" t="s">
        <v>348</v>
      </c>
      <c r="G50" s="792">
        <f>SUM(G51:G53)</f>
        <v>35388664</v>
      </c>
      <c r="H50" s="792">
        <f>SUM(H51:H53)</f>
        <v>0</v>
      </c>
      <c r="I50" s="792">
        <f>SUM(G50:H50)</f>
        <v>35388664</v>
      </c>
    </row>
    <row r="51" spans="1:9" s="68" customFormat="1" ht="13.5">
      <c r="A51" s="84">
        <v>43</v>
      </c>
      <c r="B51" s="67" t="s">
        <v>698</v>
      </c>
      <c r="C51" s="63">
        <v>0</v>
      </c>
      <c r="D51" s="63">
        <v>0</v>
      </c>
      <c r="E51" s="63">
        <f t="shared" si="4"/>
        <v>0</v>
      </c>
      <c r="F51" s="64" t="s">
        <v>700</v>
      </c>
      <c r="G51" s="63">
        <v>0</v>
      </c>
      <c r="H51" s="63">
        <v>0</v>
      </c>
      <c r="I51" s="63">
        <f>SUM(G51:H51)</f>
        <v>0</v>
      </c>
    </row>
    <row r="52" spans="1:9" s="70" customFormat="1" ht="12.75">
      <c r="A52" s="84">
        <v>44</v>
      </c>
      <c r="B52" s="67" t="s">
        <v>699</v>
      </c>
      <c r="C52" s="63">
        <v>0</v>
      </c>
      <c r="D52" s="63">
        <v>0</v>
      </c>
      <c r="E52" s="63">
        <f>SUM(C52:D52)</f>
        <v>0</v>
      </c>
      <c r="F52" s="64" t="s">
        <v>701</v>
      </c>
      <c r="G52" s="63">
        <v>0</v>
      </c>
      <c r="H52" s="63">
        <v>0</v>
      </c>
      <c r="I52" s="63">
        <f>SUM(G52:H52)</f>
        <v>0</v>
      </c>
    </row>
    <row r="53" spans="1:9" s="70" customFormat="1" ht="12.75">
      <c r="A53" s="84">
        <v>45</v>
      </c>
      <c r="B53" s="67" t="s">
        <v>692</v>
      </c>
      <c r="C53" s="63">
        <v>17347428</v>
      </c>
      <c r="D53" s="63">
        <v>0</v>
      </c>
      <c r="E53" s="63">
        <f>SUM(C53:D53)</f>
        <v>17347428</v>
      </c>
      <c r="F53" s="67" t="s">
        <v>693</v>
      </c>
      <c r="G53" s="63">
        <f>18041236+17347428</f>
        <v>35388664</v>
      </c>
      <c r="H53" s="63">
        <v>0</v>
      </c>
      <c r="I53" s="63">
        <f>SUM(G53:H53)</f>
        <v>35388664</v>
      </c>
    </row>
    <row r="54" spans="1:9" s="61" customFormat="1" ht="15.75">
      <c r="A54" s="84">
        <v>46</v>
      </c>
      <c r="B54" s="60" t="s">
        <v>433</v>
      </c>
      <c r="C54" s="74">
        <f>SUM(C7,C47,C50)</f>
        <v>1431110756</v>
      </c>
      <c r="D54" s="74">
        <f>SUM(D7,D47,D50)</f>
        <v>1347419490</v>
      </c>
      <c r="E54" s="74">
        <f t="shared" si="4"/>
        <v>2778530246</v>
      </c>
      <c r="F54" s="60" t="s">
        <v>356</v>
      </c>
      <c r="G54" s="74">
        <f>SUM(G7,G50)</f>
        <v>1440441558</v>
      </c>
      <c r="H54" s="74">
        <f>SUM(H7,H50)</f>
        <v>1338088688</v>
      </c>
      <c r="I54" s="74">
        <f>SUM(G54:H54)</f>
        <v>2778530246</v>
      </c>
    </row>
    <row r="61" ht="15">
      <c r="B61" s="48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73"/>
  <sheetViews>
    <sheetView zoomScale="95" zoomScaleNormal="95" zoomScalePageLayoutView="0" workbookViewId="0" topLeftCell="J1">
      <pane ySplit="7" topLeftCell="A43" activePane="bottomLeft" state="frozen"/>
      <selection pane="topLeft" activeCell="A1" sqref="A1"/>
      <selection pane="bottomLeft" activeCell="E2" sqref="E2:AB2"/>
    </sheetView>
  </sheetViews>
  <sheetFormatPr defaultColWidth="8.875" defaultRowHeight="12.75"/>
  <cols>
    <col min="1" max="1" width="1.37890625" style="464" hidden="1" customWidth="1"/>
    <col min="2" max="2" width="8.00390625" style="465" hidden="1" customWidth="1"/>
    <col min="3" max="3" width="8.00390625" style="465" customWidth="1"/>
    <col min="4" max="4" width="6.25390625" style="466" customWidth="1"/>
    <col min="5" max="5" width="30.375" style="464" customWidth="1"/>
    <col min="6" max="6" width="9.25390625" style="467" hidden="1" customWidth="1"/>
    <col min="7" max="7" width="11.375" style="464" bestFit="1" customWidth="1"/>
    <col min="8" max="8" width="11.125" style="464" customWidth="1"/>
    <col min="9" max="9" width="11.375" style="464" customWidth="1"/>
    <col min="10" max="11" width="10.25390625" style="464" customWidth="1"/>
    <col min="12" max="14" width="11.625" style="464" customWidth="1"/>
    <col min="15" max="16" width="9.875" style="464" customWidth="1"/>
    <col min="17" max="17" width="9.25390625" style="464" bestFit="1" customWidth="1"/>
    <col min="18" max="18" width="10.375" style="464" bestFit="1" customWidth="1"/>
    <col min="19" max="19" width="9.25390625" style="464" bestFit="1" customWidth="1"/>
    <col min="20" max="20" width="9.25390625" style="464" customWidth="1"/>
    <col min="21" max="21" width="10.00390625" style="464" customWidth="1"/>
    <col min="22" max="22" width="10.375" style="464" bestFit="1" customWidth="1"/>
    <col min="23" max="23" width="11.00390625" style="464" bestFit="1" customWidth="1"/>
    <col min="24" max="24" width="12.875" style="464" bestFit="1" customWidth="1"/>
    <col min="25" max="25" width="11.375" style="464" bestFit="1" customWidth="1"/>
    <col min="26" max="26" width="11.125" style="464" customWidth="1"/>
    <col min="27" max="27" width="10.625" style="464" customWidth="1"/>
    <col min="28" max="28" width="15.75390625" style="521" bestFit="1" customWidth="1"/>
    <col min="29" max="29" width="14.375" style="464" customWidth="1"/>
    <col min="30" max="30" width="9.875" style="464" bestFit="1" customWidth="1"/>
    <col min="31" max="16384" width="8.875" style="464" customWidth="1"/>
  </cols>
  <sheetData>
    <row r="1" spans="3:28" ht="15">
      <c r="C1" s="1055"/>
      <c r="O1" s="138"/>
      <c r="P1" s="138"/>
      <c r="Q1" s="138"/>
      <c r="R1" s="138"/>
      <c r="S1" s="138"/>
      <c r="T1" s="138"/>
      <c r="U1" s="138"/>
      <c r="V1" s="138"/>
      <c r="W1" s="1056" t="s">
        <v>1252</v>
      </c>
      <c r="X1" s="1057"/>
      <c r="Y1" s="1057"/>
      <c r="Z1" s="1057"/>
      <c r="AA1" s="1057"/>
      <c r="AB1" s="1057"/>
    </row>
    <row r="2" spans="1:28" ht="15.75">
      <c r="A2" s="468"/>
      <c r="B2" s="469"/>
      <c r="C2" s="1055"/>
      <c r="D2" s="469"/>
      <c r="E2" s="1058" t="s">
        <v>775</v>
      </c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  <c r="W2" s="1058"/>
      <c r="X2" s="1058"/>
      <c r="Y2" s="1058"/>
      <c r="Z2" s="1058"/>
      <c r="AA2" s="1058"/>
      <c r="AB2" s="1058"/>
    </row>
    <row r="3" ht="12.75" thickBot="1">
      <c r="AB3" s="470"/>
    </row>
    <row r="4" spans="2:28" s="471" customFormat="1" ht="12.75" customHeight="1">
      <c r="B4" s="472"/>
      <c r="C4" s="472"/>
      <c r="D4" s="1059" t="s">
        <v>426</v>
      </c>
      <c r="E4" s="1062" t="s">
        <v>357</v>
      </c>
      <c r="F4" s="1065" t="s">
        <v>364</v>
      </c>
      <c r="G4" s="1048" t="s">
        <v>365</v>
      </c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  <c r="S4" s="1049"/>
      <c r="T4" s="1049"/>
      <c r="U4" s="1049"/>
      <c r="V4" s="1049"/>
      <c r="W4" s="1049"/>
      <c r="X4" s="1049"/>
      <c r="Y4" s="1049"/>
      <c r="Z4" s="1049"/>
      <c r="AA4" s="1050"/>
      <c r="AB4" s="1051" t="s">
        <v>366</v>
      </c>
    </row>
    <row r="5" spans="2:28" s="473" customFormat="1" ht="12" customHeight="1">
      <c r="B5" s="474"/>
      <c r="C5" s="474"/>
      <c r="D5" s="1060"/>
      <c r="E5" s="1063"/>
      <c r="F5" s="1066"/>
      <c r="G5" s="475" t="s">
        <v>1</v>
      </c>
      <c r="H5" s="475" t="s">
        <v>3</v>
      </c>
      <c r="I5" s="475" t="s">
        <v>5</v>
      </c>
      <c r="J5" s="475" t="s">
        <v>8</v>
      </c>
      <c r="K5" s="1068" t="s">
        <v>646</v>
      </c>
      <c r="L5" s="1069"/>
      <c r="M5" s="1069"/>
      <c r="N5" s="1069"/>
      <c r="O5" s="1069"/>
      <c r="P5" s="1069"/>
      <c r="Q5" s="1069"/>
      <c r="R5" s="1069"/>
      <c r="S5" s="1069"/>
      <c r="T5" s="1069"/>
      <c r="U5" s="1069"/>
      <c r="V5" s="1069"/>
      <c r="W5" s="1070"/>
      <c r="X5" s="477" t="s">
        <v>129</v>
      </c>
      <c r="Y5" s="477" t="s">
        <v>131</v>
      </c>
      <c r="Z5" s="475" t="s">
        <v>133</v>
      </c>
      <c r="AA5" s="475" t="s">
        <v>135</v>
      </c>
      <c r="AB5" s="1052"/>
    </row>
    <row r="6" spans="2:28" s="473" customFormat="1" ht="63.75" customHeight="1">
      <c r="B6" s="474"/>
      <c r="C6" s="474"/>
      <c r="D6" s="1060"/>
      <c r="E6" s="1064"/>
      <c r="F6" s="1067"/>
      <c r="G6" s="478" t="s">
        <v>355</v>
      </c>
      <c r="H6" s="478" t="s">
        <v>637</v>
      </c>
      <c r="I6" s="478" t="s">
        <v>359</v>
      </c>
      <c r="J6" s="478" t="s">
        <v>9</v>
      </c>
      <c r="K6" s="478" t="s">
        <v>152</v>
      </c>
      <c r="L6" s="478" t="s">
        <v>972</v>
      </c>
      <c r="M6" s="478" t="s">
        <v>128</v>
      </c>
      <c r="N6" s="478" t="s">
        <v>1095</v>
      </c>
      <c r="O6" s="478" t="s">
        <v>419</v>
      </c>
      <c r="P6" s="478" t="s">
        <v>1187</v>
      </c>
      <c r="Q6" s="478" t="s">
        <v>431</v>
      </c>
      <c r="R6" s="478" t="s">
        <v>974</v>
      </c>
      <c r="S6" s="478" t="s">
        <v>973</v>
      </c>
      <c r="T6" s="478" t="s">
        <v>456</v>
      </c>
      <c r="U6" s="478" t="s">
        <v>785</v>
      </c>
      <c r="V6" s="478" t="s">
        <v>975</v>
      </c>
      <c r="W6" s="478" t="s">
        <v>783</v>
      </c>
      <c r="X6" s="476" t="s">
        <v>353</v>
      </c>
      <c r="Y6" s="476" t="s">
        <v>368</v>
      </c>
      <c r="Z6" s="478" t="s">
        <v>645</v>
      </c>
      <c r="AA6" s="478" t="s">
        <v>134</v>
      </c>
      <c r="AB6" s="1053"/>
    </row>
    <row r="7" spans="2:28" s="479" customFormat="1" ht="12">
      <c r="B7" s="480"/>
      <c r="C7" s="480"/>
      <c r="D7" s="1061"/>
      <c r="E7" s="481" t="s">
        <v>420</v>
      </c>
      <c r="F7" s="482" t="s">
        <v>421</v>
      </c>
      <c r="G7" s="483" t="s">
        <v>421</v>
      </c>
      <c r="H7" s="483" t="s">
        <v>422</v>
      </c>
      <c r="I7" s="484" t="s">
        <v>423</v>
      </c>
      <c r="J7" s="481" t="s">
        <v>424</v>
      </c>
      <c r="K7" s="481" t="s">
        <v>425</v>
      </c>
      <c r="L7" s="484" t="s">
        <v>427</v>
      </c>
      <c r="M7" s="484" t="s">
        <v>427</v>
      </c>
      <c r="N7" s="484"/>
      <c r="O7" s="484" t="s">
        <v>428</v>
      </c>
      <c r="P7" s="484"/>
      <c r="Q7" s="484" t="s">
        <v>381</v>
      </c>
      <c r="R7" s="484"/>
      <c r="S7" s="484"/>
      <c r="T7" s="484" t="s">
        <v>382</v>
      </c>
      <c r="U7" s="483" t="s">
        <v>383</v>
      </c>
      <c r="V7" s="483" t="s">
        <v>384</v>
      </c>
      <c r="W7" s="483" t="s">
        <v>384</v>
      </c>
      <c r="X7" s="484" t="s">
        <v>385</v>
      </c>
      <c r="Y7" s="484" t="s">
        <v>386</v>
      </c>
      <c r="Z7" s="485" t="s">
        <v>387</v>
      </c>
      <c r="AA7" s="486" t="s">
        <v>388</v>
      </c>
      <c r="AB7" s="487" t="s">
        <v>919</v>
      </c>
    </row>
    <row r="8" spans="1:28" s="495" customFormat="1" ht="24">
      <c r="A8" s="464"/>
      <c r="B8" s="465"/>
      <c r="C8" s="465" t="s">
        <v>60</v>
      </c>
      <c r="D8" s="488" t="s">
        <v>389</v>
      </c>
      <c r="E8" s="489" t="s">
        <v>61</v>
      </c>
      <c r="F8" s="490"/>
      <c r="G8" s="491">
        <f>29033148+30800</f>
        <v>29063948</v>
      </c>
      <c r="H8" s="491">
        <f>7533426+6006+1492000</f>
        <v>9031432</v>
      </c>
      <c r="I8" s="492">
        <f>14127980+63500+190500+243600+228600+18090+19806671</f>
        <v>34678941</v>
      </c>
      <c r="J8" s="492">
        <v>0</v>
      </c>
      <c r="K8" s="492">
        <v>0</v>
      </c>
      <c r="L8" s="492">
        <f>1055350</f>
        <v>1055350</v>
      </c>
      <c r="M8" s="492">
        <f>1031200+100000+2521000+100000</f>
        <v>3752200</v>
      </c>
      <c r="N8" s="492">
        <v>1032600</v>
      </c>
      <c r="O8" s="492">
        <v>0</v>
      </c>
      <c r="P8" s="492"/>
      <c r="Q8" s="492">
        <v>0</v>
      </c>
      <c r="R8" s="492">
        <v>0</v>
      </c>
      <c r="S8" s="492">
        <v>0</v>
      </c>
      <c r="T8" s="492">
        <v>0</v>
      </c>
      <c r="U8" s="492">
        <v>0</v>
      </c>
      <c r="V8" s="492">
        <v>0</v>
      </c>
      <c r="W8" s="492">
        <v>0</v>
      </c>
      <c r="X8" s="491">
        <f>0+2316859-243600</f>
        <v>2073259</v>
      </c>
      <c r="Y8" s="492">
        <v>0</v>
      </c>
      <c r="Z8" s="493">
        <v>0</v>
      </c>
      <c r="AA8" s="492">
        <v>0</v>
      </c>
      <c r="AB8" s="494">
        <f aca="true" t="shared" si="0" ref="AB8:AB67">SUM(G8:AA8)</f>
        <v>80687730</v>
      </c>
    </row>
    <row r="9" spans="1:28" s="495" customFormat="1" ht="24">
      <c r="A9" s="464"/>
      <c r="B9" s="465" t="s">
        <v>52</v>
      </c>
      <c r="C9" s="465" t="s">
        <v>55</v>
      </c>
      <c r="D9" s="496" t="s">
        <v>390</v>
      </c>
      <c r="E9" s="497" t="s">
        <v>56</v>
      </c>
      <c r="F9" s="498"/>
      <c r="G9" s="499">
        <v>0</v>
      </c>
      <c r="H9" s="499">
        <v>0</v>
      </c>
      <c r="I9" s="493">
        <f>26820278+68000+7679730+1417</f>
        <v>34569425</v>
      </c>
      <c r="J9" s="493">
        <v>0</v>
      </c>
      <c r="K9" s="493">
        <v>0</v>
      </c>
      <c r="L9" s="493">
        <v>0</v>
      </c>
      <c r="M9" s="493">
        <f>38436000+7100000</f>
        <v>45536000</v>
      </c>
      <c r="N9" s="493">
        <v>0</v>
      </c>
      <c r="O9" s="493">
        <v>0</v>
      </c>
      <c r="P9" s="493"/>
      <c r="Q9" s="493">
        <v>0</v>
      </c>
      <c r="R9" s="493">
        <v>0</v>
      </c>
      <c r="S9" s="493">
        <v>0</v>
      </c>
      <c r="T9" s="493">
        <v>0</v>
      </c>
      <c r="U9" s="493">
        <v>0</v>
      </c>
      <c r="V9" s="493">
        <v>0</v>
      </c>
      <c r="W9" s="493">
        <v>0</v>
      </c>
      <c r="X9" s="499">
        <f>250000</f>
        <v>250000</v>
      </c>
      <c r="Y9" s="493">
        <f>2500000+3000000+5000000-387985-900000+900000-197100-545000-444500-2500000</f>
        <v>6425415</v>
      </c>
      <c r="Z9" s="493">
        <f>1609020-1159500</f>
        <v>449520</v>
      </c>
      <c r="AA9" s="493">
        <v>0</v>
      </c>
      <c r="AB9" s="494">
        <f t="shared" si="0"/>
        <v>87230360</v>
      </c>
    </row>
    <row r="10" spans="1:28" s="495" customFormat="1" ht="36">
      <c r="A10" s="464"/>
      <c r="B10" s="465"/>
      <c r="C10" s="465" t="s">
        <v>55</v>
      </c>
      <c r="D10" s="496" t="s">
        <v>391</v>
      </c>
      <c r="E10" s="497" t="s">
        <v>1135</v>
      </c>
      <c r="F10" s="498"/>
      <c r="G10" s="499">
        <v>0</v>
      </c>
      <c r="H10" s="499">
        <v>0</v>
      </c>
      <c r="I10" s="493">
        <v>0</v>
      </c>
      <c r="J10" s="493">
        <v>0</v>
      </c>
      <c r="K10" s="493">
        <v>0</v>
      </c>
      <c r="L10" s="493">
        <v>0</v>
      </c>
      <c r="M10" s="493">
        <v>0</v>
      </c>
      <c r="N10" s="493">
        <v>0</v>
      </c>
      <c r="O10" s="493">
        <v>0</v>
      </c>
      <c r="P10" s="493"/>
      <c r="Q10" s="493">
        <v>0</v>
      </c>
      <c r="R10" s="493">
        <v>0</v>
      </c>
      <c r="S10" s="493">
        <v>0</v>
      </c>
      <c r="T10" s="493">
        <v>0</v>
      </c>
      <c r="U10" s="493">
        <v>0</v>
      </c>
      <c r="V10" s="493">
        <v>0</v>
      </c>
      <c r="W10" s="493">
        <v>0</v>
      </c>
      <c r="X10" s="499">
        <f>242642019-15606966</f>
        <v>227035053</v>
      </c>
      <c r="Y10" s="493">
        <v>0</v>
      </c>
      <c r="Z10" s="493">
        <v>0</v>
      </c>
      <c r="AA10" s="493">
        <v>0</v>
      </c>
      <c r="AB10" s="494">
        <f>SUM(G10:AA10)</f>
        <v>227035053</v>
      </c>
    </row>
    <row r="11" spans="1:28" s="495" customFormat="1" ht="36">
      <c r="A11" s="464"/>
      <c r="B11" s="465"/>
      <c r="C11" s="465" t="s">
        <v>55</v>
      </c>
      <c r="D11" s="496" t="s">
        <v>392</v>
      </c>
      <c r="E11" s="497" t="s">
        <v>1134</v>
      </c>
      <c r="F11" s="498"/>
      <c r="G11" s="499">
        <v>0</v>
      </c>
      <c r="H11" s="499">
        <v>0</v>
      </c>
      <c r="I11" s="493">
        <v>7875000</v>
      </c>
      <c r="J11" s="493">
        <v>0</v>
      </c>
      <c r="K11" s="493">
        <v>0</v>
      </c>
      <c r="L11" s="493">
        <v>0</v>
      </c>
      <c r="M11" s="493">
        <v>0</v>
      </c>
      <c r="N11" s="493">
        <v>0</v>
      </c>
      <c r="O11" s="493">
        <v>0</v>
      </c>
      <c r="P11" s="493"/>
      <c r="Q11" s="493">
        <v>0</v>
      </c>
      <c r="R11" s="493">
        <v>0</v>
      </c>
      <c r="S11" s="493">
        <v>0</v>
      </c>
      <c r="T11" s="493">
        <v>0</v>
      </c>
      <c r="U11" s="493">
        <v>0</v>
      </c>
      <c r="V11" s="493">
        <v>0</v>
      </c>
      <c r="W11" s="493">
        <v>0</v>
      </c>
      <c r="X11" s="499">
        <f>17861888+411888112</f>
        <v>429750000</v>
      </c>
      <c r="Y11" s="493">
        <v>0</v>
      </c>
      <c r="Z11" s="493">
        <v>0</v>
      </c>
      <c r="AA11" s="493">
        <v>0</v>
      </c>
      <c r="AB11" s="494">
        <f t="shared" si="0"/>
        <v>437625000</v>
      </c>
    </row>
    <row r="12" spans="1:28" s="495" customFormat="1" ht="36">
      <c r="A12" s="464"/>
      <c r="B12" s="465" t="s">
        <v>53</v>
      </c>
      <c r="C12" s="465" t="s">
        <v>57</v>
      </c>
      <c r="D12" s="496" t="s">
        <v>393</v>
      </c>
      <c r="E12" s="497" t="s">
        <v>539</v>
      </c>
      <c r="F12" s="498"/>
      <c r="G12" s="499">
        <v>2158500</v>
      </c>
      <c r="H12" s="499">
        <v>424933</v>
      </c>
      <c r="I12" s="493">
        <f>55480</f>
        <v>55480</v>
      </c>
      <c r="J12" s="493">
        <v>0</v>
      </c>
      <c r="K12" s="493">
        <v>0</v>
      </c>
      <c r="L12" s="493">
        <v>0</v>
      </c>
      <c r="M12" s="493">
        <f>4592665</f>
        <v>4592665</v>
      </c>
      <c r="N12" s="493">
        <v>0</v>
      </c>
      <c r="O12" s="493">
        <v>0</v>
      </c>
      <c r="P12" s="493"/>
      <c r="Q12" s="493">
        <v>0</v>
      </c>
      <c r="R12" s="493">
        <v>0</v>
      </c>
      <c r="S12" s="493">
        <v>0</v>
      </c>
      <c r="T12" s="493">
        <v>0</v>
      </c>
      <c r="U12" s="493">
        <v>0</v>
      </c>
      <c r="V12" s="493">
        <v>0</v>
      </c>
      <c r="W12" s="493">
        <v>0</v>
      </c>
      <c r="X12" s="499">
        <v>0</v>
      </c>
      <c r="Y12" s="493">
        <v>0</v>
      </c>
      <c r="Z12" s="493">
        <v>0</v>
      </c>
      <c r="AA12" s="493">
        <v>0</v>
      </c>
      <c r="AB12" s="494">
        <f t="shared" si="0"/>
        <v>7231578</v>
      </c>
    </row>
    <row r="13" spans="1:28" s="495" customFormat="1" ht="24">
      <c r="A13" s="464"/>
      <c r="B13" s="465" t="s">
        <v>54</v>
      </c>
      <c r="C13" s="465" t="s">
        <v>62</v>
      </c>
      <c r="D13" s="496" t="s">
        <v>394</v>
      </c>
      <c r="E13" s="497" t="s">
        <v>373</v>
      </c>
      <c r="F13" s="498"/>
      <c r="G13" s="499">
        <f>514000+420000</f>
        <v>934000</v>
      </c>
      <c r="H13" s="499">
        <f>489933+80000</f>
        <v>569933</v>
      </c>
      <c r="I13" s="493">
        <f>6220254-5500000+1100000+1350000+50800</f>
        <v>3221054</v>
      </c>
      <c r="J13" s="493">
        <v>0</v>
      </c>
      <c r="K13" s="493">
        <v>0</v>
      </c>
      <c r="L13" s="493">
        <v>0</v>
      </c>
      <c r="M13" s="493">
        <v>0</v>
      </c>
      <c r="N13" s="493">
        <v>0</v>
      </c>
      <c r="O13" s="493">
        <v>0</v>
      </c>
      <c r="P13" s="493"/>
      <c r="Q13" s="493">
        <v>0</v>
      </c>
      <c r="R13" s="493">
        <v>0</v>
      </c>
      <c r="S13" s="493">
        <v>0</v>
      </c>
      <c r="T13" s="493">
        <v>0</v>
      </c>
      <c r="U13" s="493">
        <v>0</v>
      </c>
      <c r="V13" s="493">
        <v>0</v>
      </c>
      <c r="W13" s="493">
        <v>0</v>
      </c>
      <c r="X13" s="499">
        <v>0</v>
      </c>
      <c r="Y13" s="493">
        <v>0</v>
      </c>
      <c r="Z13" s="493">
        <v>0</v>
      </c>
      <c r="AA13" s="493">
        <v>0</v>
      </c>
      <c r="AB13" s="494">
        <f t="shared" si="0"/>
        <v>4724987</v>
      </c>
    </row>
    <row r="14" spans="1:28" s="495" customFormat="1" ht="23.25" customHeight="1">
      <c r="A14" s="464"/>
      <c r="B14" s="465"/>
      <c r="C14" s="465" t="s">
        <v>858</v>
      </c>
      <c r="D14" s="496" t="s">
        <v>395</v>
      </c>
      <c r="E14" s="497" t="s">
        <v>776</v>
      </c>
      <c r="F14" s="498"/>
      <c r="G14" s="499">
        <v>0</v>
      </c>
      <c r="H14" s="499">
        <v>0</v>
      </c>
      <c r="I14" s="499">
        <v>0</v>
      </c>
      <c r="J14" s="499">
        <v>0</v>
      </c>
      <c r="K14" s="499">
        <f>34037935+66110+32640+20906574+24160</f>
        <v>55067419</v>
      </c>
      <c r="L14" s="499">
        <v>0</v>
      </c>
      <c r="M14" s="499">
        <v>0</v>
      </c>
      <c r="N14" s="499">
        <v>0</v>
      </c>
      <c r="O14" s="499">
        <v>0</v>
      </c>
      <c r="P14" s="499"/>
      <c r="Q14" s="499">
        <v>0</v>
      </c>
      <c r="R14" s="499">
        <v>0</v>
      </c>
      <c r="S14" s="499">
        <v>0</v>
      </c>
      <c r="T14" s="499">
        <v>0</v>
      </c>
      <c r="U14" s="499">
        <v>0</v>
      </c>
      <c r="V14" s="499">
        <v>0</v>
      </c>
      <c r="W14" s="499">
        <v>0</v>
      </c>
      <c r="X14" s="499">
        <v>0</v>
      </c>
      <c r="Y14" s="493">
        <v>0</v>
      </c>
      <c r="Z14" s="493">
        <v>0</v>
      </c>
      <c r="AA14" s="493">
        <v>0</v>
      </c>
      <c r="AB14" s="494">
        <f t="shared" si="0"/>
        <v>55067419</v>
      </c>
    </row>
    <row r="15" spans="1:28" s="495" customFormat="1" ht="23.25" customHeight="1">
      <c r="A15" s="464"/>
      <c r="B15" s="465"/>
      <c r="C15" s="465" t="s">
        <v>633</v>
      </c>
      <c r="D15" s="496" t="s">
        <v>396</v>
      </c>
      <c r="E15" s="497" t="s">
        <v>634</v>
      </c>
      <c r="F15" s="498"/>
      <c r="G15" s="499">
        <v>0</v>
      </c>
      <c r="H15" s="499">
        <v>0</v>
      </c>
      <c r="I15" s="499">
        <f>1157503+936+141447+1283275-1150000</f>
        <v>1433161</v>
      </c>
      <c r="J15" s="499">
        <v>0</v>
      </c>
      <c r="K15" s="499">
        <v>0</v>
      </c>
      <c r="L15" s="499">
        <v>0</v>
      </c>
      <c r="M15" s="499">
        <v>0</v>
      </c>
      <c r="N15" s="499">
        <v>0</v>
      </c>
      <c r="O15" s="499">
        <v>0</v>
      </c>
      <c r="P15" s="499"/>
      <c r="Q15" s="499">
        <v>0</v>
      </c>
      <c r="R15" s="499">
        <v>0</v>
      </c>
      <c r="S15" s="499">
        <v>0</v>
      </c>
      <c r="T15" s="499">
        <v>0</v>
      </c>
      <c r="U15" s="499">
        <v>0</v>
      </c>
      <c r="V15" s="499">
        <v>0</v>
      </c>
      <c r="W15" s="499">
        <v>0</v>
      </c>
      <c r="X15" s="499">
        <v>0</v>
      </c>
      <c r="Y15" s="493">
        <v>0</v>
      </c>
      <c r="Z15" s="493">
        <v>0</v>
      </c>
      <c r="AA15" s="493">
        <f>18041236+17347428</f>
        <v>35388664</v>
      </c>
      <c r="AB15" s="494">
        <f t="shared" si="0"/>
        <v>36821825</v>
      </c>
    </row>
    <row r="16" spans="1:28" s="495" customFormat="1" ht="24">
      <c r="A16" s="464">
        <v>20215</v>
      </c>
      <c r="B16" s="465" t="s">
        <v>55</v>
      </c>
      <c r="C16" s="465" t="s">
        <v>65</v>
      </c>
      <c r="D16" s="496" t="s">
        <v>397</v>
      </c>
      <c r="E16" s="497" t="s">
        <v>66</v>
      </c>
      <c r="F16" s="498"/>
      <c r="G16" s="499">
        <f>34895474+2200</f>
        <v>34897674</v>
      </c>
      <c r="H16" s="499">
        <f>6862023+429</f>
        <v>6862452</v>
      </c>
      <c r="I16" s="493">
        <f>8729294-120000-73660-29000-484397</f>
        <v>8022237</v>
      </c>
      <c r="J16" s="493">
        <v>0</v>
      </c>
      <c r="K16" s="493">
        <v>0</v>
      </c>
      <c r="L16" s="493">
        <v>0</v>
      </c>
      <c r="M16" s="493">
        <v>0</v>
      </c>
      <c r="N16" s="493">
        <v>0</v>
      </c>
      <c r="O16" s="493">
        <v>0</v>
      </c>
      <c r="P16" s="493"/>
      <c r="Q16" s="493">
        <v>0</v>
      </c>
      <c r="R16" s="493">
        <v>0</v>
      </c>
      <c r="S16" s="493">
        <v>0</v>
      </c>
      <c r="T16" s="493">
        <v>0</v>
      </c>
      <c r="U16" s="493">
        <v>0</v>
      </c>
      <c r="V16" s="493">
        <v>0</v>
      </c>
      <c r="W16" s="493">
        <v>0</v>
      </c>
      <c r="X16" s="499">
        <f>120000+73660+29000+484397</f>
        <v>707057</v>
      </c>
      <c r="Y16" s="493">
        <v>508000</v>
      </c>
      <c r="Z16" s="493">
        <v>0</v>
      </c>
      <c r="AA16" s="493">
        <v>0</v>
      </c>
      <c r="AB16" s="494">
        <f t="shared" si="0"/>
        <v>50997420</v>
      </c>
    </row>
    <row r="17" spans="1:28" s="495" customFormat="1" ht="24">
      <c r="A17" s="464"/>
      <c r="B17" s="465"/>
      <c r="C17" s="465" t="s">
        <v>786</v>
      </c>
      <c r="D17" s="496" t="s">
        <v>398</v>
      </c>
      <c r="E17" s="497" t="s">
        <v>777</v>
      </c>
      <c r="F17" s="498"/>
      <c r="G17" s="499">
        <v>0</v>
      </c>
      <c r="H17" s="499">
        <v>0</v>
      </c>
      <c r="I17" s="499">
        <v>0</v>
      </c>
      <c r="J17" s="499">
        <v>0</v>
      </c>
      <c r="K17" s="499">
        <v>0</v>
      </c>
      <c r="L17" s="499">
        <v>0</v>
      </c>
      <c r="M17" s="499">
        <v>0</v>
      </c>
      <c r="N17" s="499">
        <v>0</v>
      </c>
      <c r="O17" s="499">
        <v>0</v>
      </c>
      <c r="P17" s="499"/>
      <c r="Q17" s="499">
        <v>0</v>
      </c>
      <c r="R17" s="499">
        <v>0</v>
      </c>
      <c r="S17" s="499">
        <v>0</v>
      </c>
      <c r="T17" s="499">
        <v>0</v>
      </c>
      <c r="U17" s="499">
        <v>0</v>
      </c>
      <c r="V17" s="499">
        <v>0</v>
      </c>
      <c r="W17" s="499">
        <v>0</v>
      </c>
      <c r="X17" s="499">
        <v>0</v>
      </c>
      <c r="Y17" s="493">
        <v>0</v>
      </c>
      <c r="Z17" s="499">
        <v>0</v>
      </c>
      <c r="AA17" s="493">
        <v>0</v>
      </c>
      <c r="AB17" s="494">
        <f t="shared" si="0"/>
        <v>0</v>
      </c>
    </row>
    <row r="18" spans="1:28" s="495" customFormat="1" ht="24">
      <c r="A18" s="464"/>
      <c r="B18" s="465"/>
      <c r="C18" s="465" t="s">
        <v>787</v>
      </c>
      <c r="D18" s="496" t="s">
        <v>399</v>
      </c>
      <c r="E18" s="497" t="s">
        <v>779</v>
      </c>
      <c r="F18" s="498"/>
      <c r="G18" s="499">
        <f>10871880+28103985</f>
        <v>38975865</v>
      </c>
      <c r="H18" s="499">
        <f>1105308+2740077+148462-102430</f>
        <v>3891417</v>
      </c>
      <c r="I18" s="499">
        <f>8057715+246024-2601</f>
        <v>8301138</v>
      </c>
      <c r="J18" s="499">
        <v>0</v>
      </c>
      <c r="K18" s="499">
        <v>0</v>
      </c>
      <c r="L18" s="499">
        <v>0</v>
      </c>
      <c r="M18" s="499">
        <v>0</v>
      </c>
      <c r="N18" s="499">
        <v>0</v>
      </c>
      <c r="O18" s="499">
        <v>0</v>
      </c>
      <c r="P18" s="499"/>
      <c r="Q18" s="499">
        <v>0</v>
      </c>
      <c r="R18" s="499">
        <v>0</v>
      </c>
      <c r="S18" s="499">
        <v>0</v>
      </c>
      <c r="T18" s="499">
        <v>0</v>
      </c>
      <c r="U18" s="499">
        <v>0</v>
      </c>
      <c r="V18" s="499">
        <v>0</v>
      </c>
      <c r="W18" s="499">
        <v>0</v>
      </c>
      <c r="X18" s="499">
        <f>1846997+914</f>
        <v>1847911</v>
      </c>
      <c r="Y18" s="493">
        <v>0</v>
      </c>
      <c r="Z18" s="499">
        <v>0</v>
      </c>
      <c r="AA18" s="493">
        <v>0</v>
      </c>
      <c r="AB18" s="494">
        <f t="shared" si="0"/>
        <v>53016331</v>
      </c>
    </row>
    <row r="19" spans="1:28" s="495" customFormat="1" ht="24">
      <c r="A19" s="464"/>
      <c r="B19" s="465"/>
      <c r="C19" s="465" t="s">
        <v>788</v>
      </c>
      <c r="D19" s="496" t="s">
        <v>400</v>
      </c>
      <c r="E19" s="497" t="s">
        <v>780</v>
      </c>
      <c r="F19" s="498"/>
      <c r="G19" s="499">
        <f>21446460+40610080+9375932</f>
        <v>71432472</v>
      </c>
      <c r="H19" s="499">
        <f>2180390+3959404+914153+225003+102430</f>
        <v>7381380</v>
      </c>
      <c r="I19" s="499">
        <f>2045415+426539+823080-23713</f>
        <v>3271321</v>
      </c>
      <c r="J19" s="499">
        <v>0</v>
      </c>
      <c r="K19" s="499">
        <v>0</v>
      </c>
      <c r="L19" s="499">
        <v>0</v>
      </c>
      <c r="M19" s="499">
        <v>0</v>
      </c>
      <c r="N19" s="499">
        <v>0</v>
      </c>
      <c r="O19" s="499">
        <v>0</v>
      </c>
      <c r="P19" s="499"/>
      <c r="Q19" s="499">
        <v>0</v>
      </c>
      <c r="R19" s="499">
        <v>0</v>
      </c>
      <c r="S19" s="499">
        <v>0</v>
      </c>
      <c r="T19" s="499">
        <v>0</v>
      </c>
      <c r="U19" s="499">
        <v>0</v>
      </c>
      <c r="V19" s="499">
        <v>0</v>
      </c>
      <c r="W19" s="499">
        <v>0</v>
      </c>
      <c r="X19" s="499">
        <f>299888+25400</f>
        <v>325288</v>
      </c>
      <c r="Y19" s="493">
        <v>0</v>
      </c>
      <c r="Z19" s="499">
        <v>0</v>
      </c>
      <c r="AA19" s="493">
        <v>0</v>
      </c>
      <c r="AB19" s="494">
        <f t="shared" si="0"/>
        <v>82410461</v>
      </c>
    </row>
    <row r="20" spans="1:28" s="495" customFormat="1" ht="22.5" customHeight="1">
      <c r="A20" s="464"/>
      <c r="B20" s="465"/>
      <c r="C20" s="465" t="s">
        <v>636</v>
      </c>
      <c r="D20" s="496" t="s">
        <v>401</v>
      </c>
      <c r="E20" s="497" t="s">
        <v>635</v>
      </c>
      <c r="F20" s="498"/>
      <c r="G20" s="499">
        <v>0</v>
      </c>
      <c r="H20" s="499">
        <v>0</v>
      </c>
      <c r="I20" s="499">
        <v>0</v>
      </c>
      <c r="J20" s="499">
        <v>0</v>
      </c>
      <c r="K20" s="499">
        <v>0</v>
      </c>
      <c r="L20" s="499">
        <v>0</v>
      </c>
      <c r="M20" s="499">
        <v>0</v>
      </c>
      <c r="N20" s="499">
        <v>0</v>
      </c>
      <c r="O20" s="499">
        <v>0</v>
      </c>
      <c r="P20" s="499"/>
      <c r="Q20" s="499">
        <v>0</v>
      </c>
      <c r="R20" s="499">
        <v>0</v>
      </c>
      <c r="S20" s="499">
        <v>0</v>
      </c>
      <c r="T20" s="499">
        <v>0</v>
      </c>
      <c r="U20" s="499">
        <v>0</v>
      </c>
      <c r="V20" s="499">
        <v>0</v>
      </c>
      <c r="W20" s="499">
        <v>0</v>
      </c>
      <c r="X20" s="499">
        <v>12223750</v>
      </c>
      <c r="Y20" s="493">
        <v>0</v>
      </c>
      <c r="Z20" s="499">
        <v>0</v>
      </c>
      <c r="AA20" s="493">
        <v>0</v>
      </c>
      <c r="AB20" s="494">
        <f t="shared" si="0"/>
        <v>12223750</v>
      </c>
    </row>
    <row r="21" spans="2:28" ht="24">
      <c r="B21" s="465" t="s">
        <v>60</v>
      </c>
      <c r="C21" s="465" t="s">
        <v>53</v>
      </c>
      <c r="D21" s="496" t="s">
        <v>402</v>
      </c>
      <c r="E21" s="497" t="s">
        <v>540</v>
      </c>
      <c r="F21" s="498"/>
      <c r="G21" s="499">
        <v>0</v>
      </c>
      <c r="H21" s="499">
        <v>0</v>
      </c>
      <c r="I21" s="493">
        <f>14850000+1393900-1907772</f>
        <v>14336128</v>
      </c>
      <c r="J21" s="493">
        <v>0</v>
      </c>
      <c r="K21" s="493">
        <v>0</v>
      </c>
      <c r="L21" s="493">
        <v>0</v>
      </c>
      <c r="M21" s="493">
        <v>868</v>
      </c>
      <c r="N21" s="493">
        <v>0</v>
      </c>
      <c r="O21" s="493">
        <v>0</v>
      </c>
      <c r="P21" s="493"/>
      <c r="Q21" s="493">
        <v>0</v>
      </c>
      <c r="R21" s="493">
        <v>0</v>
      </c>
      <c r="S21" s="493">
        <v>0</v>
      </c>
      <c r="T21" s="493">
        <v>0</v>
      </c>
      <c r="U21" s="493">
        <v>0</v>
      </c>
      <c r="V21" s="493">
        <v>0</v>
      </c>
      <c r="W21" s="493">
        <v>0</v>
      </c>
      <c r="X21" s="493">
        <f>525300+30000+387985-913285</f>
        <v>30000</v>
      </c>
      <c r="Y21" s="493">
        <f>17634204+1907772</f>
        <v>19541976</v>
      </c>
      <c r="Z21" s="493">
        <v>0</v>
      </c>
      <c r="AA21" s="493">
        <v>0</v>
      </c>
      <c r="AB21" s="494">
        <f t="shared" si="0"/>
        <v>33908972</v>
      </c>
    </row>
    <row r="22" spans="2:28" ht="24">
      <c r="B22" s="465" t="s">
        <v>62</v>
      </c>
      <c r="C22" s="465" t="s">
        <v>67</v>
      </c>
      <c r="D22" s="496" t="s">
        <v>403</v>
      </c>
      <c r="E22" s="497" t="s">
        <v>68</v>
      </c>
      <c r="F22" s="498"/>
      <c r="G22" s="499">
        <v>0</v>
      </c>
      <c r="H22" s="499">
        <v>0</v>
      </c>
      <c r="I22" s="493">
        <v>1270000</v>
      </c>
      <c r="J22" s="493">
        <v>0</v>
      </c>
      <c r="K22" s="493">
        <v>0</v>
      </c>
      <c r="L22" s="493">
        <v>0</v>
      </c>
      <c r="M22" s="493">
        <v>0</v>
      </c>
      <c r="N22" s="493">
        <v>0</v>
      </c>
      <c r="O22" s="493">
        <v>0</v>
      </c>
      <c r="P22" s="493"/>
      <c r="Q22" s="493">
        <v>0</v>
      </c>
      <c r="R22" s="493">
        <v>0</v>
      </c>
      <c r="S22" s="493">
        <v>0</v>
      </c>
      <c r="T22" s="493">
        <v>0</v>
      </c>
      <c r="U22" s="493">
        <v>0</v>
      </c>
      <c r="V22" s="493">
        <v>0</v>
      </c>
      <c r="W22" s="493">
        <v>0</v>
      </c>
      <c r="X22" s="493">
        <f>8644085+106200000</f>
        <v>114844085</v>
      </c>
      <c r="Y22" s="493">
        <v>0</v>
      </c>
      <c r="Z22" s="493">
        <v>0</v>
      </c>
      <c r="AA22" s="493">
        <v>0</v>
      </c>
      <c r="AB22" s="494">
        <f t="shared" si="0"/>
        <v>116114085</v>
      </c>
    </row>
    <row r="23" spans="3:28" ht="48">
      <c r="C23" s="465" t="s">
        <v>1126</v>
      </c>
      <c r="D23" s="496" t="s">
        <v>404</v>
      </c>
      <c r="E23" s="497" t="s">
        <v>1136</v>
      </c>
      <c r="F23" s="500"/>
      <c r="G23" s="499">
        <v>0</v>
      </c>
      <c r="H23" s="499">
        <v>0</v>
      </c>
      <c r="I23" s="493">
        <v>0</v>
      </c>
      <c r="J23" s="493">
        <v>0</v>
      </c>
      <c r="K23" s="493">
        <v>0</v>
      </c>
      <c r="L23" s="493">
        <v>0</v>
      </c>
      <c r="M23" s="493">
        <v>0</v>
      </c>
      <c r="N23" s="493">
        <v>0</v>
      </c>
      <c r="O23" s="493">
        <v>0</v>
      </c>
      <c r="P23" s="493"/>
      <c r="Q23" s="493">
        <v>0</v>
      </c>
      <c r="R23" s="493">
        <v>0</v>
      </c>
      <c r="S23" s="493">
        <v>0</v>
      </c>
      <c r="T23" s="493">
        <v>0</v>
      </c>
      <c r="U23" s="493">
        <v>0</v>
      </c>
      <c r="V23" s="493">
        <v>0</v>
      </c>
      <c r="W23" s="493">
        <v>0</v>
      </c>
      <c r="X23" s="493">
        <f>3832400+192470000</f>
        <v>196302400</v>
      </c>
      <c r="Y23" s="493">
        <v>0</v>
      </c>
      <c r="Z23" s="493">
        <v>0</v>
      </c>
      <c r="AA23" s="493">
        <v>0</v>
      </c>
      <c r="AB23" s="494">
        <f t="shared" si="0"/>
        <v>196302400</v>
      </c>
    </row>
    <row r="24" spans="1:28" ht="16.5" customHeight="1">
      <c r="A24" s="464">
        <v>751791</v>
      </c>
      <c r="B24" s="465" t="s">
        <v>63</v>
      </c>
      <c r="C24" s="465" t="s">
        <v>976</v>
      </c>
      <c r="D24" s="496" t="s">
        <v>405</v>
      </c>
      <c r="E24" s="497" t="s">
        <v>977</v>
      </c>
      <c r="F24" s="500"/>
      <c r="G24" s="493">
        <v>0</v>
      </c>
      <c r="H24" s="499">
        <v>0</v>
      </c>
      <c r="I24" s="493">
        <v>0</v>
      </c>
      <c r="J24" s="493">
        <v>0</v>
      </c>
      <c r="K24" s="493">
        <v>0</v>
      </c>
      <c r="L24" s="493">
        <v>0</v>
      </c>
      <c r="M24" s="493">
        <v>7265000</v>
      </c>
      <c r="N24" s="493">
        <v>0</v>
      </c>
      <c r="O24" s="493">
        <v>0</v>
      </c>
      <c r="P24" s="493"/>
      <c r="Q24" s="493">
        <v>0</v>
      </c>
      <c r="R24" s="493"/>
      <c r="S24" s="493"/>
      <c r="T24" s="493">
        <v>0</v>
      </c>
      <c r="U24" s="493">
        <v>0</v>
      </c>
      <c r="V24" s="493">
        <v>0</v>
      </c>
      <c r="W24" s="493">
        <v>0</v>
      </c>
      <c r="X24" s="493">
        <v>0</v>
      </c>
      <c r="Y24" s="493">
        <v>0</v>
      </c>
      <c r="Z24" s="493">
        <v>0</v>
      </c>
      <c r="AA24" s="493">
        <v>0</v>
      </c>
      <c r="AB24" s="494">
        <f>SUM(G24:AA24)</f>
        <v>7265000</v>
      </c>
    </row>
    <row r="25" spans="1:28" ht="24">
      <c r="A25" s="464">
        <v>751791</v>
      </c>
      <c r="B25" s="465" t="s">
        <v>63</v>
      </c>
      <c r="C25" s="465" t="s">
        <v>49</v>
      </c>
      <c r="D25" s="496" t="s">
        <v>406</v>
      </c>
      <c r="E25" s="497" t="s">
        <v>50</v>
      </c>
      <c r="F25" s="500"/>
      <c r="G25" s="493">
        <v>0</v>
      </c>
      <c r="H25" s="499">
        <v>0</v>
      </c>
      <c r="I25" s="493">
        <v>1736016</v>
      </c>
      <c r="J25" s="493">
        <v>0</v>
      </c>
      <c r="K25" s="493">
        <v>0</v>
      </c>
      <c r="L25" s="493">
        <v>0</v>
      </c>
      <c r="M25" s="493">
        <f>300000</f>
        <v>300000</v>
      </c>
      <c r="N25" s="493">
        <v>0</v>
      </c>
      <c r="O25" s="493">
        <v>0</v>
      </c>
      <c r="P25" s="493"/>
      <c r="Q25" s="493">
        <v>0</v>
      </c>
      <c r="R25" s="493"/>
      <c r="S25" s="493"/>
      <c r="T25" s="493">
        <v>0</v>
      </c>
      <c r="U25" s="493">
        <v>0</v>
      </c>
      <c r="V25" s="493">
        <v>0</v>
      </c>
      <c r="W25" s="493">
        <v>0</v>
      </c>
      <c r="X25" s="493">
        <v>0</v>
      </c>
      <c r="Y25" s="493">
        <v>0</v>
      </c>
      <c r="Z25" s="493">
        <v>0</v>
      </c>
      <c r="AA25" s="493">
        <v>0</v>
      </c>
      <c r="AB25" s="494">
        <f t="shared" si="0"/>
        <v>2036016</v>
      </c>
    </row>
    <row r="26" spans="1:28" ht="24">
      <c r="A26" s="464">
        <v>751834</v>
      </c>
      <c r="B26" s="465" t="s">
        <v>64</v>
      </c>
      <c r="C26" s="465" t="s">
        <v>51</v>
      </c>
      <c r="D26" s="496" t="s">
        <v>407</v>
      </c>
      <c r="E26" s="497" t="s">
        <v>371</v>
      </c>
      <c r="F26" s="498"/>
      <c r="G26" s="499">
        <v>0</v>
      </c>
      <c r="H26" s="499">
        <v>0</v>
      </c>
      <c r="I26" s="493">
        <f>11239754-848360+3300476</f>
        <v>13691870</v>
      </c>
      <c r="J26" s="493">
        <v>0</v>
      </c>
      <c r="K26" s="493">
        <v>0</v>
      </c>
      <c r="L26" s="493">
        <v>0</v>
      </c>
      <c r="M26" s="493">
        <v>0</v>
      </c>
      <c r="N26" s="493">
        <v>0</v>
      </c>
      <c r="O26" s="493">
        <v>0</v>
      </c>
      <c r="P26" s="493"/>
      <c r="Q26" s="493">
        <v>0</v>
      </c>
      <c r="R26" s="493"/>
      <c r="S26" s="493"/>
      <c r="T26" s="493">
        <v>0</v>
      </c>
      <c r="U26" s="493">
        <v>0</v>
      </c>
      <c r="V26" s="493">
        <v>0</v>
      </c>
      <c r="W26" s="493">
        <v>0</v>
      </c>
      <c r="X26" s="493">
        <v>0</v>
      </c>
      <c r="Y26" s="493">
        <v>0</v>
      </c>
      <c r="Z26" s="493">
        <v>0</v>
      </c>
      <c r="AA26" s="493">
        <v>0</v>
      </c>
      <c r="AB26" s="494">
        <f t="shared" si="0"/>
        <v>13691870</v>
      </c>
    </row>
    <row r="27" spans="3:28" ht="24" customHeight="1">
      <c r="C27" s="465" t="s">
        <v>52</v>
      </c>
      <c r="D27" s="496" t="s">
        <v>408</v>
      </c>
      <c r="E27" s="497" t="s">
        <v>971</v>
      </c>
      <c r="F27" s="498"/>
      <c r="G27" s="499">
        <f>10196</f>
        <v>10196</v>
      </c>
      <c r="H27" s="493">
        <f>4151</f>
        <v>4151</v>
      </c>
      <c r="I27" s="493">
        <f>15000000-14347</f>
        <v>14985653</v>
      </c>
      <c r="J27" s="493">
        <v>0</v>
      </c>
      <c r="K27" s="493">
        <v>0</v>
      </c>
      <c r="L27" s="493">
        <v>0</v>
      </c>
      <c r="M27" s="493">
        <v>0</v>
      </c>
      <c r="N27" s="493">
        <v>0</v>
      </c>
      <c r="O27" s="493">
        <v>0</v>
      </c>
      <c r="P27" s="493"/>
      <c r="Q27" s="493">
        <v>0</v>
      </c>
      <c r="R27" s="493"/>
      <c r="S27" s="493"/>
      <c r="T27" s="493">
        <v>0</v>
      </c>
      <c r="U27" s="493">
        <v>0</v>
      </c>
      <c r="V27" s="493">
        <v>0</v>
      </c>
      <c r="W27" s="493">
        <v>0</v>
      </c>
      <c r="X27" s="499">
        <v>0</v>
      </c>
      <c r="Y27" s="493">
        <v>0</v>
      </c>
      <c r="Z27" s="493">
        <v>18081467</v>
      </c>
      <c r="AA27" s="493">
        <v>0</v>
      </c>
      <c r="AB27" s="494">
        <f aca="true" t="shared" si="1" ref="AB27:AB33">SUM(G27:AA27)</f>
        <v>33081467</v>
      </c>
    </row>
    <row r="28" spans="3:28" ht="39" customHeight="1">
      <c r="C28" s="465" t="s">
        <v>1128</v>
      </c>
      <c r="D28" s="496" t="s">
        <v>409</v>
      </c>
      <c r="E28" s="497" t="s">
        <v>1132</v>
      </c>
      <c r="F28" s="498"/>
      <c r="G28" s="499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9"/>
      <c r="Y28" s="493">
        <f>2500000+47500000</f>
        <v>50000000</v>
      </c>
      <c r="Z28" s="493"/>
      <c r="AA28" s="493"/>
      <c r="AB28" s="494">
        <f t="shared" si="1"/>
        <v>50000000</v>
      </c>
    </row>
    <row r="29" spans="3:28" ht="38.25" customHeight="1">
      <c r="C29" s="465" t="s">
        <v>1127</v>
      </c>
      <c r="D29" s="496" t="s">
        <v>410</v>
      </c>
      <c r="E29" s="497" t="s">
        <v>1133</v>
      </c>
      <c r="F29" s="498"/>
      <c r="G29" s="499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9"/>
      <c r="Y29" s="493">
        <v>97606050</v>
      </c>
      <c r="Z29" s="493"/>
      <c r="AA29" s="493"/>
      <c r="AB29" s="494">
        <f t="shared" si="1"/>
        <v>97606050</v>
      </c>
    </row>
    <row r="30" spans="3:28" ht="38.25" customHeight="1">
      <c r="C30" s="465" t="s">
        <v>1127</v>
      </c>
      <c r="D30" s="496" t="s">
        <v>485</v>
      </c>
      <c r="E30" s="497" t="s">
        <v>1188</v>
      </c>
      <c r="F30" s="498"/>
      <c r="G30" s="499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9">
        <f>19999984+10986749</f>
        <v>30986733</v>
      </c>
      <c r="Y30" s="493"/>
      <c r="Z30" s="493"/>
      <c r="AA30" s="493"/>
      <c r="AB30" s="494">
        <f t="shared" si="1"/>
        <v>30986733</v>
      </c>
    </row>
    <row r="31" spans="3:28" ht="48">
      <c r="C31" s="465" t="s">
        <v>1127</v>
      </c>
      <c r="D31" s="496" t="s">
        <v>486</v>
      </c>
      <c r="E31" s="497" t="s">
        <v>1189</v>
      </c>
      <c r="F31" s="498"/>
      <c r="G31" s="499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9">
        <f>9980698+913285</f>
        <v>10893983</v>
      </c>
      <c r="Y31" s="493"/>
      <c r="Z31" s="493"/>
      <c r="AA31" s="493"/>
      <c r="AB31" s="494">
        <f t="shared" si="1"/>
        <v>10893983</v>
      </c>
    </row>
    <row r="32" spans="3:28" ht="60">
      <c r="C32" s="465" t="s">
        <v>1127</v>
      </c>
      <c r="D32" s="496" t="s">
        <v>487</v>
      </c>
      <c r="E32" s="497" t="s">
        <v>1192</v>
      </c>
      <c r="F32" s="498"/>
      <c r="G32" s="499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9">
        <v>831000</v>
      </c>
      <c r="Y32" s="493"/>
      <c r="Z32" s="493"/>
      <c r="AA32" s="493"/>
      <c r="AB32" s="494">
        <f t="shared" si="1"/>
        <v>831000</v>
      </c>
    </row>
    <row r="33" spans="3:28" ht="48">
      <c r="C33" s="465" t="s">
        <v>1127</v>
      </c>
      <c r="D33" s="496" t="s">
        <v>455</v>
      </c>
      <c r="E33" s="497" t="s">
        <v>1190</v>
      </c>
      <c r="F33" s="498"/>
      <c r="G33" s="499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9"/>
      <c r="Y33" s="493">
        <f>-3969604+23130819</f>
        <v>19161215</v>
      </c>
      <c r="Z33" s="493"/>
      <c r="AA33" s="493"/>
      <c r="AB33" s="494">
        <f t="shared" si="1"/>
        <v>19161215</v>
      </c>
    </row>
    <row r="34" spans="3:28" ht="24" customHeight="1">
      <c r="C34" s="465" t="s">
        <v>781</v>
      </c>
      <c r="D34" s="496" t="s">
        <v>488</v>
      </c>
      <c r="E34" s="497" t="s">
        <v>782</v>
      </c>
      <c r="F34" s="498"/>
      <c r="G34" s="499">
        <v>0</v>
      </c>
      <c r="H34" s="493">
        <v>0</v>
      </c>
      <c r="I34" s="493">
        <v>0</v>
      </c>
      <c r="J34" s="493">
        <v>0</v>
      </c>
      <c r="K34" s="493">
        <v>0</v>
      </c>
      <c r="L34" s="493">
        <v>0</v>
      </c>
      <c r="M34" s="493">
        <v>0</v>
      </c>
      <c r="N34" s="493">
        <v>0</v>
      </c>
      <c r="O34" s="493">
        <v>0</v>
      </c>
      <c r="P34" s="493"/>
      <c r="Q34" s="493">
        <v>0</v>
      </c>
      <c r="R34" s="493"/>
      <c r="S34" s="493"/>
      <c r="T34" s="493">
        <v>0</v>
      </c>
      <c r="U34" s="493">
        <v>0</v>
      </c>
      <c r="V34" s="493">
        <v>0</v>
      </c>
      <c r="W34" s="493">
        <v>0</v>
      </c>
      <c r="X34" s="499">
        <v>0</v>
      </c>
      <c r="Y34" s="493">
        <f>389000-389000</f>
        <v>0</v>
      </c>
      <c r="Z34" s="493">
        <v>0</v>
      </c>
      <c r="AA34" s="493">
        <v>0</v>
      </c>
      <c r="AB34" s="494">
        <f t="shared" si="0"/>
        <v>0</v>
      </c>
    </row>
    <row r="35" spans="1:28" ht="24" customHeight="1">
      <c r="A35" s="464">
        <v>751966</v>
      </c>
      <c r="B35" s="465" t="s">
        <v>65</v>
      </c>
      <c r="C35" s="465" t="s">
        <v>63</v>
      </c>
      <c r="D35" s="496" t="s">
        <v>411</v>
      </c>
      <c r="E35" s="497" t="s">
        <v>374</v>
      </c>
      <c r="F35" s="498"/>
      <c r="G35" s="499">
        <v>0</v>
      </c>
      <c r="H35" s="493">
        <v>0</v>
      </c>
      <c r="I35" s="493">
        <v>23139400</v>
      </c>
      <c r="J35" s="493">
        <v>0</v>
      </c>
      <c r="K35" s="493">
        <v>0</v>
      </c>
      <c r="L35" s="493">
        <v>0</v>
      </c>
      <c r="M35" s="493">
        <v>0</v>
      </c>
      <c r="N35" s="493">
        <v>0</v>
      </c>
      <c r="O35" s="493">
        <v>0</v>
      </c>
      <c r="P35" s="493"/>
      <c r="Q35" s="493">
        <v>0</v>
      </c>
      <c r="R35" s="493"/>
      <c r="S35" s="493"/>
      <c r="T35" s="493">
        <v>0</v>
      </c>
      <c r="U35" s="493">
        <v>0</v>
      </c>
      <c r="V35" s="493">
        <v>0</v>
      </c>
      <c r="W35" s="493">
        <v>0</v>
      </c>
      <c r="X35" s="499">
        <v>0</v>
      </c>
      <c r="Y35" s="493">
        <v>0</v>
      </c>
      <c r="Z35" s="493">
        <v>0</v>
      </c>
      <c r="AA35" s="493">
        <v>0</v>
      </c>
      <c r="AB35" s="494">
        <f t="shared" si="0"/>
        <v>23139400</v>
      </c>
    </row>
    <row r="36" spans="1:28" ht="24" customHeight="1">
      <c r="A36" s="464">
        <v>751999</v>
      </c>
      <c r="B36" s="465" t="s">
        <v>67</v>
      </c>
      <c r="C36" s="465" t="s">
        <v>59</v>
      </c>
      <c r="D36" s="496" t="s">
        <v>412</v>
      </c>
      <c r="E36" s="497" t="s">
        <v>541</v>
      </c>
      <c r="F36" s="498"/>
      <c r="G36" s="499">
        <v>0</v>
      </c>
      <c r="H36" s="499">
        <v>0</v>
      </c>
      <c r="I36" s="493">
        <f>254000+1100000+400000-100000</f>
        <v>1654000</v>
      </c>
      <c r="J36" s="493">
        <v>0</v>
      </c>
      <c r="K36" s="493">
        <v>0</v>
      </c>
      <c r="L36" s="493">
        <v>0</v>
      </c>
      <c r="M36" s="493">
        <f>25828000-1100000+3692132</f>
        <v>28420132</v>
      </c>
      <c r="N36" s="493">
        <v>0</v>
      </c>
      <c r="O36" s="493">
        <v>0</v>
      </c>
      <c r="P36" s="493"/>
      <c r="Q36" s="493">
        <v>0</v>
      </c>
      <c r="R36" s="493"/>
      <c r="S36" s="493"/>
      <c r="T36" s="493">
        <v>0</v>
      </c>
      <c r="U36" s="493">
        <v>0</v>
      </c>
      <c r="V36" s="493">
        <v>0</v>
      </c>
      <c r="W36" s="493">
        <v>0</v>
      </c>
      <c r="X36" s="499">
        <v>0</v>
      </c>
      <c r="Y36" s="493">
        <f>2606050+95000000-97606050</f>
        <v>0</v>
      </c>
      <c r="Z36" s="493">
        <v>0</v>
      </c>
      <c r="AA36" s="493">
        <v>0</v>
      </c>
      <c r="AB36" s="494">
        <f t="shared" si="0"/>
        <v>30074132</v>
      </c>
    </row>
    <row r="37" spans="2:29" ht="24">
      <c r="B37" s="465" t="s">
        <v>69</v>
      </c>
      <c r="C37" s="465" t="s">
        <v>64</v>
      </c>
      <c r="D37" s="496" t="s">
        <v>413</v>
      </c>
      <c r="E37" s="497" t="s">
        <v>542</v>
      </c>
      <c r="F37" s="498"/>
      <c r="G37" s="499">
        <v>25000</v>
      </c>
      <c r="H37" s="499">
        <v>4388</v>
      </c>
      <c r="I37" s="493">
        <f>19910394+4650000-200000-5715000+90000+146050+550000+500000-152400-300000-200000-5715000+444500-40000-1393900+85000-85000</f>
        <v>12574644</v>
      </c>
      <c r="J37" s="493">
        <v>0</v>
      </c>
      <c r="K37" s="493">
        <v>0</v>
      </c>
      <c r="L37" s="493">
        <v>0</v>
      </c>
      <c r="M37" s="493">
        <f>17049000-4650000+2800000</f>
        <v>15199000</v>
      </c>
      <c r="N37" s="493">
        <v>0</v>
      </c>
      <c r="O37" s="493">
        <v>0</v>
      </c>
      <c r="P37" s="493"/>
      <c r="Q37" s="493">
        <v>0</v>
      </c>
      <c r="R37" s="493"/>
      <c r="S37" s="493"/>
      <c r="T37" s="493">
        <v>0</v>
      </c>
      <c r="U37" s="493">
        <v>0</v>
      </c>
      <c r="V37" s="493">
        <v>0</v>
      </c>
      <c r="W37" s="493">
        <v>0</v>
      </c>
      <c r="X37" s="499">
        <f>335750+495250+152400+200000+1595000+5715000-831000</f>
        <v>7662400</v>
      </c>
      <c r="Y37" s="493">
        <v>0</v>
      </c>
      <c r="Z37" s="493">
        <v>0</v>
      </c>
      <c r="AA37" s="493">
        <v>0</v>
      </c>
      <c r="AB37" s="494">
        <f t="shared" si="0"/>
        <v>35465432</v>
      </c>
      <c r="AC37" s="501"/>
    </row>
    <row r="38" spans="2:29" ht="24" customHeight="1">
      <c r="B38" s="465" t="s">
        <v>70</v>
      </c>
      <c r="C38" s="465" t="s">
        <v>70</v>
      </c>
      <c r="D38" s="1054" t="s">
        <v>1193</v>
      </c>
      <c r="E38" s="497" t="s">
        <v>376</v>
      </c>
      <c r="F38" s="502"/>
      <c r="G38" s="493">
        <v>0</v>
      </c>
      <c r="H38" s="493">
        <v>0</v>
      </c>
      <c r="I38" s="493">
        <v>360000</v>
      </c>
      <c r="J38" s="493">
        <v>0</v>
      </c>
      <c r="K38" s="493">
        <v>0</v>
      </c>
      <c r="L38" s="493">
        <v>0</v>
      </c>
      <c r="M38" s="493">
        <v>0</v>
      </c>
      <c r="N38" s="493">
        <v>0</v>
      </c>
      <c r="O38" s="493">
        <v>0</v>
      </c>
      <c r="P38" s="493"/>
      <c r="Q38" s="493">
        <v>0</v>
      </c>
      <c r="R38" s="493"/>
      <c r="S38" s="493"/>
      <c r="T38" s="493">
        <v>0</v>
      </c>
      <c r="U38" s="493">
        <v>0</v>
      </c>
      <c r="V38" s="493">
        <v>0</v>
      </c>
      <c r="W38" s="493">
        <v>0</v>
      </c>
      <c r="X38" s="493">
        <v>0</v>
      </c>
      <c r="Y38" s="493">
        <v>0</v>
      </c>
      <c r="Z38" s="493">
        <v>0</v>
      </c>
      <c r="AA38" s="493">
        <v>0</v>
      </c>
      <c r="AB38" s="494">
        <f t="shared" si="0"/>
        <v>360000</v>
      </c>
      <c r="AC38" s="501"/>
    </row>
    <row r="39" spans="2:30" ht="24" customHeight="1">
      <c r="B39" s="465" t="s">
        <v>71</v>
      </c>
      <c r="C39" s="465" t="s">
        <v>71</v>
      </c>
      <c r="D39" s="1054"/>
      <c r="E39" s="497" t="s">
        <v>377</v>
      </c>
      <c r="F39" s="502"/>
      <c r="G39" s="493">
        <v>2846984</v>
      </c>
      <c r="H39" s="493">
        <v>573827</v>
      </c>
      <c r="I39" s="493">
        <f>18217394+601200-233830+40000</f>
        <v>18624764</v>
      </c>
      <c r="J39" s="493">
        <v>0</v>
      </c>
      <c r="K39" s="493">
        <v>0</v>
      </c>
      <c r="L39" s="493">
        <v>28922</v>
      </c>
      <c r="M39" s="493">
        <v>0</v>
      </c>
      <c r="N39" s="493">
        <v>0</v>
      </c>
      <c r="O39" s="493">
        <v>0</v>
      </c>
      <c r="P39" s="493"/>
      <c r="Q39" s="493">
        <v>0</v>
      </c>
      <c r="R39" s="493"/>
      <c r="S39" s="493"/>
      <c r="T39" s="493">
        <v>0</v>
      </c>
      <c r="U39" s="493">
        <v>0</v>
      </c>
      <c r="V39" s="493">
        <v>0</v>
      </c>
      <c r="W39" s="493">
        <v>0</v>
      </c>
      <c r="X39" s="493">
        <f>76200+233830</f>
        <v>310030</v>
      </c>
      <c r="Y39" s="493">
        <v>0</v>
      </c>
      <c r="Z39" s="493">
        <v>0</v>
      </c>
      <c r="AA39" s="493">
        <v>0</v>
      </c>
      <c r="AB39" s="494">
        <f t="shared" si="0"/>
        <v>22384527</v>
      </c>
      <c r="AD39" s="464" t="s">
        <v>747</v>
      </c>
    </row>
    <row r="40" spans="1:30" ht="24" customHeight="1">
      <c r="A40" s="464">
        <v>851286</v>
      </c>
      <c r="B40" s="465" t="s">
        <v>72</v>
      </c>
      <c r="C40" s="465" t="s">
        <v>72</v>
      </c>
      <c r="D40" s="1054"/>
      <c r="E40" s="497" t="s">
        <v>378</v>
      </c>
      <c r="F40" s="502"/>
      <c r="G40" s="493">
        <v>0</v>
      </c>
      <c r="H40" s="493">
        <v>0</v>
      </c>
      <c r="I40" s="493">
        <v>120000</v>
      </c>
      <c r="J40" s="493">
        <v>0</v>
      </c>
      <c r="K40" s="493">
        <v>0</v>
      </c>
      <c r="L40" s="493">
        <v>0</v>
      </c>
      <c r="M40" s="493">
        <v>0</v>
      </c>
      <c r="N40" s="493">
        <v>0</v>
      </c>
      <c r="O40" s="493">
        <v>0</v>
      </c>
      <c r="P40" s="493"/>
      <c r="Q40" s="493">
        <v>0</v>
      </c>
      <c r="R40" s="493"/>
      <c r="S40" s="493"/>
      <c r="T40" s="493">
        <v>0</v>
      </c>
      <c r="U40" s="493">
        <v>0</v>
      </c>
      <c r="V40" s="493">
        <v>0</v>
      </c>
      <c r="W40" s="493">
        <v>0</v>
      </c>
      <c r="X40" s="493">
        <v>0</v>
      </c>
      <c r="Y40" s="493">
        <v>0</v>
      </c>
      <c r="Z40" s="493">
        <v>0</v>
      </c>
      <c r="AA40" s="493">
        <v>0</v>
      </c>
      <c r="AB40" s="494">
        <f t="shared" si="0"/>
        <v>120000</v>
      </c>
      <c r="AD40" s="501">
        <f>SUM(AB38:AB41)</f>
        <v>45932718</v>
      </c>
    </row>
    <row r="41" spans="1:28" s="495" customFormat="1" ht="27" customHeight="1">
      <c r="A41" s="464">
        <v>851297</v>
      </c>
      <c r="B41" s="465" t="s">
        <v>73</v>
      </c>
      <c r="C41" s="465" t="s">
        <v>73</v>
      </c>
      <c r="D41" s="1054"/>
      <c r="E41" s="497" t="s">
        <v>430</v>
      </c>
      <c r="F41" s="502"/>
      <c r="G41" s="493">
        <v>16985805</v>
      </c>
      <c r="H41" s="493">
        <v>3345516</v>
      </c>
      <c r="I41" s="493">
        <f>2736870-5990-63436</f>
        <v>2667444</v>
      </c>
      <c r="J41" s="493">
        <v>0</v>
      </c>
      <c r="K41" s="493">
        <v>0</v>
      </c>
      <c r="L41" s="493">
        <v>0</v>
      </c>
      <c r="M41" s="493">
        <v>0</v>
      </c>
      <c r="N41" s="493">
        <v>0</v>
      </c>
      <c r="O41" s="493">
        <v>0</v>
      </c>
      <c r="P41" s="493"/>
      <c r="Q41" s="493">
        <v>0</v>
      </c>
      <c r="R41" s="493"/>
      <c r="S41" s="493"/>
      <c r="T41" s="493">
        <v>0</v>
      </c>
      <c r="U41" s="493">
        <v>0</v>
      </c>
      <c r="V41" s="493">
        <v>0</v>
      </c>
      <c r="W41" s="493">
        <v>0</v>
      </c>
      <c r="X41" s="493">
        <f>5990+63436</f>
        <v>69426</v>
      </c>
      <c r="Y41" s="493">
        <v>0</v>
      </c>
      <c r="Z41" s="493">
        <v>0</v>
      </c>
      <c r="AA41" s="493">
        <v>0</v>
      </c>
      <c r="AB41" s="494">
        <f t="shared" si="0"/>
        <v>23068191</v>
      </c>
    </row>
    <row r="42" spans="1:28" s="495" customFormat="1" ht="24" customHeight="1">
      <c r="A42" s="464">
        <v>853322</v>
      </c>
      <c r="B42" s="465" t="s">
        <v>74</v>
      </c>
      <c r="C42" s="465" t="s">
        <v>82</v>
      </c>
      <c r="D42" s="496" t="s">
        <v>414</v>
      </c>
      <c r="E42" s="497" t="s">
        <v>83</v>
      </c>
      <c r="F42" s="503"/>
      <c r="G42" s="493">
        <v>0</v>
      </c>
      <c r="H42" s="493">
        <v>0</v>
      </c>
      <c r="I42" s="493">
        <v>0</v>
      </c>
      <c r="J42" s="493">
        <v>0</v>
      </c>
      <c r="K42" s="493">
        <v>0</v>
      </c>
      <c r="L42" s="493">
        <v>0</v>
      </c>
      <c r="M42" s="493">
        <f>16441000+4638836</f>
        <v>21079836</v>
      </c>
      <c r="N42" s="493">
        <v>0</v>
      </c>
      <c r="O42" s="493">
        <v>0</v>
      </c>
      <c r="P42" s="493"/>
      <c r="Q42" s="493">
        <v>0</v>
      </c>
      <c r="R42" s="493"/>
      <c r="S42" s="493"/>
      <c r="T42" s="493">
        <v>0</v>
      </c>
      <c r="U42" s="493">
        <v>0</v>
      </c>
      <c r="V42" s="493">
        <v>0</v>
      </c>
      <c r="W42" s="493">
        <v>0</v>
      </c>
      <c r="X42" s="493">
        <f>15576620-11201400+150000+235153+197100</f>
        <v>4957473</v>
      </c>
      <c r="Y42" s="493">
        <v>0</v>
      </c>
      <c r="Z42" s="493">
        <v>0</v>
      </c>
      <c r="AA42" s="493">
        <v>0</v>
      </c>
      <c r="AB42" s="494">
        <f t="shared" si="0"/>
        <v>26037309</v>
      </c>
    </row>
    <row r="43" spans="1:28" s="495" customFormat="1" ht="24" customHeight="1">
      <c r="A43" s="464"/>
      <c r="B43" s="465"/>
      <c r="C43" s="465" t="s">
        <v>54</v>
      </c>
      <c r="D43" s="496" t="s">
        <v>429</v>
      </c>
      <c r="E43" s="497" t="s">
        <v>1138</v>
      </c>
      <c r="F43" s="503"/>
      <c r="G43" s="493"/>
      <c r="H43" s="493"/>
      <c r="I43" s="493"/>
      <c r="J43" s="493"/>
      <c r="K43" s="493"/>
      <c r="L43" s="493">
        <v>15000</v>
      </c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4">
        <f t="shared" si="0"/>
        <v>15000</v>
      </c>
    </row>
    <row r="44" spans="1:28" s="495" customFormat="1" ht="24">
      <c r="A44" s="464"/>
      <c r="B44" s="465" t="s">
        <v>75</v>
      </c>
      <c r="C44" s="465" t="s">
        <v>538</v>
      </c>
      <c r="D44" s="496" t="s">
        <v>490</v>
      </c>
      <c r="E44" s="504" t="s">
        <v>612</v>
      </c>
      <c r="F44" s="503"/>
      <c r="G44" s="493">
        <v>80000</v>
      </c>
      <c r="H44" s="493">
        <v>41361</v>
      </c>
      <c r="I44" s="493">
        <f>1917850-235153</f>
        <v>1682697</v>
      </c>
      <c r="J44" s="493">
        <v>0</v>
      </c>
      <c r="K44" s="493">
        <v>0</v>
      </c>
      <c r="L44" s="493">
        <v>0</v>
      </c>
      <c r="M44" s="493">
        <v>0</v>
      </c>
      <c r="N44" s="493">
        <v>0</v>
      </c>
      <c r="O44" s="493">
        <v>0</v>
      </c>
      <c r="P44" s="493"/>
      <c r="Q44" s="493">
        <v>0</v>
      </c>
      <c r="R44" s="493"/>
      <c r="S44" s="493"/>
      <c r="T44" s="493">
        <v>0</v>
      </c>
      <c r="U44" s="493">
        <v>0</v>
      </c>
      <c r="V44" s="493">
        <v>0</v>
      </c>
      <c r="W44" s="493">
        <v>0</v>
      </c>
      <c r="X44" s="493">
        <v>0</v>
      </c>
      <c r="Y44" s="493">
        <f>22279919+850900-23130819</f>
        <v>0</v>
      </c>
      <c r="Z44" s="493">
        <v>0</v>
      </c>
      <c r="AA44" s="493">
        <v>0</v>
      </c>
      <c r="AB44" s="494">
        <f t="shared" si="0"/>
        <v>1804058</v>
      </c>
    </row>
    <row r="45" spans="1:28" s="495" customFormat="1" ht="24">
      <c r="A45" s="464"/>
      <c r="B45" s="465" t="s">
        <v>75</v>
      </c>
      <c r="C45" s="465" t="s">
        <v>978</v>
      </c>
      <c r="D45" s="496" t="s">
        <v>491</v>
      </c>
      <c r="E45" s="504" t="s">
        <v>543</v>
      </c>
      <c r="F45" s="503"/>
      <c r="G45" s="493">
        <v>0</v>
      </c>
      <c r="H45" s="493">
        <v>0</v>
      </c>
      <c r="I45" s="493">
        <f>95585+527827</f>
        <v>623412</v>
      </c>
      <c r="J45" s="493">
        <v>0</v>
      </c>
      <c r="K45" s="493">
        <v>0</v>
      </c>
      <c r="L45" s="493">
        <v>0</v>
      </c>
      <c r="M45" s="493">
        <v>0</v>
      </c>
      <c r="N45" s="493">
        <v>0</v>
      </c>
      <c r="O45" s="493">
        <v>0</v>
      </c>
      <c r="P45" s="493"/>
      <c r="Q45" s="493">
        <v>0</v>
      </c>
      <c r="R45" s="493"/>
      <c r="S45" s="493"/>
      <c r="T45" s="493">
        <v>0</v>
      </c>
      <c r="U45" s="493">
        <v>0</v>
      </c>
      <c r="V45" s="493">
        <v>0</v>
      </c>
      <c r="W45" s="493">
        <v>0</v>
      </c>
      <c r="X45" s="493">
        <v>0</v>
      </c>
      <c r="Y45" s="493">
        <v>0</v>
      </c>
      <c r="Z45" s="493">
        <v>0</v>
      </c>
      <c r="AA45" s="493">
        <v>0</v>
      </c>
      <c r="AB45" s="494">
        <f aca="true" t="shared" si="2" ref="AB45:AB50">SUM(G45:AA45)</f>
        <v>623412</v>
      </c>
    </row>
    <row r="46" spans="1:28" s="495" customFormat="1" ht="15.75" customHeight="1">
      <c r="A46" s="464"/>
      <c r="B46" s="465"/>
      <c r="C46" s="465" t="s">
        <v>80</v>
      </c>
      <c r="D46" s="496" t="s">
        <v>867</v>
      </c>
      <c r="E46" s="891" t="s">
        <v>379</v>
      </c>
      <c r="F46" s="503"/>
      <c r="G46" s="493">
        <v>1768202</v>
      </c>
      <c r="H46" s="493">
        <v>348675</v>
      </c>
      <c r="I46" s="493">
        <v>0</v>
      </c>
      <c r="J46" s="493">
        <v>0</v>
      </c>
      <c r="K46" s="493">
        <v>0</v>
      </c>
      <c r="L46" s="493">
        <v>0</v>
      </c>
      <c r="M46" s="493">
        <v>0</v>
      </c>
      <c r="N46" s="493">
        <v>0</v>
      </c>
      <c r="O46" s="493">
        <v>0</v>
      </c>
      <c r="P46" s="493"/>
      <c r="Q46" s="493">
        <v>0</v>
      </c>
      <c r="R46" s="493">
        <v>0</v>
      </c>
      <c r="S46" s="493">
        <v>0</v>
      </c>
      <c r="T46" s="493">
        <v>0</v>
      </c>
      <c r="U46" s="493">
        <v>0</v>
      </c>
      <c r="V46" s="493">
        <v>0</v>
      </c>
      <c r="W46" s="493">
        <v>0</v>
      </c>
      <c r="X46" s="493">
        <v>807720</v>
      </c>
      <c r="Y46" s="493">
        <v>0</v>
      </c>
      <c r="Z46" s="493">
        <v>0</v>
      </c>
      <c r="AA46" s="493">
        <v>0</v>
      </c>
      <c r="AB46" s="494">
        <f t="shared" si="2"/>
        <v>2924597</v>
      </c>
    </row>
    <row r="47" spans="1:28" s="495" customFormat="1" ht="16.5" customHeight="1">
      <c r="A47" s="464"/>
      <c r="B47" s="465"/>
      <c r="C47" s="465" t="s">
        <v>1125</v>
      </c>
      <c r="D47" s="496" t="s">
        <v>868</v>
      </c>
      <c r="E47" s="891" t="s">
        <v>85</v>
      </c>
      <c r="F47" s="503"/>
      <c r="G47" s="493">
        <v>0</v>
      </c>
      <c r="H47" s="493">
        <v>0</v>
      </c>
      <c r="I47" s="493">
        <f>12859+39171</f>
        <v>52030</v>
      </c>
      <c r="J47" s="493">
        <v>0</v>
      </c>
      <c r="K47" s="493">
        <v>0</v>
      </c>
      <c r="L47" s="493">
        <v>0</v>
      </c>
      <c r="M47" s="493">
        <v>0</v>
      </c>
      <c r="N47" s="493">
        <v>0</v>
      </c>
      <c r="O47" s="493">
        <v>0</v>
      </c>
      <c r="P47" s="493"/>
      <c r="Q47" s="493">
        <v>0</v>
      </c>
      <c r="R47" s="493">
        <v>0</v>
      </c>
      <c r="S47" s="493">
        <v>0</v>
      </c>
      <c r="T47" s="493">
        <v>0</v>
      </c>
      <c r="U47" s="493">
        <v>0</v>
      </c>
      <c r="V47" s="493">
        <v>0</v>
      </c>
      <c r="W47" s="493">
        <v>0</v>
      </c>
      <c r="X47" s="493">
        <v>0</v>
      </c>
      <c r="Y47" s="493">
        <v>0</v>
      </c>
      <c r="Z47" s="493">
        <v>0</v>
      </c>
      <c r="AA47" s="493">
        <v>0</v>
      </c>
      <c r="AB47" s="494">
        <f t="shared" si="2"/>
        <v>52030</v>
      </c>
    </row>
    <row r="48" spans="1:28" s="495" customFormat="1" ht="36">
      <c r="A48" s="464"/>
      <c r="B48" s="465"/>
      <c r="C48" s="465" t="s">
        <v>881</v>
      </c>
      <c r="D48" s="496" t="s">
        <v>874</v>
      </c>
      <c r="E48" s="226" t="s">
        <v>1137</v>
      </c>
      <c r="F48" s="503"/>
      <c r="G48" s="493">
        <v>8400000</v>
      </c>
      <c r="H48" s="493">
        <v>1656000</v>
      </c>
      <c r="I48" s="493">
        <v>10749062</v>
      </c>
      <c r="J48" s="493">
        <v>0</v>
      </c>
      <c r="K48" s="493">
        <v>0</v>
      </c>
      <c r="L48" s="493">
        <v>0</v>
      </c>
      <c r="M48" s="493">
        <v>0</v>
      </c>
      <c r="N48" s="493">
        <v>0</v>
      </c>
      <c r="O48" s="493">
        <v>0</v>
      </c>
      <c r="P48" s="493"/>
      <c r="Q48" s="493">
        <v>0</v>
      </c>
      <c r="R48" s="493"/>
      <c r="S48" s="493"/>
      <c r="T48" s="493">
        <v>0</v>
      </c>
      <c r="U48" s="493">
        <v>0</v>
      </c>
      <c r="V48" s="493">
        <v>0</v>
      </c>
      <c r="W48" s="493">
        <v>0</v>
      </c>
      <c r="X48" s="493">
        <v>830000</v>
      </c>
      <c r="Y48" s="493">
        <v>0</v>
      </c>
      <c r="Z48" s="493">
        <v>0</v>
      </c>
      <c r="AA48" s="493">
        <v>0</v>
      </c>
      <c r="AB48" s="494">
        <f t="shared" si="2"/>
        <v>21635062</v>
      </c>
    </row>
    <row r="49" spans="1:28" s="495" customFormat="1" ht="36">
      <c r="A49" s="464"/>
      <c r="B49" s="465"/>
      <c r="C49" s="465" t="s">
        <v>1096</v>
      </c>
      <c r="D49" s="496" t="s">
        <v>875</v>
      </c>
      <c r="E49" s="226" t="s">
        <v>1097</v>
      </c>
      <c r="F49" s="503"/>
      <c r="G49" s="493">
        <f>4454365+1744</f>
        <v>4456109</v>
      </c>
      <c r="H49" s="493">
        <f>867408+4668</f>
        <v>872076</v>
      </c>
      <c r="I49" s="493">
        <f>5771921+66142+2570768</f>
        <v>8408831</v>
      </c>
      <c r="J49" s="493">
        <v>0</v>
      </c>
      <c r="K49" s="493">
        <v>0</v>
      </c>
      <c r="L49" s="493">
        <v>0</v>
      </c>
      <c r="M49" s="493">
        <v>0</v>
      </c>
      <c r="N49" s="493">
        <v>0</v>
      </c>
      <c r="O49" s="493">
        <v>0</v>
      </c>
      <c r="P49" s="493"/>
      <c r="Q49" s="493">
        <v>0</v>
      </c>
      <c r="R49" s="493">
        <v>0</v>
      </c>
      <c r="S49" s="493">
        <v>0</v>
      </c>
      <c r="T49" s="493">
        <v>0</v>
      </c>
      <c r="U49" s="493">
        <v>0</v>
      </c>
      <c r="V49" s="493">
        <v>0</v>
      </c>
      <c r="W49" s="493">
        <v>0</v>
      </c>
      <c r="X49" s="493">
        <f>3055442+103900</f>
        <v>3159342</v>
      </c>
      <c r="Y49" s="493">
        <v>0</v>
      </c>
      <c r="Z49" s="493">
        <v>0</v>
      </c>
      <c r="AA49" s="493">
        <v>0</v>
      </c>
      <c r="AB49" s="494">
        <f t="shared" si="2"/>
        <v>16896358</v>
      </c>
    </row>
    <row r="50" spans="2:30" ht="24">
      <c r="B50" s="465" t="s">
        <v>77</v>
      </c>
      <c r="C50" s="465" t="s">
        <v>69</v>
      </c>
      <c r="D50" s="496" t="s">
        <v>886</v>
      </c>
      <c r="E50" s="497" t="s">
        <v>970</v>
      </c>
      <c r="F50" s="502"/>
      <c r="G50" s="493">
        <v>0</v>
      </c>
      <c r="H50" s="493">
        <v>0</v>
      </c>
      <c r="I50" s="493">
        <v>46939</v>
      </c>
      <c r="J50" s="493">
        <v>0</v>
      </c>
      <c r="K50" s="505">
        <v>0</v>
      </c>
      <c r="L50" s="505">
        <v>0</v>
      </c>
      <c r="M50" s="505">
        <v>0</v>
      </c>
      <c r="N50" s="493">
        <v>0</v>
      </c>
      <c r="O50" s="493">
        <v>0</v>
      </c>
      <c r="P50" s="493"/>
      <c r="Q50" s="493">
        <v>0</v>
      </c>
      <c r="R50" s="493"/>
      <c r="S50" s="493"/>
      <c r="T50" s="493">
        <v>0</v>
      </c>
      <c r="U50" s="493">
        <v>0</v>
      </c>
      <c r="V50" s="493">
        <v>0</v>
      </c>
      <c r="W50" s="493">
        <v>0</v>
      </c>
      <c r="X50" s="493">
        <v>0</v>
      </c>
      <c r="Y50" s="493">
        <f>1576197+29947750</f>
        <v>31523947</v>
      </c>
      <c r="Z50" s="493">
        <v>0</v>
      </c>
      <c r="AA50" s="493">
        <v>0</v>
      </c>
      <c r="AB50" s="494">
        <f t="shared" si="2"/>
        <v>31570886</v>
      </c>
      <c r="AD50" s="501">
        <f>SUM(AB50:AB50)</f>
        <v>31570886</v>
      </c>
    </row>
    <row r="51" spans="2:30" ht="24">
      <c r="B51" s="465" t="s">
        <v>77</v>
      </c>
      <c r="C51" s="465" t="s">
        <v>607</v>
      </c>
      <c r="D51" s="496" t="s">
        <v>979</v>
      </c>
      <c r="E51" s="497" t="s">
        <v>608</v>
      </c>
      <c r="F51" s="502"/>
      <c r="G51" s="493">
        <v>0</v>
      </c>
      <c r="H51" s="493">
        <v>0</v>
      </c>
      <c r="I51" s="493">
        <v>0</v>
      </c>
      <c r="J51" s="493">
        <v>0</v>
      </c>
      <c r="K51" s="505">
        <v>0</v>
      </c>
      <c r="L51" s="505">
        <v>0</v>
      </c>
      <c r="M51" s="505">
        <f>4592665-4592665</f>
        <v>0</v>
      </c>
      <c r="N51" s="493">
        <v>0</v>
      </c>
      <c r="O51" s="493">
        <v>0</v>
      </c>
      <c r="P51" s="493"/>
      <c r="Q51" s="493">
        <v>0</v>
      </c>
      <c r="R51" s="493"/>
      <c r="S51" s="493"/>
      <c r="T51" s="493">
        <v>0</v>
      </c>
      <c r="U51" s="493">
        <v>0</v>
      </c>
      <c r="V51" s="493">
        <v>0</v>
      </c>
      <c r="W51" s="493">
        <v>0</v>
      </c>
      <c r="X51" s="493">
        <v>0</v>
      </c>
      <c r="Y51" s="493">
        <v>0</v>
      </c>
      <c r="Z51" s="493">
        <v>0</v>
      </c>
      <c r="AA51" s="493">
        <v>0</v>
      </c>
      <c r="AB51" s="494">
        <f t="shared" si="0"/>
        <v>0</v>
      </c>
      <c r="AD51" s="501">
        <f>SUM(AB51:AB51)</f>
        <v>0</v>
      </c>
    </row>
    <row r="52" spans="3:28" ht="36" customHeight="1">
      <c r="C52" s="465" t="s">
        <v>1129</v>
      </c>
      <c r="D52" s="506" t="s">
        <v>980</v>
      </c>
      <c r="E52" s="497" t="s">
        <v>1140</v>
      </c>
      <c r="F52" s="502"/>
      <c r="G52" s="493">
        <f>12762600-2800000</f>
        <v>9962600</v>
      </c>
      <c r="H52" s="493">
        <f>2999211-546000</f>
        <v>2453211</v>
      </c>
      <c r="I52" s="493">
        <v>15053577</v>
      </c>
      <c r="J52" s="493">
        <v>0</v>
      </c>
      <c r="K52" s="493">
        <v>0</v>
      </c>
      <c r="L52" s="493">
        <v>0</v>
      </c>
      <c r="M52" s="493">
        <v>1564044</v>
      </c>
      <c r="N52" s="493">
        <v>0</v>
      </c>
      <c r="O52" s="493">
        <v>0</v>
      </c>
      <c r="P52" s="493"/>
      <c r="Q52" s="493">
        <v>0</v>
      </c>
      <c r="R52" s="493">
        <v>0</v>
      </c>
      <c r="S52" s="493">
        <v>0</v>
      </c>
      <c r="T52" s="493">
        <v>0</v>
      </c>
      <c r="U52" s="493">
        <v>0</v>
      </c>
      <c r="V52" s="493">
        <v>0</v>
      </c>
      <c r="W52" s="493">
        <v>0</v>
      </c>
      <c r="X52" s="493">
        <v>0</v>
      </c>
      <c r="Y52" s="493">
        <v>0</v>
      </c>
      <c r="Z52" s="493">
        <v>0</v>
      </c>
      <c r="AA52" s="493">
        <v>0</v>
      </c>
      <c r="AB52" s="494">
        <f t="shared" si="0"/>
        <v>29033432</v>
      </c>
    </row>
    <row r="53" spans="3:28" ht="24">
      <c r="C53" s="465" t="s">
        <v>641</v>
      </c>
      <c r="D53" s="506" t="s">
        <v>1007</v>
      </c>
      <c r="E53" s="497" t="s">
        <v>642</v>
      </c>
      <c r="F53" s="502"/>
      <c r="G53" s="493">
        <v>2168500</v>
      </c>
      <c r="H53" s="493">
        <v>426883</v>
      </c>
      <c r="I53" s="493">
        <f>54297921-15</f>
        <v>54297906</v>
      </c>
      <c r="J53" s="493">
        <v>0</v>
      </c>
      <c r="K53" s="493">
        <v>0</v>
      </c>
      <c r="L53" s="493">
        <v>0</v>
      </c>
      <c r="M53" s="493">
        <v>0</v>
      </c>
      <c r="N53" s="493">
        <v>0</v>
      </c>
      <c r="O53" s="493">
        <v>0</v>
      </c>
      <c r="P53" s="493"/>
      <c r="Q53" s="493">
        <v>0</v>
      </c>
      <c r="R53" s="493"/>
      <c r="S53" s="493"/>
      <c r="T53" s="493">
        <v>0</v>
      </c>
      <c r="U53" s="493">
        <v>0</v>
      </c>
      <c r="V53" s="493">
        <v>0</v>
      </c>
      <c r="W53" s="493">
        <v>0</v>
      </c>
      <c r="X53" s="493">
        <f>10986734+15-10986749</f>
        <v>0</v>
      </c>
      <c r="Y53" s="493">
        <v>0</v>
      </c>
      <c r="Z53" s="493">
        <v>0</v>
      </c>
      <c r="AA53" s="493">
        <v>0</v>
      </c>
      <c r="AB53" s="494">
        <f t="shared" si="0"/>
        <v>56893289</v>
      </c>
    </row>
    <row r="54" spans="3:28" ht="24">
      <c r="C54" s="465" t="s">
        <v>609</v>
      </c>
      <c r="D54" s="506" t="s">
        <v>1009</v>
      </c>
      <c r="E54" s="497" t="s">
        <v>610</v>
      </c>
      <c r="F54" s="502"/>
      <c r="G54" s="493">
        <v>0</v>
      </c>
      <c r="H54" s="493">
        <v>0</v>
      </c>
      <c r="I54" s="493">
        <v>117194</v>
      </c>
      <c r="J54" s="493">
        <v>0</v>
      </c>
      <c r="K54" s="505">
        <v>0</v>
      </c>
      <c r="L54" s="505">
        <v>0</v>
      </c>
      <c r="M54" s="505">
        <v>0</v>
      </c>
      <c r="N54" s="493">
        <v>0</v>
      </c>
      <c r="O54" s="493">
        <v>0</v>
      </c>
      <c r="P54" s="493"/>
      <c r="Q54" s="493">
        <v>0</v>
      </c>
      <c r="R54" s="493"/>
      <c r="S54" s="493"/>
      <c r="T54" s="493">
        <v>0</v>
      </c>
      <c r="U54" s="493">
        <v>0</v>
      </c>
      <c r="V54" s="493">
        <v>0</v>
      </c>
      <c r="W54" s="493">
        <v>0</v>
      </c>
      <c r="X54" s="493">
        <v>0</v>
      </c>
      <c r="Y54" s="493">
        <v>0</v>
      </c>
      <c r="Z54" s="493">
        <v>0</v>
      </c>
      <c r="AA54" s="493">
        <v>0</v>
      </c>
      <c r="AB54" s="494">
        <f t="shared" si="0"/>
        <v>117194</v>
      </c>
    </row>
    <row r="55" spans="2:28" ht="24" customHeight="1">
      <c r="B55" s="465" t="s">
        <v>78</v>
      </c>
      <c r="C55" s="465" t="s">
        <v>638</v>
      </c>
      <c r="D55" s="506" t="s">
        <v>1010</v>
      </c>
      <c r="E55" s="497" t="s">
        <v>639</v>
      </c>
      <c r="F55" s="502"/>
      <c r="G55" s="493">
        <v>0</v>
      </c>
      <c r="H55" s="493">
        <v>0</v>
      </c>
      <c r="I55" s="493">
        <f>17800000-2600000-228600-1054591-857250</f>
        <v>13059559</v>
      </c>
      <c r="J55" s="493">
        <v>0</v>
      </c>
      <c r="K55" s="493">
        <v>0</v>
      </c>
      <c r="L55" s="493">
        <v>0</v>
      </c>
      <c r="M55" s="493">
        <f>21971000+5275000-3663000</f>
        <v>23583000</v>
      </c>
      <c r="N55" s="493">
        <v>0</v>
      </c>
      <c r="O55" s="493">
        <v>0</v>
      </c>
      <c r="P55" s="493"/>
      <c r="Q55" s="493">
        <v>0</v>
      </c>
      <c r="R55" s="493"/>
      <c r="S55" s="493"/>
      <c r="T55" s="493">
        <v>0</v>
      </c>
      <c r="U55" s="493">
        <v>0</v>
      </c>
      <c r="V55" s="493">
        <v>0</v>
      </c>
      <c r="W55" s="493">
        <v>0</v>
      </c>
      <c r="X55" s="493">
        <v>0</v>
      </c>
      <c r="Y55" s="493">
        <v>0</v>
      </c>
      <c r="Z55" s="493">
        <v>0</v>
      </c>
      <c r="AA55" s="493">
        <v>0</v>
      </c>
      <c r="AB55" s="494">
        <f t="shared" si="0"/>
        <v>36642559</v>
      </c>
    </row>
    <row r="56" spans="3:28" ht="18" customHeight="1">
      <c r="C56" s="465" t="s">
        <v>859</v>
      </c>
      <c r="D56" s="506" t="s">
        <v>1098</v>
      </c>
      <c r="E56" s="497" t="s">
        <v>860</v>
      </c>
      <c r="F56" s="502"/>
      <c r="G56" s="493">
        <v>0</v>
      </c>
      <c r="H56" s="493">
        <v>0</v>
      </c>
      <c r="I56" s="493">
        <v>0</v>
      </c>
      <c r="J56" s="493">
        <v>0</v>
      </c>
      <c r="K56" s="493">
        <v>0</v>
      </c>
      <c r="L56" s="493">
        <v>0</v>
      </c>
      <c r="M56" s="493">
        <f>4562000+3015000-760000</f>
        <v>6817000</v>
      </c>
      <c r="N56" s="493">
        <v>0</v>
      </c>
      <c r="O56" s="493">
        <v>0</v>
      </c>
      <c r="P56" s="493"/>
      <c r="Q56" s="493">
        <v>0</v>
      </c>
      <c r="R56" s="493"/>
      <c r="S56" s="493"/>
      <c r="T56" s="493">
        <v>0</v>
      </c>
      <c r="U56" s="493">
        <v>0</v>
      </c>
      <c r="V56" s="493">
        <v>0</v>
      </c>
      <c r="W56" s="493">
        <v>0</v>
      </c>
      <c r="X56" s="493">
        <v>0</v>
      </c>
      <c r="Y56" s="493">
        <v>0</v>
      </c>
      <c r="Z56" s="493">
        <v>0</v>
      </c>
      <c r="AA56" s="493">
        <v>0</v>
      </c>
      <c r="AB56" s="494">
        <f t="shared" si="0"/>
        <v>6817000</v>
      </c>
    </row>
    <row r="57" spans="3:28" ht="36">
      <c r="C57" s="465" t="s">
        <v>1191</v>
      </c>
      <c r="D57" s="506" t="s">
        <v>1099</v>
      </c>
      <c r="E57" s="497" t="s">
        <v>1006</v>
      </c>
      <c r="F57" s="502"/>
      <c r="G57" s="493">
        <v>0</v>
      </c>
      <c r="H57" s="493">
        <v>0</v>
      </c>
      <c r="I57" s="493">
        <v>166813</v>
      </c>
      <c r="J57" s="493">
        <v>0</v>
      </c>
      <c r="K57" s="493">
        <v>0</v>
      </c>
      <c r="L57" s="493">
        <v>0</v>
      </c>
      <c r="M57" s="493">
        <v>0</v>
      </c>
      <c r="N57" s="493">
        <v>0</v>
      </c>
      <c r="O57" s="493">
        <v>0</v>
      </c>
      <c r="P57" s="493"/>
      <c r="Q57" s="493">
        <v>0</v>
      </c>
      <c r="R57" s="493">
        <v>0</v>
      </c>
      <c r="S57" s="493">
        <v>0</v>
      </c>
      <c r="T57" s="493">
        <v>0</v>
      </c>
      <c r="U57" s="493">
        <v>0</v>
      </c>
      <c r="V57" s="493">
        <v>0</v>
      </c>
      <c r="W57" s="493">
        <v>0</v>
      </c>
      <c r="X57" s="493">
        <v>1753187</v>
      </c>
      <c r="Y57" s="493">
        <v>0</v>
      </c>
      <c r="Z57" s="493">
        <v>0</v>
      </c>
      <c r="AA57" s="493">
        <v>0</v>
      </c>
      <c r="AB57" s="494">
        <f t="shared" si="0"/>
        <v>1920000</v>
      </c>
    </row>
    <row r="58" spans="3:28" ht="24">
      <c r="C58" s="465" t="s">
        <v>643</v>
      </c>
      <c r="D58" s="506" t="s">
        <v>1141</v>
      </c>
      <c r="E58" s="497" t="s">
        <v>644</v>
      </c>
      <c r="F58" s="502"/>
      <c r="G58" s="493">
        <v>0</v>
      </c>
      <c r="H58" s="493">
        <v>0</v>
      </c>
      <c r="I58" s="493">
        <f>2114700-36480-718770</f>
        <v>1359450</v>
      </c>
      <c r="J58" s="493">
        <v>0</v>
      </c>
      <c r="K58" s="493">
        <v>0</v>
      </c>
      <c r="L58" s="493">
        <v>0</v>
      </c>
      <c r="M58" s="493">
        <v>0</v>
      </c>
      <c r="N58" s="493">
        <v>0</v>
      </c>
      <c r="O58" s="493">
        <v>0</v>
      </c>
      <c r="P58" s="493"/>
      <c r="Q58" s="493">
        <v>0</v>
      </c>
      <c r="R58" s="493"/>
      <c r="S58" s="493"/>
      <c r="T58" s="493">
        <v>0</v>
      </c>
      <c r="U58" s="493">
        <v>0</v>
      </c>
      <c r="V58" s="493">
        <v>0</v>
      </c>
      <c r="W58" s="493">
        <v>0</v>
      </c>
      <c r="X58" s="493">
        <v>0</v>
      </c>
      <c r="Y58" s="493">
        <v>0</v>
      </c>
      <c r="Z58" s="493">
        <v>0</v>
      </c>
      <c r="AA58" s="493">
        <v>0</v>
      </c>
      <c r="AB58" s="494">
        <f t="shared" si="0"/>
        <v>1359450</v>
      </c>
    </row>
    <row r="59" spans="3:30" ht="42" customHeight="1">
      <c r="C59" s="465" t="s">
        <v>78</v>
      </c>
      <c r="D59" s="506" t="s">
        <v>1142</v>
      </c>
      <c r="E59" s="254" t="s">
        <v>1139</v>
      </c>
      <c r="F59" s="502"/>
      <c r="G59" s="493">
        <f>27145152</f>
        <v>27145152</v>
      </c>
      <c r="H59" s="493">
        <f>6999328</f>
        <v>6999328</v>
      </c>
      <c r="I59" s="493">
        <f>26209434-2893619-1250000</f>
        <v>22065815</v>
      </c>
      <c r="J59" s="493">
        <v>0</v>
      </c>
      <c r="K59" s="493">
        <v>0</v>
      </c>
      <c r="L59" s="493">
        <v>0</v>
      </c>
      <c r="M59" s="493">
        <v>0</v>
      </c>
      <c r="N59" s="493">
        <v>0</v>
      </c>
      <c r="O59" s="493">
        <v>0</v>
      </c>
      <c r="P59" s="493"/>
      <c r="Q59" s="493">
        <v>0</v>
      </c>
      <c r="R59" s="493"/>
      <c r="S59" s="493"/>
      <c r="T59" s="493">
        <v>0</v>
      </c>
      <c r="U59" s="493">
        <v>0</v>
      </c>
      <c r="V59" s="493">
        <v>0</v>
      </c>
      <c r="W59" s="493">
        <v>0</v>
      </c>
      <c r="X59" s="493">
        <f>2893619+1250000</f>
        <v>4143619</v>
      </c>
      <c r="Y59" s="493">
        <v>0</v>
      </c>
      <c r="Z59" s="493">
        <v>0</v>
      </c>
      <c r="AA59" s="493">
        <v>0</v>
      </c>
      <c r="AB59" s="494">
        <f t="shared" si="0"/>
        <v>60353914</v>
      </c>
      <c r="AD59" s="501">
        <f>SUM(AB59:AB59)</f>
        <v>60353914</v>
      </c>
    </row>
    <row r="60" spans="3:30" ht="24" customHeight="1">
      <c r="C60" s="465" t="s">
        <v>861</v>
      </c>
      <c r="D60" s="506" t="s">
        <v>1143</v>
      </c>
      <c r="E60" s="497" t="s">
        <v>862</v>
      </c>
      <c r="F60" s="502"/>
      <c r="G60" s="493">
        <v>0</v>
      </c>
      <c r="H60" s="493">
        <v>0</v>
      </c>
      <c r="I60" s="493">
        <v>0</v>
      </c>
      <c r="J60" s="493">
        <v>0</v>
      </c>
      <c r="K60" s="493">
        <v>0</v>
      </c>
      <c r="L60" s="493">
        <v>0</v>
      </c>
      <c r="M60" s="493">
        <f>3712000+922000-618000</f>
        <v>4016000</v>
      </c>
      <c r="N60" s="493">
        <v>0</v>
      </c>
      <c r="O60" s="493">
        <v>0</v>
      </c>
      <c r="P60" s="493"/>
      <c r="Q60" s="493">
        <v>0</v>
      </c>
      <c r="R60" s="493"/>
      <c r="S60" s="493"/>
      <c r="T60" s="493">
        <v>0</v>
      </c>
      <c r="U60" s="493">
        <v>0</v>
      </c>
      <c r="V60" s="493">
        <v>0</v>
      </c>
      <c r="W60" s="493">
        <v>0</v>
      </c>
      <c r="X60" s="493">
        <v>0</v>
      </c>
      <c r="Y60" s="493">
        <v>0</v>
      </c>
      <c r="Z60" s="493">
        <v>0</v>
      </c>
      <c r="AA60" s="493">
        <v>0</v>
      </c>
      <c r="AB60" s="494">
        <f t="shared" si="0"/>
        <v>4016000</v>
      </c>
      <c r="AD60" s="501"/>
    </row>
    <row r="61" spans="3:30" ht="24" customHeight="1">
      <c r="C61" s="465" t="s">
        <v>863</v>
      </c>
      <c r="D61" s="506" t="s">
        <v>1144</v>
      </c>
      <c r="E61" s="497" t="s">
        <v>864</v>
      </c>
      <c r="F61" s="502"/>
      <c r="G61" s="493">
        <v>0</v>
      </c>
      <c r="H61" s="493">
        <v>0</v>
      </c>
      <c r="I61" s="493">
        <v>0</v>
      </c>
      <c r="J61" s="493">
        <v>0</v>
      </c>
      <c r="K61" s="493">
        <v>0</v>
      </c>
      <c r="L61" s="493">
        <v>0</v>
      </c>
      <c r="M61" s="493">
        <f>4717000+1397000-787000</f>
        <v>5327000</v>
      </c>
      <c r="N61" s="493">
        <v>0</v>
      </c>
      <c r="O61" s="493">
        <v>0</v>
      </c>
      <c r="P61" s="493"/>
      <c r="Q61" s="493">
        <v>0</v>
      </c>
      <c r="R61" s="493"/>
      <c r="S61" s="493"/>
      <c r="T61" s="493">
        <v>0</v>
      </c>
      <c r="U61" s="493">
        <v>0</v>
      </c>
      <c r="V61" s="493">
        <v>0</v>
      </c>
      <c r="W61" s="493">
        <v>0</v>
      </c>
      <c r="X61" s="493">
        <v>0</v>
      </c>
      <c r="Y61" s="493">
        <v>0</v>
      </c>
      <c r="Z61" s="493">
        <v>0</v>
      </c>
      <c r="AA61" s="493">
        <v>0</v>
      </c>
      <c r="AB61" s="494">
        <f t="shared" si="0"/>
        <v>5327000</v>
      </c>
      <c r="AD61" s="501"/>
    </row>
    <row r="62" spans="2:28" ht="18.75" customHeight="1">
      <c r="B62" s="465" t="s">
        <v>80</v>
      </c>
      <c r="C62" s="465" t="s">
        <v>76</v>
      </c>
      <c r="D62" s="506" t="s">
        <v>1145</v>
      </c>
      <c r="E62" s="497" t="s">
        <v>451</v>
      </c>
      <c r="F62" s="502"/>
      <c r="G62" s="493">
        <v>0</v>
      </c>
      <c r="H62" s="493">
        <v>0</v>
      </c>
      <c r="I62" s="493">
        <f>2400000+200000+857250</f>
        <v>3457250</v>
      </c>
      <c r="J62" s="493">
        <v>0</v>
      </c>
      <c r="K62" s="493">
        <v>0</v>
      </c>
      <c r="L62" s="493">
        <v>0</v>
      </c>
      <c r="M62" s="493">
        <f>1838000+2261329-306000</f>
        <v>3793329</v>
      </c>
      <c r="N62" s="493">
        <v>0</v>
      </c>
      <c r="O62" s="493">
        <v>0</v>
      </c>
      <c r="P62" s="493"/>
      <c r="Q62" s="493">
        <v>0</v>
      </c>
      <c r="R62" s="493"/>
      <c r="S62" s="493"/>
      <c r="T62" s="493">
        <v>0</v>
      </c>
      <c r="U62" s="493">
        <v>0</v>
      </c>
      <c r="V62" s="493">
        <v>0</v>
      </c>
      <c r="W62" s="493">
        <v>0</v>
      </c>
      <c r="X62" s="493">
        <v>0</v>
      </c>
      <c r="Y62" s="493">
        <v>0</v>
      </c>
      <c r="Z62" s="493">
        <v>0</v>
      </c>
      <c r="AA62" s="493">
        <v>0</v>
      </c>
      <c r="AB62" s="494">
        <f t="shared" si="0"/>
        <v>7250579</v>
      </c>
    </row>
    <row r="63" spans="2:28" ht="17.25" customHeight="1">
      <c r="B63" s="465" t="s">
        <v>80</v>
      </c>
      <c r="C63" s="465" t="s">
        <v>865</v>
      </c>
      <c r="D63" s="506" t="s">
        <v>1146</v>
      </c>
      <c r="E63" s="497" t="s">
        <v>866</v>
      </c>
      <c r="F63" s="502"/>
      <c r="G63" s="493">
        <v>0</v>
      </c>
      <c r="H63" s="493">
        <v>0</v>
      </c>
      <c r="I63" s="493">
        <v>0</v>
      </c>
      <c r="J63" s="493">
        <v>0</v>
      </c>
      <c r="K63" s="493">
        <v>0</v>
      </c>
      <c r="L63" s="493">
        <v>0</v>
      </c>
      <c r="M63" s="493">
        <f>3719000+1625335-619000</f>
        <v>4725335</v>
      </c>
      <c r="N63" s="493">
        <v>0</v>
      </c>
      <c r="O63" s="493">
        <v>0</v>
      </c>
      <c r="P63" s="493"/>
      <c r="Q63" s="493">
        <v>0</v>
      </c>
      <c r="R63" s="493"/>
      <c r="S63" s="493"/>
      <c r="T63" s="493">
        <v>0</v>
      </c>
      <c r="U63" s="493">
        <v>0</v>
      </c>
      <c r="V63" s="493">
        <v>0</v>
      </c>
      <c r="W63" s="493">
        <v>0</v>
      </c>
      <c r="X63" s="493">
        <v>0</v>
      </c>
      <c r="Y63" s="493">
        <v>0</v>
      </c>
      <c r="Z63" s="493">
        <v>0</v>
      </c>
      <c r="AA63" s="493">
        <v>0</v>
      </c>
      <c r="AB63" s="494">
        <f t="shared" si="0"/>
        <v>4725335</v>
      </c>
    </row>
    <row r="64" spans="2:28" ht="24">
      <c r="B64" s="465" t="s">
        <v>82</v>
      </c>
      <c r="C64" s="465" t="s">
        <v>79</v>
      </c>
      <c r="D64" s="506" t="s">
        <v>1147</v>
      </c>
      <c r="E64" s="497" t="s">
        <v>640</v>
      </c>
      <c r="F64" s="502"/>
      <c r="G64" s="493">
        <v>0</v>
      </c>
      <c r="H64" s="493">
        <v>0</v>
      </c>
      <c r="I64" s="493">
        <v>0</v>
      </c>
      <c r="J64" s="493">
        <v>2942222</v>
      </c>
      <c r="K64" s="493">
        <v>0</v>
      </c>
      <c r="L64" s="493">
        <v>0</v>
      </c>
      <c r="M64" s="493">
        <f>0+15000</f>
        <v>15000</v>
      </c>
      <c r="N64" s="493">
        <v>0</v>
      </c>
      <c r="O64" s="493">
        <v>0</v>
      </c>
      <c r="P64" s="493"/>
      <c r="Q64" s="493">
        <v>0</v>
      </c>
      <c r="R64" s="493"/>
      <c r="S64" s="493"/>
      <c r="T64" s="493">
        <v>0</v>
      </c>
      <c r="U64" s="493">
        <v>0</v>
      </c>
      <c r="V64" s="493">
        <v>0</v>
      </c>
      <c r="W64" s="493">
        <v>0</v>
      </c>
      <c r="X64" s="493">
        <v>0</v>
      </c>
      <c r="Y64" s="493">
        <v>0</v>
      </c>
      <c r="Z64" s="507">
        <v>0</v>
      </c>
      <c r="AA64" s="493">
        <v>0</v>
      </c>
      <c r="AB64" s="494">
        <f t="shared" si="0"/>
        <v>2957222</v>
      </c>
    </row>
    <row r="65" spans="3:28" ht="36" customHeight="1">
      <c r="C65" s="465" t="s">
        <v>1130</v>
      </c>
      <c r="D65" s="506" t="s">
        <v>1148</v>
      </c>
      <c r="E65" s="497" t="s">
        <v>1131</v>
      </c>
      <c r="F65" s="508"/>
      <c r="G65" s="509">
        <f>27815502-720000</f>
        <v>27095502</v>
      </c>
      <c r="H65" s="507">
        <f>6738701-140400</f>
        <v>6598301</v>
      </c>
      <c r="I65" s="507">
        <f>65394106-6000000</f>
        <v>59394106</v>
      </c>
      <c r="J65" s="507">
        <v>0</v>
      </c>
      <c r="K65" s="507">
        <v>0</v>
      </c>
      <c r="L65" s="507">
        <v>0</v>
      </c>
      <c r="M65" s="507">
        <v>0</v>
      </c>
      <c r="N65" s="507">
        <v>0</v>
      </c>
      <c r="O65" s="507">
        <v>0</v>
      </c>
      <c r="P65" s="507"/>
      <c r="Q65" s="507">
        <v>0</v>
      </c>
      <c r="R65" s="507">
        <v>0</v>
      </c>
      <c r="S65" s="507">
        <v>0</v>
      </c>
      <c r="T65" s="507">
        <v>0</v>
      </c>
      <c r="U65" s="507">
        <v>0</v>
      </c>
      <c r="V65" s="507">
        <v>0</v>
      </c>
      <c r="W65" s="507">
        <v>0</v>
      </c>
      <c r="X65" s="507">
        <f>8983129+6000000</f>
        <v>14983129</v>
      </c>
      <c r="Y65" s="507">
        <v>6528562</v>
      </c>
      <c r="Z65" s="509">
        <v>0</v>
      </c>
      <c r="AA65" s="507">
        <v>0</v>
      </c>
      <c r="AB65" s="494">
        <f t="shared" si="0"/>
        <v>114599600</v>
      </c>
    </row>
    <row r="66" spans="4:28" ht="24">
      <c r="D66" s="506" t="s">
        <v>1166</v>
      </c>
      <c r="E66" s="497" t="s">
        <v>375</v>
      </c>
      <c r="F66" s="508"/>
      <c r="G66" s="509">
        <v>0</v>
      </c>
      <c r="H66" s="507">
        <v>0</v>
      </c>
      <c r="I66" s="507">
        <v>0</v>
      </c>
      <c r="J66" s="507">
        <v>0</v>
      </c>
      <c r="K66" s="507">
        <v>0</v>
      </c>
      <c r="L66" s="507">
        <v>0</v>
      </c>
      <c r="M66" s="507">
        <v>0</v>
      </c>
      <c r="N66" s="507">
        <v>0</v>
      </c>
      <c r="O66" s="507">
        <f>1000000-250000</f>
        <v>750000</v>
      </c>
      <c r="P66" s="507">
        <v>8004000</v>
      </c>
      <c r="Q66" s="507">
        <f>495000+553029</f>
        <v>1048029</v>
      </c>
      <c r="R66" s="507">
        <f>59808757-7679730-553029-602617-1492000-8045171-7935168-4176519-28922-20906574-217072-8171955</f>
        <v>0</v>
      </c>
      <c r="S66" s="507">
        <f>9782649-6323709-100000-3358940</f>
        <v>0</v>
      </c>
      <c r="T66" s="507">
        <f>1000000-63500-68000-30000-90000-146050-190500-150000-261950</f>
        <v>0</v>
      </c>
      <c r="U66" s="507">
        <f>23433000-20000000-1576197-1055350-288050-513403</f>
        <v>0</v>
      </c>
      <c r="V66" s="507">
        <f>4176519+456000</f>
        <v>4632519</v>
      </c>
      <c r="W66" s="507">
        <f>5000000-1269600+3500000-3749167-2585716</f>
        <v>895517</v>
      </c>
      <c r="X66" s="507">
        <v>0</v>
      </c>
      <c r="Y66" s="507">
        <v>0</v>
      </c>
      <c r="Z66" s="509">
        <v>0</v>
      </c>
      <c r="AA66" s="507">
        <v>0</v>
      </c>
      <c r="AB66" s="494">
        <f t="shared" si="0"/>
        <v>15330065</v>
      </c>
    </row>
    <row r="67" spans="3:28" ht="24">
      <c r="C67" s="465" t="s">
        <v>784</v>
      </c>
      <c r="D67" s="506" t="s">
        <v>1167</v>
      </c>
      <c r="E67" s="511" t="s">
        <v>611</v>
      </c>
      <c r="F67" s="508"/>
      <c r="G67" s="509">
        <v>0</v>
      </c>
      <c r="H67" s="509">
        <v>0</v>
      </c>
      <c r="I67" s="509">
        <f>7848600+2166387-230101</f>
        <v>9784886</v>
      </c>
      <c r="J67" s="509">
        <v>0</v>
      </c>
      <c r="K67" s="509">
        <v>0</v>
      </c>
      <c r="L67" s="509">
        <v>0</v>
      </c>
      <c r="M67" s="509">
        <v>0</v>
      </c>
      <c r="N67" s="509">
        <v>0</v>
      </c>
      <c r="O67" s="509">
        <v>0</v>
      </c>
      <c r="P67" s="509"/>
      <c r="Q67" s="509">
        <v>0</v>
      </c>
      <c r="R67" s="509"/>
      <c r="S67" s="509"/>
      <c r="T67" s="509">
        <v>0</v>
      </c>
      <c r="U67" s="509">
        <v>0</v>
      </c>
      <c r="V67" s="509">
        <v>0</v>
      </c>
      <c r="W67" s="509">
        <v>0</v>
      </c>
      <c r="X67" s="509">
        <v>0</v>
      </c>
      <c r="Y67" s="509">
        <v>0</v>
      </c>
      <c r="Z67" s="509">
        <v>0</v>
      </c>
      <c r="AA67" s="509">
        <v>0</v>
      </c>
      <c r="AB67" s="494">
        <f t="shared" si="0"/>
        <v>9784886</v>
      </c>
    </row>
    <row r="68" spans="1:31" s="512" customFormat="1" ht="24" customHeight="1" thickBot="1">
      <c r="A68" s="512">
        <v>999997</v>
      </c>
      <c r="B68" s="510"/>
      <c r="D68" s="513" t="s">
        <v>1180</v>
      </c>
      <c r="E68" s="514" t="s">
        <v>361</v>
      </c>
      <c r="F68" s="515">
        <f>SUM(F8:F64)</f>
        <v>0</v>
      </c>
      <c r="G68" s="516">
        <f aca="true" t="shared" si="3" ref="G68:AB68">SUM(G8:G67)</f>
        <v>278406509</v>
      </c>
      <c r="H68" s="516">
        <f t="shared" si="3"/>
        <v>51485264</v>
      </c>
      <c r="I68" s="516">
        <f t="shared" si="3"/>
        <v>406907203</v>
      </c>
      <c r="J68" s="516">
        <f t="shared" si="3"/>
        <v>2942222</v>
      </c>
      <c r="K68" s="516">
        <f t="shared" si="3"/>
        <v>55067419</v>
      </c>
      <c r="L68" s="516">
        <f t="shared" si="3"/>
        <v>1099272</v>
      </c>
      <c r="M68" s="516">
        <f t="shared" si="3"/>
        <v>175986409</v>
      </c>
      <c r="N68" s="516">
        <f t="shared" si="3"/>
        <v>1032600</v>
      </c>
      <c r="O68" s="516">
        <f t="shared" si="3"/>
        <v>750000</v>
      </c>
      <c r="P68" s="516">
        <f t="shared" si="3"/>
        <v>8004000</v>
      </c>
      <c r="Q68" s="516">
        <f t="shared" si="3"/>
        <v>1048029</v>
      </c>
      <c r="R68" s="516">
        <f t="shared" si="3"/>
        <v>0</v>
      </c>
      <c r="S68" s="516">
        <f t="shared" si="3"/>
        <v>0</v>
      </c>
      <c r="T68" s="516">
        <f t="shared" si="3"/>
        <v>0</v>
      </c>
      <c r="U68" s="516">
        <f t="shared" si="3"/>
        <v>0</v>
      </c>
      <c r="V68" s="516">
        <f t="shared" si="3"/>
        <v>4632519</v>
      </c>
      <c r="W68" s="516">
        <f t="shared" si="3"/>
        <v>895517</v>
      </c>
      <c r="X68" s="516">
        <f t="shared" si="3"/>
        <v>1066776845</v>
      </c>
      <c r="Y68" s="516">
        <f t="shared" si="3"/>
        <v>231295165</v>
      </c>
      <c r="Z68" s="516">
        <f t="shared" si="3"/>
        <v>18530987</v>
      </c>
      <c r="AA68" s="516">
        <f t="shared" si="3"/>
        <v>35388664</v>
      </c>
      <c r="AB68" s="517">
        <f t="shared" si="3"/>
        <v>2340248624</v>
      </c>
      <c r="AC68" s="518">
        <f>SUM(G68:AA68)</f>
        <v>2340248624</v>
      </c>
      <c r="AD68" s="519"/>
      <c r="AE68" s="519"/>
    </row>
    <row r="69" ht="12.75">
      <c r="E69" s="520"/>
    </row>
    <row r="73" ht="12">
      <c r="F73" s="522"/>
    </row>
  </sheetData>
  <sheetProtection/>
  <mergeCells count="10">
    <mergeCell ref="G4:AA4"/>
    <mergeCell ref="AB4:AB6"/>
    <mergeCell ref="D38:D41"/>
    <mergeCell ref="C1:C2"/>
    <mergeCell ref="W1:AB1"/>
    <mergeCell ref="E2:AB2"/>
    <mergeCell ref="D4:D7"/>
    <mergeCell ref="E4:E6"/>
    <mergeCell ref="F4:F6"/>
    <mergeCell ref="K5:W5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0" r:id="rId1"/>
  <rowBreaks count="1" manualBreakCount="1">
    <brk id="33" min="3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8"/>
  <sheetViews>
    <sheetView zoomScalePageLayoutView="0" workbookViewId="0" topLeftCell="A1">
      <selection activeCell="I3" sqref="I3"/>
    </sheetView>
  </sheetViews>
  <sheetFormatPr defaultColWidth="8.875" defaultRowHeight="12.75"/>
  <cols>
    <col min="1" max="1" width="7.625" style="466" customWidth="1"/>
    <col min="2" max="2" width="38.00390625" style="464" customWidth="1"/>
    <col min="3" max="8" width="13.125" style="464" customWidth="1"/>
    <col min="9" max="9" width="16.75390625" style="521" customWidth="1"/>
    <col min="10" max="10" width="14.375" style="464" customWidth="1"/>
    <col min="11" max="11" width="9.875" style="464" bestFit="1" customWidth="1"/>
    <col min="12" max="16384" width="8.875" style="464" customWidth="1"/>
  </cols>
  <sheetData>
    <row r="1" spans="7:9" ht="15">
      <c r="G1" s="1057"/>
      <c r="H1" s="1057"/>
      <c r="I1" s="1057"/>
    </row>
    <row r="2" spans="5:12" ht="15">
      <c r="E2" s="578"/>
      <c r="F2" s="578"/>
      <c r="G2" s="578"/>
      <c r="H2" s="579"/>
      <c r="I2" s="578" t="s">
        <v>1253</v>
      </c>
      <c r="J2" s="579"/>
      <c r="K2" s="579"/>
      <c r="L2" s="579"/>
    </row>
    <row r="3" spans="5:12" ht="15">
      <c r="E3" s="578"/>
      <c r="F3" s="578"/>
      <c r="G3" s="578"/>
      <c r="H3" s="579"/>
      <c r="I3" s="578"/>
      <c r="J3" s="579"/>
      <c r="K3" s="579"/>
      <c r="L3" s="579"/>
    </row>
    <row r="4" spans="1:9" s="702" customFormat="1" ht="39" customHeight="1">
      <c r="A4" s="1071" t="s">
        <v>845</v>
      </c>
      <c r="B4" s="1071"/>
      <c r="C4" s="1071"/>
      <c r="D4" s="1071"/>
      <c r="E4" s="1071"/>
      <c r="F4" s="1071"/>
      <c r="G4" s="1071"/>
      <c r="H4" s="1071"/>
      <c r="I4" s="1071"/>
    </row>
    <row r="5" ht="12">
      <c r="I5" s="703"/>
    </row>
    <row r="6" ht="12">
      <c r="I6" s="703"/>
    </row>
    <row r="7" ht="12.75" thickBot="1">
      <c r="I7" s="470"/>
    </row>
    <row r="8" spans="1:9" s="471" customFormat="1" ht="12.75" customHeight="1">
      <c r="A8" s="1059" t="s">
        <v>426</v>
      </c>
      <c r="B8" s="1062" t="s">
        <v>357</v>
      </c>
      <c r="C8" s="1048" t="s">
        <v>365</v>
      </c>
      <c r="D8" s="1049"/>
      <c r="E8" s="1049"/>
      <c r="F8" s="1049"/>
      <c r="G8" s="1049"/>
      <c r="H8" s="1049"/>
      <c r="I8" s="1051" t="s">
        <v>366</v>
      </c>
    </row>
    <row r="9" spans="1:9" s="473" customFormat="1" ht="12" customHeight="1">
      <c r="A9" s="1060"/>
      <c r="B9" s="1063"/>
      <c r="C9" s="475" t="s">
        <v>1</v>
      </c>
      <c r="D9" s="475" t="s">
        <v>3</v>
      </c>
      <c r="E9" s="475" t="s">
        <v>5</v>
      </c>
      <c r="F9" s="477" t="s">
        <v>8</v>
      </c>
      <c r="G9" s="477" t="s">
        <v>129</v>
      </c>
      <c r="H9" s="477" t="s">
        <v>131</v>
      </c>
      <c r="I9" s="1052"/>
    </row>
    <row r="10" spans="1:9" s="473" customFormat="1" ht="63.75" customHeight="1">
      <c r="A10" s="1060"/>
      <c r="B10" s="1064"/>
      <c r="C10" s="478" t="s">
        <v>355</v>
      </c>
      <c r="D10" s="478" t="s">
        <v>637</v>
      </c>
      <c r="E10" s="478" t="s">
        <v>359</v>
      </c>
      <c r="F10" s="476" t="s">
        <v>9</v>
      </c>
      <c r="G10" s="476" t="s">
        <v>353</v>
      </c>
      <c r="H10" s="476" t="s">
        <v>368</v>
      </c>
      <c r="I10" s="1053"/>
    </row>
    <row r="11" spans="1:9" s="586" customFormat="1" ht="12.75" thickBot="1">
      <c r="A11" s="1060"/>
      <c r="B11" s="587" t="s">
        <v>420</v>
      </c>
      <c r="C11" s="588" t="s">
        <v>421</v>
      </c>
      <c r="D11" s="588" t="s">
        <v>422</v>
      </c>
      <c r="E11" s="589" t="s">
        <v>423</v>
      </c>
      <c r="F11" s="589" t="s">
        <v>424</v>
      </c>
      <c r="G11" s="589" t="s">
        <v>425</v>
      </c>
      <c r="H11" s="590" t="s">
        <v>427</v>
      </c>
      <c r="I11" s="590" t="s">
        <v>428</v>
      </c>
    </row>
    <row r="12" spans="1:9" s="495" customFormat="1" ht="36" customHeight="1">
      <c r="A12" s="1078" t="s">
        <v>367</v>
      </c>
      <c r="B12" s="1079"/>
      <c r="C12" s="1079"/>
      <c r="D12" s="1079"/>
      <c r="E12" s="1079"/>
      <c r="F12" s="1079"/>
      <c r="G12" s="1079"/>
      <c r="H12" s="1079"/>
      <c r="I12" s="1080"/>
    </row>
    <row r="13" spans="1:9" s="592" customFormat="1" ht="34.5" customHeight="1">
      <c r="A13" s="593" t="s">
        <v>389</v>
      </c>
      <c r="B13" s="594" t="s">
        <v>850</v>
      </c>
      <c r="C13" s="596">
        <f>83641200+385000+1083000-53600-111033</f>
        <v>84944567</v>
      </c>
      <c r="D13" s="596">
        <f>15658358+75075+211188-10455+111033</f>
        <v>16045199</v>
      </c>
      <c r="E13" s="596">
        <f>20108238+439819+585933-2359243</f>
        <v>18774747</v>
      </c>
      <c r="F13" s="596">
        <v>0</v>
      </c>
      <c r="G13" s="596">
        <f>1229404-139700+1269600+2585716+3749167</f>
        <v>8694187</v>
      </c>
      <c r="H13" s="596">
        <v>0</v>
      </c>
      <c r="I13" s="597">
        <f>SUM(C13:H13)</f>
        <v>128458700</v>
      </c>
    </row>
    <row r="14" spans="1:9" s="592" customFormat="1" ht="30.75" customHeight="1">
      <c r="A14" s="593" t="s">
        <v>390</v>
      </c>
      <c r="B14" s="594" t="s">
        <v>846</v>
      </c>
      <c r="C14" s="596">
        <v>0</v>
      </c>
      <c r="D14" s="596">
        <v>0</v>
      </c>
      <c r="E14" s="596">
        <v>0</v>
      </c>
      <c r="F14" s="596">
        <f>6018160+1015420</f>
        <v>7033580</v>
      </c>
      <c r="G14" s="596">
        <v>0</v>
      </c>
      <c r="H14" s="596">
        <v>0</v>
      </c>
      <c r="I14" s="597">
        <f>SUM(C14:H14)</f>
        <v>7033580</v>
      </c>
    </row>
    <row r="15" spans="1:9" s="592" customFormat="1" ht="30.75" customHeight="1">
      <c r="A15" s="598" t="s">
        <v>391</v>
      </c>
      <c r="B15" s="599" t="s">
        <v>882</v>
      </c>
      <c r="C15" s="600">
        <f>1420400+6373+34746</f>
        <v>1461519</v>
      </c>
      <c r="D15" s="600">
        <f>293205-8607</f>
        <v>284598</v>
      </c>
      <c r="E15" s="600">
        <f>256193+2370+2234</f>
        <v>260797</v>
      </c>
      <c r="F15" s="600">
        <v>0</v>
      </c>
      <c r="G15" s="600">
        <f>139700</f>
        <v>139700</v>
      </c>
      <c r="H15" s="600">
        <v>0</v>
      </c>
      <c r="I15" s="597">
        <f>SUM(C15:H15)</f>
        <v>2146614</v>
      </c>
    </row>
    <row r="16" spans="1:9" s="592" customFormat="1" ht="42.75">
      <c r="A16" s="598" t="s">
        <v>392</v>
      </c>
      <c r="B16" s="599" t="s">
        <v>1140</v>
      </c>
      <c r="C16" s="600">
        <v>2800000</v>
      </c>
      <c r="D16" s="600">
        <v>546000</v>
      </c>
      <c r="E16" s="600"/>
      <c r="F16" s="600"/>
      <c r="G16" s="600"/>
      <c r="H16" s="600"/>
      <c r="I16" s="597">
        <f>SUM(C16:H16)</f>
        <v>3346000</v>
      </c>
    </row>
    <row r="17" spans="1:12" s="601" customFormat="1" ht="24" customHeight="1" thickBot="1">
      <c r="A17" s="608" t="s">
        <v>393</v>
      </c>
      <c r="B17" s="609" t="s">
        <v>361</v>
      </c>
      <c r="C17" s="610">
        <f>SUM(C13:C16)</f>
        <v>89206086</v>
      </c>
      <c r="D17" s="610">
        <f aca="true" t="shared" si="0" ref="D17:I17">SUM(D13:D16)</f>
        <v>16875797</v>
      </c>
      <c r="E17" s="610">
        <f t="shared" si="0"/>
        <v>19035544</v>
      </c>
      <c r="F17" s="610">
        <f t="shared" si="0"/>
        <v>7033580</v>
      </c>
      <c r="G17" s="610">
        <f t="shared" si="0"/>
        <v>8833887</v>
      </c>
      <c r="H17" s="610">
        <f t="shared" si="0"/>
        <v>0</v>
      </c>
      <c r="I17" s="610">
        <f t="shared" si="0"/>
        <v>140984894</v>
      </c>
      <c r="J17" s="606">
        <f>SUM(C17:H17)</f>
        <v>140984894</v>
      </c>
      <c r="K17" s="607"/>
      <c r="L17" s="607"/>
    </row>
    <row r="18" spans="1:9" s="591" customFormat="1" ht="36.75" customHeight="1">
      <c r="A18" s="1072" t="s">
        <v>769</v>
      </c>
      <c r="B18" s="1073"/>
      <c r="C18" s="1073"/>
      <c r="D18" s="1073"/>
      <c r="E18" s="1073"/>
      <c r="F18" s="1073"/>
      <c r="G18" s="1073"/>
      <c r="H18" s="1073"/>
      <c r="I18" s="1074"/>
    </row>
    <row r="19" spans="1:9" s="592" customFormat="1" ht="23.25" customHeight="1">
      <c r="A19" s="593" t="s">
        <v>389</v>
      </c>
      <c r="B19" s="594" t="s">
        <v>789</v>
      </c>
      <c r="C19" s="595">
        <v>0</v>
      </c>
      <c r="D19" s="595">
        <v>0</v>
      </c>
      <c r="E19" s="595">
        <f>30823296-846880-2783615</f>
        <v>27192801</v>
      </c>
      <c r="F19" s="596">
        <v>0</v>
      </c>
      <c r="G19" s="595">
        <v>0</v>
      </c>
      <c r="H19" s="596">
        <v>0</v>
      </c>
      <c r="I19" s="597">
        <f aca="true" t="shared" si="1" ref="I19:I31">SUM(C19:H19)</f>
        <v>27192801</v>
      </c>
    </row>
    <row r="20" spans="1:9" s="592" customFormat="1" ht="23.25" customHeight="1">
      <c r="A20" s="593" t="s">
        <v>390</v>
      </c>
      <c r="B20" s="594" t="s">
        <v>790</v>
      </c>
      <c r="C20" s="595">
        <f>94274236-7297240-336000+433600-38100-1706079+38100-16004</f>
        <v>85352513</v>
      </c>
      <c r="D20" s="595">
        <f>21189574-1422962-65520+84552-7429-694245+7729-4691</f>
        <v>19087008</v>
      </c>
      <c r="E20" s="595">
        <f>12894538-96000-170000-84541-195000-79900-198285-76969-2928867-200267-72282</f>
        <v>8792427</v>
      </c>
      <c r="F20" s="596">
        <v>0</v>
      </c>
      <c r="G20" s="595">
        <f>139700+84541+79900+76969+72282</f>
        <v>453392</v>
      </c>
      <c r="H20" s="596">
        <v>0</v>
      </c>
      <c r="I20" s="597">
        <f t="shared" si="1"/>
        <v>113685340</v>
      </c>
    </row>
    <row r="21" spans="1:9" s="592" customFormat="1" ht="23.25" customHeight="1">
      <c r="A21" s="593" t="s">
        <v>391</v>
      </c>
      <c r="B21" s="594" t="s">
        <v>791</v>
      </c>
      <c r="C21" s="595">
        <f>10997572-2801679</f>
        <v>8195893</v>
      </c>
      <c r="D21" s="595">
        <f>2155423-541561</f>
        <v>1613862</v>
      </c>
      <c r="E21" s="595">
        <f>296100-201728</f>
        <v>94372</v>
      </c>
      <c r="F21" s="596">
        <v>0</v>
      </c>
      <c r="G21" s="595">
        <v>0</v>
      </c>
      <c r="H21" s="596">
        <v>0</v>
      </c>
      <c r="I21" s="597">
        <f t="shared" si="1"/>
        <v>9904127</v>
      </c>
    </row>
    <row r="22" spans="1:9" s="592" customFormat="1" ht="23.25" customHeight="1">
      <c r="A22" s="593" t="s">
        <v>392</v>
      </c>
      <c r="B22" s="594" t="s">
        <v>1114</v>
      </c>
      <c r="C22" s="595">
        <v>621002</v>
      </c>
      <c r="D22" s="595">
        <v>121098</v>
      </c>
      <c r="E22" s="595">
        <v>0</v>
      </c>
      <c r="F22" s="596">
        <v>0</v>
      </c>
      <c r="G22" s="595">
        <v>0</v>
      </c>
      <c r="H22" s="596">
        <v>0</v>
      </c>
      <c r="I22" s="597">
        <f t="shared" si="1"/>
        <v>742100</v>
      </c>
    </row>
    <row r="23" spans="1:9" s="592" customFormat="1" ht="23.25" customHeight="1">
      <c r="A23" s="593" t="s">
        <v>393</v>
      </c>
      <c r="B23" s="594" t="s">
        <v>544</v>
      </c>
      <c r="C23" s="595">
        <f>4613500+16004</f>
        <v>4629504</v>
      </c>
      <c r="D23" s="595">
        <f>910195+4691</f>
        <v>914886</v>
      </c>
      <c r="E23" s="595">
        <f>721417+3+17240-10240+200267</f>
        <v>928687</v>
      </c>
      <c r="F23" s="596">
        <v>0</v>
      </c>
      <c r="G23" s="856">
        <f>123070+198285-39190</f>
        <v>282165</v>
      </c>
      <c r="H23" s="596">
        <f>700924+49430</f>
        <v>750354</v>
      </c>
      <c r="I23" s="597">
        <f t="shared" si="1"/>
        <v>7505596</v>
      </c>
    </row>
    <row r="24" spans="1:9" s="592" customFormat="1" ht="23.25" customHeight="1">
      <c r="A24" s="593" t="s">
        <v>394</v>
      </c>
      <c r="B24" s="594" t="s">
        <v>584</v>
      </c>
      <c r="C24" s="595">
        <f>15997239+757761+123148</f>
        <v>16878148</v>
      </c>
      <c r="D24" s="595">
        <f>3155478+147763-402+75941-8899</f>
        <v>3369881</v>
      </c>
      <c r="E24" s="595">
        <f>4844076-152273+150000-1799442</f>
        <v>3042361</v>
      </c>
      <c r="F24" s="596">
        <v>0</v>
      </c>
      <c r="G24" s="595">
        <f>88900+152273+768772-16</f>
        <v>1009929</v>
      </c>
      <c r="H24" s="596">
        <v>0</v>
      </c>
      <c r="I24" s="597">
        <f t="shared" si="1"/>
        <v>24300319</v>
      </c>
    </row>
    <row r="25" spans="1:9" s="592" customFormat="1" ht="23.25" customHeight="1">
      <c r="A25" s="593" t="s">
        <v>395</v>
      </c>
      <c r="B25" s="594" t="s">
        <v>707</v>
      </c>
      <c r="C25" s="595">
        <f>13019321-1848079-167248</f>
        <v>11003994</v>
      </c>
      <c r="D25" s="595">
        <f>2547963-394284-75941</f>
        <v>2077738</v>
      </c>
      <c r="E25" s="595">
        <f>2803888-151629-1532681</f>
        <v>1119578</v>
      </c>
      <c r="F25" s="596">
        <v>0</v>
      </c>
      <c r="G25" s="595">
        <f>76200+151629+16</f>
        <v>227845</v>
      </c>
      <c r="H25" s="596">
        <v>0</v>
      </c>
      <c r="I25" s="597">
        <f t="shared" si="1"/>
        <v>14429155</v>
      </c>
    </row>
    <row r="26" spans="1:9" s="592" customFormat="1" ht="42.75">
      <c r="A26" s="593" t="s">
        <v>396</v>
      </c>
      <c r="B26" s="594" t="s">
        <v>1168</v>
      </c>
      <c r="C26" s="595">
        <v>720000</v>
      </c>
      <c r="D26" s="595">
        <v>140400</v>
      </c>
      <c r="E26" s="595">
        <v>0</v>
      </c>
      <c r="F26" s="596">
        <v>0</v>
      </c>
      <c r="G26" s="595">
        <v>0</v>
      </c>
      <c r="H26" s="596">
        <v>0</v>
      </c>
      <c r="I26" s="597">
        <f t="shared" si="1"/>
        <v>860400</v>
      </c>
    </row>
    <row r="27" spans="1:9" s="592" customFormat="1" ht="23.25" customHeight="1">
      <c r="A27" s="593" t="s">
        <v>397</v>
      </c>
      <c r="B27" s="594" t="s">
        <v>708</v>
      </c>
      <c r="C27" s="595">
        <f>8646048+66000-6000-178021+6000</f>
        <v>8534027</v>
      </c>
      <c r="D27" s="595">
        <f>1701132+12870-1170-23224+1170</f>
        <v>1690778</v>
      </c>
      <c r="E27" s="595">
        <f>1159551-35900-186951-18000</f>
        <v>918700</v>
      </c>
      <c r="F27" s="596">
        <v>0</v>
      </c>
      <c r="G27" s="595">
        <f>195000+35900+18000</f>
        <v>248900</v>
      </c>
      <c r="H27" s="596">
        <v>0</v>
      </c>
      <c r="I27" s="597">
        <f t="shared" si="1"/>
        <v>11392405</v>
      </c>
    </row>
    <row r="28" spans="1:9" s="592" customFormat="1" ht="23.25" customHeight="1">
      <c r="A28" s="598" t="s">
        <v>398</v>
      </c>
      <c r="B28" s="594" t="s">
        <v>792</v>
      </c>
      <c r="C28" s="596">
        <v>0</v>
      </c>
      <c r="D28" s="596">
        <v>0</v>
      </c>
      <c r="E28" s="596">
        <f>2665263-384524</f>
        <v>2280739</v>
      </c>
      <c r="F28" s="596">
        <v>0</v>
      </c>
      <c r="G28" s="596">
        <v>0</v>
      </c>
      <c r="H28" s="596">
        <v>0</v>
      </c>
      <c r="I28" s="597">
        <f t="shared" si="1"/>
        <v>2280739</v>
      </c>
    </row>
    <row r="29" spans="1:9" s="592" customFormat="1" ht="23.25" customHeight="1">
      <c r="A29" s="598" t="s">
        <v>399</v>
      </c>
      <c r="B29" s="594" t="s">
        <v>1149</v>
      </c>
      <c r="C29" s="596">
        <v>40000</v>
      </c>
      <c r="D29" s="596">
        <v>7020</v>
      </c>
      <c r="E29" s="596">
        <v>22980</v>
      </c>
      <c r="F29" s="596">
        <v>0</v>
      </c>
      <c r="G29" s="596">
        <v>0</v>
      </c>
      <c r="H29" s="596">
        <v>0</v>
      </c>
      <c r="I29" s="597">
        <f t="shared" si="1"/>
        <v>70000</v>
      </c>
    </row>
    <row r="30" spans="1:9" s="592" customFormat="1" ht="57">
      <c r="A30" s="598" t="s">
        <v>400</v>
      </c>
      <c r="B30" s="594" t="s">
        <v>884</v>
      </c>
      <c r="C30" s="596">
        <v>21649000</v>
      </c>
      <c r="D30" s="596">
        <v>5088000</v>
      </c>
      <c r="E30" s="596">
        <v>16670259</v>
      </c>
      <c r="F30" s="596">
        <v>0</v>
      </c>
      <c r="G30" s="596">
        <v>1687190</v>
      </c>
      <c r="H30" s="596">
        <v>0</v>
      </c>
      <c r="I30" s="597">
        <f t="shared" si="1"/>
        <v>45094449</v>
      </c>
    </row>
    <row r="31" spans="1:9" s="592" customFormat="1" ht="32.25" customHeight="1" thickBot="1">
      <c r="A31" s="598" t="s">
        <v>401</v>
      </c>
      <c r="B31" s="599" t="s">
        <v>883</v>
      </c>
      <c r="C31" s="861">
        <v>9187815</v>
      </c>
      <c r="D31" s="861">
        <v>2040168</v>
      </c>
      <c r="E31" s="861">
        <v>19871884</v>
      </c>
      <c r="F31" s="861">
        <v>0</v>
      </c>
      <c r="G31" s="861">
        <v>2412553</v>
      </c>
      <c r="H31" s="861">
        <v>0</v>
      </c>
      <c r="I31" s="862">
        <f t="shared" si="1"/>
        <v>33512420</v>
      </c>
    </row>
    <row r="32" spans="1:12" s="601" customFormat="1" ht="24" customHeight="1" thickBot="1">
      <c r="A32" s="602" t="s">
        <v>402</v>
      </c>
      <c r="B32" s="603" t="s">
        <v>361</v>
      </c>
      <c r="C32" s="604">
        <f aca="true" t="shared" si="2" ref="C32:I32">SUM(C19:C31)</f>
        <v>166811896</v>
      </c>
      <c r="D32" s="604">
        <f t="shared" si="2"/>
        <v>36150839</v>
      </c>
      <c r="E32" s="604">
        <f t="shared" si="2"/>
        <v>80934788</v>
      </c>
      <c r="F32" s="604">
        <f t="shared" si="2"/>
        <v>0</v>
      </c>
      <c r="G32" s="604">
        <f t="shared" si="2"/>
        <v>6321974</v>
      </c>
      <c r="H32" s="604">
        <f t="shared" si="2"/>
        <v>750354</v>
      </c>
      <c r="I32" s="605">
        <f t="shared" si="2"/>
        <v>290969851</v>
      </c>
      <c r="J32" s="606">
        <f>SUM(C32:H32)</f>
        <v>290969851</v>
      </c>
      <c r="K32" s="607"/>
      <c r="L32" s="607"/>
    </row>
    <row r="33" spans="1:9" s="495" customFormat="1" ht="39" customHeight="1">
      <c r="A33" s="1075" t="s">
        <v>851</v>
      </c>
      <c r="B33" s="1076"/>
      <c r="C33" s="1076"/>
      <c r="D33" s="1076"/>
      <c r="E33" s="1076"/>
      <c r="F33" s="1076"/>
      <c r="G33" s="1076"/>
      <c r="H33" s="1076"/>
      <c r="I33" s="1077"/>
    </row>
    <row r="34" spans="1:9" s="592" customFormat="1" ht="31.5" customHeight="1">
      <c r="A34" s="593" t="s">
        <v>389</v>
      </c>
      <c r="B34" s="594" t="s">
        <v>543</v>
      </c>
      <c r="C34" s="596">
        <v>0</v>
      </c>
      <c r="D34" s="596">
        <v>0</v>
      </c>
      <c r="E34" s="596">
        <f>1100000-527827+32596</f>
        <v>604769</v>
      </c>
      <c r="F34" s="596">
        <v>0</v>
      </c>
      <c r="G34" s="596">
        <v>0</v>
      </c>
      <c r="H34" s="596">
        <v>0</v>
      </c>
      <c r="I34" s="597">
        <f>SUM(C34:H34)</f>
        <v>604769</v>
      </c>
    </row>
    <row r="35" spans="1:9" s="592" customFormat="1" ht="23.25" customHeight="1">
      <c r="A35" s="593" t="s">
        <v>390</v>
      </c>
      <c r="B35" s="594" t="s">
        <v>379</v>
      </c>
      <c r="C35" s="596">
        <f>2428400-1768202</f>
        <v>660198</v>
      </c>
      <c r="D35" s="596">
        <f>478841-348675</f>
        <v>130166</v>
      </c>
      <c r="E35" s="596">
        <f>3400630-574597-2793033+4468+88900</f>
        <v>126368</v>
      </c>
      <c r="F35" s="596">
        <v>0</v>
      </c>
      <c r="G35" s="596">
        <v>0</v>
      </c>
      <c r="H35" s="596">
        <v>0</v>
      </c>
      <c r="I35" s="597">
        <f>SUM(C35:H35)</f>
        <v>916732</v>
      </c>
    </row>
    <row r="36" spans="1:9" s="592" customFormat="1" ht="23.25" customHeight="1">
      <c r="A36" s="593" t="s">
        <v>391</v>
      </c>
      <c r="B36" s="594" t="s">
        <v>85</v>
      </c>
      <c r="C36" s="596">
        <v>0</v>
      </c>
      <c r="D36" s="596">
        <v>0</v>
      </c>
      <c r="E36" s="596">
        <f>49530-10359-39171</f>
        <v>0</v>
      </c>
      <c r="F36" s="596">
        <v>0</v>
      </c>
      <c r="G36" s="596">
        <v>0</v>
      </c>
      <c r="H36" s="596">
        <v>0</v>
      </c>
      <c r="I36" s="597">
        <f>SUM(C36:H36)</f>
        <v>0</v>
      </c>
    </row>
    <row r="37" spans="1:9" s="592" customFormat="1" ht="33" customHeight="1">
      <c r="A37" s="593" t="s">
        <v>392</v>
      </c>
      <c r="B37" s="594" t="s">
        <v>793</v>
      </c>
      <c r="C37" s="596">
        <f>7343000-4454365-960000</f>
        <v>1928635</v>
      </c>
      <c r="D37" s="596">
        <f>1437188-867408-208000</f>
        <v>361780</v>
      </c>
      <c r="E37" s="596">
        <f>13986001-3000000-103900-700000-2981388+17858-4577646-37064-51440-88900</f>
        <v>2463521</v>
      </c>
      <c r="F37" s="596">
        <v>0</v>
      </c>
      <c r="G37" s="596">
        <v>51440</v>
      </c>
      <c r="H37" s="596">
        <v>0</v>
      </c>
      <c r="I37" s="597">
        <f>SUM(C37:H37)</f>
        <v>4805376</v>
      </c>
    </row>
    <row r="38" spans="1:12" s="601" customFormat="1" ht="24" customHeight="1" thickBot="1">
      <c r="A38" s="608" t="s">
        <v>393</v>
      </c>
      <c r="B38" s="609" t="s">
        <v>361</v>
      </c>
      <c r="C38" s="610">
        <f aca="true" t="shared" si="3" ref="C38:I38">SUM(C33:C37)</f>
        <v>2588833</v>
      </c>
      <c r="D38" s="610">
        <f t="shared" si="3"/>
        <v>491946</v>
      </c>
      <c r="E38" s="610">
        <f t="shared" si="3"/>
        <v>3194658</v>
      </c>
      <c r="F38" s="610">
        <f>SUM(F33:F37)</f>
        <v>0</v>
      </c>
      <c r="G38" s="610">
        <f t="shared" si="3"/>
        <v>51440</v>
      </c>
      <c r="H38" s="610">
        <f t="shared" si="3"/>
        <v>0</v>
      </c>
      <c r="I38" s="611">
        <f t="shared" si="3"/>
        <v>6326877</v>
      </c>
      <c r="J38" s="606">
        <f>SUM(C38:H38)</f>
        <v>6326877</v>
      </c>
      <c r="K38" s="607"/>
      <c r="L38" s="607"/>
    </row>
  </sheetData>
  <sheetProtection/>
  <mergeCells count="9">
    <mergeCell ref="A4:I4"/>
    <mergeCell ref="A18:I18"/>
    <mergeCell ref="A33:I33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7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106"/>
  <sheetViews>
    <sheetView workbookViewId="0" topLeftCell="D1">
      <selection activeCell="G2" sqref="G2"/>
    </sheetView>
  </sheetViews>
  <sheetFormatPr defaultColWidth="9.00390625" defaultRowHeight="12.75"/>
  <cols>
    <col min="1" max="1" width="7.75390625" style="134" customWidth="1"/>
    <col min="2" max="2" width="31.75390625" style="134" customWidth="1"/>
    <col min="3" max="3" width="14.375" style="134" customWidth="1"/>
    <col min="4" max="4" width="16.25390625" style="134" bestFit="1" customWidth="1"/>
    <col min="5" max="5" width="14.375" style="134" bestFit="1" customWidth="1"/>
    <col min="6" max="6" width="16.375" style="134" bestFit="1" customWidth="1"/>
    <col min="7" max="7" width="14.625" style="134" bestFit="1" customWidth="1"/>
    <col min="8" max="8" width="16.25390625" style="134" bestFit="1" customWidth="1"/>
    <col min="9" max="9" width="16.375" style="134" bestFit="1" customWidth="1"/>
    <col min="10" max="11" width="12.875" style="134" customWidth="1"/>
    <col min="12" max="12" width="15.00390625" style="134" customWidth="1"/>
    <col min="13" max="13" width="17.00390625" style="134" bestFit="1" customWidth="1"/>
    <col min="14" max="15" width="9.125" style="134" customWidth="1"/>
    <col min="16" max="16" width="12.875" style="134" bestFit="1" customWidth="1"/>
    <col min="17" max="16384" width="9.125" style="134" customWidth="1"/>
  </cols>
  <sheetData>
    <row r="1" spans="1:21" ht="15">
      <c r="A1" s="201"/>
      <c r="B1" s="202"/>
      <c r="C1" s="203"/>
      <c r="D1" s="203"/>
      <c r="E1" s="203"/>
      <c r="F1" s="203"/>
      <c r="G1" s="1081" t="s">
        <v>1254</v>
      </c>
      <c r="H1" s="1081"/>
      <c r="I1" s="1082"/>
      <c r="J1" s="1082"/>
      <c r="K1" s="1082"/>
      <c r="L1" s="1082"/>
      <c r="M1" s="1082"/>
      <c r="N1" s="202"/>
      <c r="O1" s="202"/>
      <c r="P1" s="202"/>
      <c r="Q1" s="202"/>
      <c r="R1" s="204"/>
      <c r="S1" s="204"/>
      <c r="T1" s="204"/>
      <c r="U1" s="202"/>
    </row>
    <row r="2" spans="1:21" ht="12.75">
      <c r="A2" s="201"/>
      <c r="B2" s="202"/>
      <c r="C2" s="203"/>
      <c r="D2" s="203"/>
      <c r="E2" s="203"/>
      <c r="F2" s="203"/>
      <c r="G2" s="205"/>
      <c r="H2" s="205"/>
      <c r="I2" s="206"/>
      <c r="J2" s="206"/>
      <c r="K2" s="206"/>
      <c r="L2" s="206"/>
      <c r="M2" s="206"/>
      <c r="N2" s="202"/>
      <c r="O2" s="202"/>
      <c r="P2" s="202"/>
      <c r="Q2" s="202"/>
      <c r="R2" s="204"/>
      <c r="S2" s="204"/>
      <c r="T2" s="204"/>
      <c r="U2" s="202"/>
    </row>
    <row r="3" spans="1:27" ht="15.75" customHeight="1">
      <c r="A3" s="1086" t="s">
        <v>794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ht="13.5" thickBot="1">
      <c r="A4" s="1086"/>
      <c r="B4" s="1086"/>
      <c r="C4" s="1086"/>
      <c r="D4" s="1086"/>
      <c r="E4" s="1086"/>
      <c r="F4" s="1086"/>
      <c r="G4" s="1086"/>
      <c r="H4" s="1086"/>
      <c r="I4" s="1086"/>
      <c r="J4" s="1086"/>
      <c r="K4" s="1086"/>
      <c r="L4" s="1086"/>
      <c r="M4" s="1086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</row>
    <row r="5" spans="1:27" ht="16.5" thickBot="1">
      <c r="A5" s="1108" t="s">
        <v>426</v>
      </c>
      <c r="B5" s="1105" t="s">
        <v>357</v>
      </c>
      <c r="C5" s="1111" t="s">
        <v>480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9"/>
    </row>
    <row r="6" spans="1:13" ht="12.75" customHeight="1">
      <c r="A6" s="1109"/>
      <c r="B6" s="1106"/>
      <c r="C6" s="1087" t="s">
        <v>481</v>
      </c>
      <c r="D6" s="1090" t="s">
        <v>482</v>
      </c>
      <c r="E6" s="1091"/>
      <c r="F6" s="1092"/>
      <c r="G6" s="1090" t="s">
        <v>483</v>
      </c>
      <c r="H6" s="1091"/>
      <c r="I6" s="1092"/>
      <c r="J6" s="1090" t="s">
        <v>484</v>
      </c>
      <c r="K6" s="1091"/>
      <c r="L6" s="1092"/>
      <c r="M6" s="1083" t="s">
        <v>366</v>
      </c>
    </row>
    <row r="7" spans="1:13" ht="12.75" customHeight="1">
      <c r="A7" s="1109"/>
      <c r="B7" s="1106"/>
      <c r="C7" s="1088"/>
      <c r="D7" s="1093"/>
      <c r="E7" s="1094"/>
      <c r="F7" s="1095"/>
      <c r="G7" s="1093"/>
      <c r="H7" s="1094"/>
      <c r="I7" s="1095"/>
      <c r="J7" s="1093"/>
      <c r="K7" s="1094"/>
      <c r="L7" s="1095"/>
      <c r="M7" s="1084"/>
    </row>
    <row r="8" spans="1:13" ht="24" customHeight="1" thickBot="1">
      <c r="A8" s="1110"/>
      <c r="B8" s="1107"/>
      <c r="C8" s="1089"/>
      <c r="D8" s="210" t="s">
        <v>86</v>
      </c>
      <c r="E8" s="211" t="s">
        <v>87</v>
      </c>
      <c r="F8" s="212" t="s">
        <v>88</v>
      </c>
      <c r="G8" s="213" t="s">
        <v>86</v>
      </c>
      <c r="H8" s="211" t="s">
        <v>87</v>
      </c>
      <c r="I8" s="212" t="s">
        <v>88</v>
      </c>
      <c r="J8" s="213" t="s">
        <v>86</v>
      </c>
      <c r="K8" s="211" t="s">
        <v>87</v>
      </c>
      <c r="L8" s="212" t="s">
        <v>88</v>
      </c>
      <c r="M8" s="1085"/>
    </row>
    <row r="9" spans="1:13" ht="29.25" customHeight="1">
      <c r="A9" s="214" t="s">
        <v>389</v>
      </c>
      <c r="B9" s="215" t="s">
        <v>61</v>
      </c>
      <c r="C9" s="216" t="s">
        <v>724</v>
      </c>
      <c r="D9" s="217">
        <f>50694554+1031200+30800+6006+63500+190500+1055350+1492000+100000+1032600+243600+228600+2521000+18090+100000+19806671</f>
        <v>78614471</v>
      </c>
      <c r="E9" s="218">
        <f>2316859-243600</f>
        <v>2073259</v>
      </c>
      <c r="F9" s="219">
        <f aca="true" t="shared" si="0" ref="F9:F70">SUM(D9:E9)</f>
        <v>80687730</v>
      </c>
      <c r="G9" s="220"/>
      <c r="H9" s="613"/>
      <c r="I9" s="219">
        <f aca="true" t="shared" si="1" ref="I9:I70">SUM(G9:H9)</f>
        <v>0</v>
      </c>
      <c r="J9" s="221"/>
      <c r="K9" s="222"/>
      <c r="L9" s="219">
        <f aca="true" t="shared" si="2" ref="L9:L58">SUM(J9:K9)</f>
        <v>0</v>
      </c>
      <c r="M9" s="223">
        <f aca="true" t="shared" si="3" ref="M9:M70">SUM(F9+I9+L9)</f>
        <v>80687730</v>
      </c>
    </row>
    <row r="10" spans="1:13" ht="29.25" customHeight="1">
      <c r="A10" s="224" t="s">
        <v>390</v>
      </c>
      <c r="B10" s="226" t="s">
        <v>56</v>
      </c>
      <c r="C10" s="225" t="s">
        <v>710</v>
      </c>
      <c r="D10" s="217">
        <f>65256278+68000+7679730+1417+7100000</f>
        <v>80105425</v>
      </c>
      <c r="E10" s="218">
        <f>2949520+3000000+5000000-387985+900000-900000-197100-545000-444500-2500000+250000</f>
        <v>7124935</v>
      </c>
      <c r="F10" s="219">
        <f t="shared" si="0"/>
        <v>87230360</v>
      </c>
      <c r="G10" s="618"/>
      <c r="H10" s="218">
        <f>1159500-1159500</f>
        <v>0</v>
      </c>
      <c r="I10" s="219">
        <f t="shared" si="1"/>
        <v>0</v>
      </c>
      <c r="J10" s="221"/>
      <c r="K10" s="222"/>
      <c r="L10" s="219">
        <f t="shared" si="2"/>
        <v>0</v>
      </c>
      <c r="M10" s="223">
        <f t="shared" si="3"/>
        <v>87230360</v>
      </c>
    </row>
    <row r="11" spans="1:13" ht="38.25" customHeight="1">
      <c r="A11" s="224" t="s">
        <v>391</v>
      </c>
      <c r="B11" s="226" t="s">
        <v>1135</v>
      </c>
      <c r="C11" s="225"/>
      <c r="D11" s="217"/>
      <c r="E11" s="218"/>
      <c r="F11" s="219">
        <f t="shared" si="0"/>
        <v>0</v>
      </c>
      <c r="G11" s="618"/>
      <c r="H11" s="218">
        <f>242642019-15606966</f>
        <v>227035053</v>
      </c>
      <c r="I11" s="219">
        <f t="shared" si="1"/>
        <v>227035053</v>
      </c>
      <c r="J11" s="221"/>
      <c r="K11" s="222"/>
      <c r="L11" s="219">
        <f t="shared" si="2"/>
        <v>0</v>
      </c>
      <c r="M11" s="223">
        <f t="shared" si="3"/>
        <v>227035053</v>
      </c>
    </row>
    <row r="12" spans="1:13" ht="37.5" customHeight="1">
      <c r="A12" s="224" t="s">
        <v>392</v>
      </c>
      <c r="B12" s="226" t="s">
        <v>1134</v>
      </c>
      <c r="C12" s="225"/>
      <c r="D12" s="217"/>
      <c r="E12" s="218"/>
      <c r="F12" s="219">
        <f t="shared" si="0"/>
        <v>0</v>
      </c>
      <c r="G12" s="220">
        <v>7875000</v>
      </c>
      <c r="H12" s="218">
        <f>17861888+411888112</f>
        <v>429750000</v>
      </c>
      <c r="I12" s="219">
        <f t="shared" si="1"/>
        <v>437625000</v>
      </c>
      <c r="J12" s="221"/>
      <c r="K12" s="222"/>
      <c r="L12" s="219">
        <f t="shared" si="2"/>
        <v>0</v>
      </c>
      <c r="M12" s="223">
        <f t="shared" si="3"/>
        <v>437625000</v>
      </c>
    </row>
    <row r="13" spans="1:13" ht="29.25" customHeight="1">
      <c r="A13" s="224" t="s">
        <v>393</v>
      </c>
      <c r="B13" s="226" t="s">
        <v>58</v>
      </c>
      <c r="C13" s="225" t="s">
        <v>797</v>
      </c>
      <c r="D13" s="217">
        <v>2638913</v>
      </c>
      <c r="E13" s="613"/>
      <c r="F13" s="219">
        <f t="shared" si="0"/>
        <v>2638913</v>
      </c>
      <c r="G13" s="220">
        <v>4592665</v>
      </c>
      <c r="H13" s="613"/>
      <c r="I13" s="219">
        <f t="shared" si="1"/>
        <v>4592665</v>
      </c>
      <c r="J13" s="221"/>
      <c r="K13" s="222"/>
      <c r="L13" s="219">
        <f t="shared" si="2"/>
        <v>0</v>
      </c>
      <c r="M13" s="223">
        <f t="shared" si="3"/>
        <v>7231578</v>
      </c>
    </row>
    <row r="14" spans="1:13" ht="29.25" customHeight="1">
      <c r="A14" s="224" t="s">
        <v>394</v>
      </c>
      <c r="B14" s="226" t="s">
        <v>373</v>
      </c>
      <c r="C14" s="227"/>
      <c r="D14" s="612"/>
      <c r="E14" s="613"/>
      <c r="F14" s="219">
        <f t="shared" si="0"/>
        <v>0</v>
      </c>
      <c r="G14" s="220">
        <f>7224187-5500000+1100000+420000+80000+1350000+50800</f>
        <v>4724987</v>
      </c>
      <c r="H14" s="613"/>
      <c r="I14" s="219">
        <f t="shared" si="1"/>
        <v>4724987</v>
      </c>
      <c r="J14" s="221"/>
      <c r="K14" s="222"/>
      <c r="L14" s="219">
        <f t="shared" si="2"/>
        <v>0</v>
      </c>
      <c r="M14" s="223">
        <f t="shared" si="3"/>
        <v>4724987</v>
      </c>
    </row>
    <row r="15" spans="1:13" ht="29.25" customHeight="1">
      <c r="A15" s="224" t="s">
        <v>395</v>
      </c>
      <c r="B15" s="226" t="s">
        <v>776</v>
      </c>
      <c r="C15" s="219" t="s">
        <v>798</v>
      </c>
      <c r="D15" s="217">
        <f>34037935+66110+32640+20906574+24160</f>
        <v>55067419</v>
      </c>
      <c r="E15" s="613"/>
      <c r="F15" s="219">
        <f t="shared" si="0"/>
        <v>55067419</v>
      </c>
      <c r="G15" s="618"/>
      <c r="H15" s="613"/>
      <c r="I15" s="219">
        <f t="shared" si="1"/>
        <v>0</v>
      </c>
      <c r="J15" s="221"/>
      <c r="K15" s="222"/>
      <c r="L15" s="219">
        <f t="shared" si="2"/>
        <v>0</v>
      </c>
      <c r="M15" s="223">
        <f t="shared" si="3"/>
        <v>55067419</v>
      </c>
    </row>
    <row r="16" spans="1:13" ht="21.75" customHeight="1">
      <c r="A16" s="224" t="s">
        <v>396</v>
      </c>
      <c r="B16" s="242" t="s">
        <v>634</v>
      </c>
      <c r="C16" s="219" t="s">
        <v>798</v>
      </c>
      <c r="D16" s="229">
        <f>19198739+936+141447+1283275-1150000+17347428</f>
        <v>36821825</v>
      </c>
      <c r="E16" s="615"/>
      <c r="F16" s="219">
        <f t="shared" si="0"/>
        <v>36821825</v>
      </c>
      <c r="G16" s="619"/>
      <c r="H16" s="615"/>
      <c r="I16" s="219">
        <f t="shared" si="1"/>
        <v>0</v>
      </c>
      <c r="J16" s="232"/>
      <c r="K16" s="233"/>
      <c r="L16" s="219">
        <f t="shared" si="2"/>
        <v>0</v>
      </c>
      <c r="M16" s="223">
        <f t="shared" si="3"/>
        <v>36821825</v>
      </c>
    </row>
    <row r="17" spans="1:13" ht="29.25" customHeight="1">
      <c r="A17" s="224" t="s">
        <v>397</v>
      </c>
      <c r="B17" s="226" t="s">
        <v>66</v>
      </c>
      <c r="C17" s="219" t="s">
        <v>711</v>
      </c>
      <c r="D17" s="612"/>
      <c r="E17" s="613"/>
      <c r="F17" s="219">
        <f t="shared" si="0"/>
        <v>0</v>
      </c>
      <c r="G17" s="618"/>
      <c r="H17" s="613"/>
      <c r="I17" s="219">
        <f t="shared" si="1"/>
        <v>0</v>
      </c>
      <c r="J17" s="221">
        <f>50486791+2200+429-120000-73660-29000-484397</f>
        <v>49782363</v>
      </c>
      <c r="K17" s="222">
        <f>508000+120000+73660+29000+484397</f>
        <v>1215057</v>
      </c>
      <c r="L17" s="219">
        <f t="shared" si="2"/>
        <v>50997420</v>
      </c>
      <c r="M17" s="223">
        <f t="shared" si="3"/>
        <v>50997420</v>
      </c>
    </row>
    <row r="18" spans="1:13" ht="29.25" customHeight="1">
      <c r="A18" s="224" t="s">
        <v>398</v>
      </c>
      <c r="B18" s="226" t="s">
        <v>777</v>
      </c>
      <c r="C18" s="225"/>
      <c r="D18" s="612"/>
      <c r="E18" s="613"/>
      <c r="F18" s="219">
        <f t="shared" si="0"/>
        <v>0</v>
      </c>
      <c r="G18" s="618"/>
      <c r="H18" s="218">
        <f>264185263+151044-242642019-3832400-17861888</f>
        <v>0</v>
      </c>
      <c r="I18" s="219">
        <f t="shared" si="1"/>
        <v>0</v>
      </c>
      <c r="J18" s="221"/>
      <c r="K18" s="222"/>
      <c r="L18" s="219">
        <f t="shared" si="2"/>
        <v>0</v>
      </c>
      <c r="M18" s="223">
        <f t="shared" si="3"/>
        <v>0</v>
      </c>
    </row>
    <row r="19" spans="1:13" ht="29.25" customHeight="1">
      <c r="A19" s="224" t="s">
        <v>399</v>
      </c>
      <c r="B19" s="226" t="s">
        <v>779</v>
      </c>
      <c r="C19" s="225" t="s">
        <v>795</v>
      </c>
      <c r="D19" s="217">
        <f>11977188+28103985+2740077+8057715+246024-2601+148462-102430</f>
        <v>51168420</v>
      </c>
      <c r="E19" s="218">
        <f>1846997+914</f>
        <v>1847911</v>
      </c>
      <c r="F19" s="219">
        <f t="shared" si="0"/>
        <v>53016331</v>
      </c>
      <c r="G19" s="618"/>
      <c r="H19" s="613"/>
      <c r="I19" s="219">
        <f t="shared" si="1"/>
        <v>0</v>
      </c>
      <c r="J19" s="221"/>
      <c r="K19" s="222"/>
      <c r="L19" s="219">
        <f t="shared" si="2"/>
        <v>0</v>
      </c>
      <c r="M19" s="223">
        <f t="shared" si="3"/>
        <v>53016331</v>
      </c>
    </row>
    <row r="20" spans="1:13" ht="29.25" customHeight="1">
      <c r="A20" s="224" t="s">
        <v>400</v>
      </c>
      <c r="B20" s="226" t="s">
        <v>780</v>
      </c>
      <c r="C20" s="225" t="s">
        <v>795</v>
      </c>
      <c r="D20" s="217">
        <f>23626850+40610080+3959404+2045415+426539+9375932+914153+823080-23713+225003+102430</f>
        <v>82085173</v>
      </c>
      <c r="E20" s="218">
        <f>299888+25400</f>
        <v>325288</v>
      </c>
      <c r="F20" s="219">
        <f t="shared" si="0"/>
        <v>82410461</v>
      </c>
      <c r="G20" s="618"/>
      <c r="H20" s="613"/>
      <c r="I20" s="219">
        <f t="shared" si="1"/>
        <v>0</v>
      </c>
      <c r="J20" s="221"/>
      <c r="K20" s="222"/>
      <c r="L20" s="219">
        <f t="shared" si="2"/>
        <v>0</v>
      </c>
      <c r="M20" s="223">
        <f t="shared" si="3"/>
        <v>82410461</v>
      </c>
    </row>
    <row r="21" spans="1:13" ht="21.75" customHeight="1">
      <c r="A21" s="224" t="s">
        <v>401</v>
      </c>
      <c r="B21" s="242" t="s">
        <v>635</v>
      </c>
      <c r="C21" s="225" t="s">
        <v>712</v>
      </c>
      <c r="D21" s="614"/>
      <c r="E21" s="615"/>
      <c r="F21" s="219">
        <f t="shared" si="0"/>
        <v>0</v>
      </c>
      <c r="G21" s="619"/>
      <c r="H21" s="230">
        <v>12223750</v>
      </c>
      <c r="I21" s="219">
        <f t="shared" si="1"/>
        <v>12223750</v>
      </c>
      <c r="J21" s="232"/>
      <c r="K21" s="233"/>
      <c r="L21" s="219">
        <f t="shared" si="2"/>
        <v>0</v>
      </c>
      <c r="M21" s="223">
        <f t="shared" si="3"/>
        <v>12223750</v>
      </c>
    </row>
    <row r="22" spans="1:13" ht="29.25" customHeight="1">
      <c r="A22" s="228" t="s">
        <v>402</v>
      </c>
      <c r="B22" s="226" t="s">
        <v>354</v>
      </c>
      <c r="C22" s="225" t="s">
        <v>712</v>
      </c>
      <c r="D22" s="217">
        <f>9850000+5000000+868+1393900-1907772</f>
        <v>14336996</v>
      </c>
      <c r="E22" s="218">
        <f>18159504+30000+387985+1907772-913285</f>
        <v>19571976</v>
      </c>
      <c r="F22" s="219">
        <f t="shared" si="0"/>
        <v>33908972</v>
      </c>
      <c r="G22" s="618"/>
      <c r="H22" s="613"/>
      <c r="I22" s="219">
        <f t="shared" si="1"/>
        <v>0</v>
      </c>
      <c r="J22" s="221"/>
      <c r="K22" s="222"/>
      <c r="L22" s="219">
        <f t="shared" si="2"/>
        <v>0</v>
      </c>
      <c r="M22" s="223">
        <f t="shared" si="3"/>
        <v>33908972</v>
      </c>
    </row>
    <row r="23" spans="1:13" ht="29.25" customHeight="1">
      <c r="A23" s="224" t="s">
        <v>403</v>
      </c>
      <c r="B23" s="226" t="s">
        <v>68</v>
      </c>
      <c r="C23" s="225" t="s">
        <v>713</v>
      </c>
      <c r="D23" s="217">
        <v>1270000</v>
      </c>
      <c r="E23" s="218">
        <f>8644085+106200000-111619000</f>
        <v>3225085</v>
      </c>
      <c r="F23" s="219">
        <f t="shared" si="0"/>
        <v>4495085</v>
      </c>
      <c r="G23" s="618"/>
      <c r="H23" s="218"/>
      <c r="I23" s="219">
        <f t="shared" si="1"/>
        <v>0</v>
      </c>
      <c r="J23" s="221"/>
      <c r="K23" s="222"/>
      <c r="L23" s="219">
        <f t="shared" si="2"/>
        <v>0</v>
      </c>
      <c r="M23" s="223">
        <f t="shared" si="3"/>
        <v>4495085</v>
      </c>
    </row>
    <row r="24" spans="1:13" ht="36">
      <c r="A24" s="224" t="s">
        <v>404</v>
      </c>
      <c r="B24" s="226" t="s">
        <v>1175</v>
      </c>
      <c r="C24" s="225" t="s">
        <v>713</v>
      </c>
      <c r="D24" s="217"/>
      <c r="E24" s="218">
        <v>111619000</v>
      </c>
      <c r="F24" s="219">
        <f t="shared" si="0"/>
        <v>111619000</v>
      </c>
      <c r="G24" s="618"/>
      <c r="H24" s="947"/>
      <c r="I24" s="219">
        <f t="shared" si="1"/>
        <v>0</v>
      </c>
      <c r="J24" s="221"/>
      <c r="K24" s="222"/>
      <c r="L24" s="219"/>
      <c r="M24" s="223">
        <f t="shared" si="3"/>
        <v>111619000</v>
      </c>
    </row>
    <row r="25" spans="1:13" ht="36.75" customHeight="1">
      <c r="A25" s="224" t="s">
        <v>405</v>
      </c>
      <c r="B25" s="226" t="s">
        <v>1136</v>
      </c>
      <c r="C25" s="225"/>
      <c r="D25" s="217"/>
      <c r="E25" s="218"/>
      <c r="F25" s="219">
        <f t="shared" si="0"/>
        <v>0</v>
      </c>
      <c r="G25" s="618"/>
      <c r="H25" s="948">
        <f>3832400+192470000</f>
        <v>196302400</v>
      </c>
      <c r="I25" s="219">
        <f t="shared" si="1"/>
        <v>196302400</v>
      </c>
      <c r="J25" s="221"/>
      <c r="K25" s="222"/>
      <c r="L25" s="219"/>
      <c r="M25" s="223">
        <f t="shared" si="3"/>
        <v>196302400</v>
      </c>
    </row>
    <row r="26" spans="1:13" ht="29.25" customHeight="1">
      <c r="A26" s="224" t="s">
        <v>406</v>
      </c>
      <c r="B26" s="226" t="s">
        <v>977</v>
      </c>
      <c r="C26" s="225" t="s">
        <v>712</v>
      </c>
      <c r="D26" s="217">
        <v>7265000</v>
      </c>
      <c r="E26" s="218"/>
      <c r="F26" s="219">
        <f t="shared" si="0"/>
        <v>7265000</v>
      </c>
      <c r="G26" s="618"/>
      <c r="H26" s="613"/>
      <c r="I26" s="219">
        <f t="shared" si="1"/>
        <v>0</v>
      </c>
      <c r="J26" s="221"/>
      <c r="K26" s="222"/>
      <c r="L26" s="219">
        <f t="shared" si="2"/>
        <v>0</v>
      </c>
      <c r="M26" s="223">
        <f t="shared" si="3"/>
        <v>7265000</v>
      </c>
    </row>
    <row r="27" spans="1:13" ht="30.75" customHeight="1">
      <c r="A27" s="224" t="s">
        <v>407</v>
      </c>
      <c r="B27" s="226" t="s">
        <v>50</v>
      </c>
      <c r="C27" s="225" t="s">
        <v>714</v>
      </c>
      <c r="D27" s="229">
        <f>1736016+300000</f>
        <v>2036016</v>
      </c>
      <c r="E27" s="615"/>
      <c r="F27" s="219">
        <f t="shared" si="0"/>
        <v>2036016</v>
      </c>
      <c r="G27" s="619"/>
      <c r="H27" s="615"/>
      <c r="I27" s="219">
        <f t="shared" si="1"/>
        <v>0</v>
      </c>
      <c r="J27" s="232"/>
      <c r="K27" s="233"/>
      <c r="L27" s="219">
        <f t="shared" si="2"/>
        <v>0</v>
      </c>
      <c r="M27" s="223">
        <f t="shared" si="3"/>
        <v>2036016</v>
      </c>
    </row>
    <row r="28" spans="1:13" ht="31.5" customHeight="1">
      <c r="A28" s="224" t="s">
        <v>408</v>
      </c>
      <c r="B28" s="226" t="s">
        <v>371</v>
      </c>
      <c r="C28" s="225" t="s">
        <v>715</v>
      </c>
      <c r="D28" s="229">
        <f>11239754-848360+3300476</f>
        <v>13691870</v>
      </c>
      <c r="E28" s="615"/>
      <c r="F28" s="219">
        <f t="shared" si="0"/>
        <v>13691870</v>
      </c>
      <c r="G28" s="619"/>
      <c r="H28" s="615"/>
      <c r="I28" s="219">
        <f t="shared" si="1"/>
        <v>0</v>
      </c>
      <c r="J28" s="232"/>
      <c r="K28" s="233"/>
      <c r="L28" s="219">
        <f t="shared" si="2"/>
        <v>0</v>
      </c>
      <c r="M28" s="223">
        <f t="shared" si="3"/>
        <v>13691870</v>
      </c>
    </row>
    <row r="29" spans="1:13" ht="31.5" customHeight="1">
      <c r="A29" s="224" t="s">
        <v>409</v>
      </c>
      <c r="B29" s="226" t="s">
        <v>971</v>
      </c>
      <c r="C29" s="237" t="s">
        <v>796</v>
      </c>
      <c r="D29" s="229">
        <f>15000000+10196+4151-14347</f>
        <v>15000000</v>
      </c>
      <c r="E29" s="230">
        <v>18081467</v>
      </c>
      <c r="F29" s="219">
        <f t="shared" si="0"/>
        <v>33081467</v>
      </c>
      <c r="G29" s="619"/>
      <c r="H29" s="615"/>
      <c r="I29" s="219">
        <f t="shared" si="1"/>
        <v>0</v>
      </c>
      <c r="J29" s="232"/>
      <c r="K29" s="233"/>
      <c r="L29" s="219">
        <f t="shared" si="2"/>
        <v>0</v>
      </c>
      <c r="M29" s="223">
        <f t="shared" si="3"/>
        <v>33081467</v>
      </c>
    </row>
    <row r="30" spans="1:13" ht="36">
      <c r="A30" s="224" t="s">
        <v>410</v>
      </c>
      <c r="B30" s="226" t="s">
        <v>1132</v>
      </c>
      <c r="C30" s="237"/>
      <c r="D30" s="229"/>
      <c r="E30" s="230"/>
      <c r="F30" s="219">
        <f t="shared" si="0"/>
        <v>0</v>
      </c>
      <c r="G30" s="619"/>
      <c r="H30" s="230">
        <f>2500000+47500000</f>
        <v>50000000</v>
      </c>
      <c r="I30" s="219">
        <f t="shared" si="1"/>
        <v>50000000</v>
      </c>
      <c r="J30" s="232"/>
      <c r="K30" s="233"/>
      <c r="L30" s="219">
        <f t="shared" si="2"/>
        <v>0</v>
      </c>
      <c r="M30" s="223">
        <f t="shared" si="3"/>
        <v>50000000</v>
      </c>
    </row>
    <row r="31" spans="1:13" ht="36">
      <c r="A31" s="224" t="s">
        <v>485</v>
      </c>
      <c r="B31" s="226" t="s">
        <v>1162</v>
      </c>
      <c r="C31" s="237"/>
      <c r="D31" s="229"/>
      <c r="E31" s="230"/>
      <c r="F31" s="219">
        <f t="shared" si="0"/>
        <v>0</v>
      </c>
      <c r="G31" s="619"/>
      <c r="H31" s="230">
        <v>97606050</v>
      </c>
      <c r="I31" s="219">
        <f t="shared" si="1"/>
        <v>97606050</v>
      </c>
      <c r="J31" s="232"/>
      <c r="K31" s="233"/>
      <c r="L31" s="219">
        <f t="shared" si="2"/>
        <v>0</v>
      </c>
      <c r="M31" s="223">
        <f t="shared" si="3"/>
        <v>97606050</v>
      </c>
    </row>
    <row r="32" spans="1:13" ht="36">
      <c r="A32" s="224" t="s">
        <v>486</v>
      </c>
      <c r="B32" s="497" t="s">
        <v>1188</v>
      </c>
      <c r="C32" s="235" t="s">
        <v>729</v>
      </c>
      <c r="D32" s="229"/>
      <c r="E32" s="230">
        <f>19999984+10986749</f>
        <v>30986733</v>
      </c>
      <c r="F32" s="219">
        <f t="shared" si="0"/>
        <v>30986733</v>
      </c>
      <c r="G32" s="619"/>
      <c r="H32" s="230"/>
      <c r="I32" s="219">
        <f t="shared" si="1"/>
        <v>0</v>
      </c>
      <c r="J32" s="232"/>
      <c r="K32" s="233"/>
      <c r="L32" s="219">
        <f t="shared" si="2"/>
        <v>0</v>
      </c>
      <c r="M32" s="223">
        <f t="shared" si="3"/>
        <v>30986733</v>
      </c>
    </row>
    <row r="33" spans="1:13" ht="48">
      <c r="A33" s="224" t="s">
        <v>487</v>
      </c>
      <c r="B33" s="497" t="s">
        <v>1189</v>
      </c>
      <c r="C33" s="225" t="s">
        <v>712</v>
      </c>
      <c r="D33" s="229"/>
      <c r="E33" s="230">
        <f>9980698+913285</f>
        <v>10893983</v>
      </c>
      <c r="F33" s="219">
        <f t="shared" si="0"/>
        <v>10893983</v>
      </c>
      <c r="G33" s="619"/>
      <c r="H33" s="230"/>
      <c r="I33" s="219">
        <f t="shared" si="1"/>
        <v>0</v>
      </c>
      <c r="J33" s="232"/>
      <c r="K33" s="233"/>
      <c r="L33" s="219">
        <f t="shared" si="2"/>
        <v>0</v>
      </c>
      <c r="M33" s="223">
        <f t="shared" si="3"/>
        <v>10893983</v>
      </c>
    </row>
    <row r="34" spans="1:13" ht="60">
      <c r="A34" s="224" t="s">
        <v>455</v>
      </c>
      <c r="B34" s="497" t="s">
        <v>1192</v>
      </c>
      <c r="C34" s="237"/>
      <c r="D34" s="229"/>
      <c r="E34" s="230"/>
      <c r="F34" s="219">
        <f t="shared" si="0"/>
        <v>0</v>
      </c>
      <c r="G34" s="619"/>
      <c r="H34" s="230">
        <v>831000</v>
      </c>
      <c r="I34" s="219">
        <f t="shared" si="1"/>
        <v>831000</v>
      </c>
      <c r="J34" s="232"/>
      <c r="K34" s="233"/>
      <c r="L34" s="219">
        <f t="shared" si="2"/>
        <v>0</v>
      </c>
      <c r="M34" s="223">
        <f t="shared" si="3"/>
        <v>831000</v>
      </c>
    </row>
    <row r="35" spans="1:13" ht="48">
      <c r="A35" s="224" t="s">
        <v>488</v>
      </c>
      <c r="B35" s="497" t="s">
        <v>1190</v>
      </c>
      <c r="C35" s="237"/>
      <c r="D35" s="229"/>
      <c r="E35" s="230"/>
      <c r="F35" s="219">
        <f t="shared" si="0"/>
        <v>0</v>
      </c>
      <c r="G35" s="619"/>
      <c r="H35" s="230">
        <f>-3969604+23130819</f>
        <v>19161215</v>
      </c>
      <c r="I35" s="219">
        <f t="shared" si="1"/>
        <v>19161215</v>
      </c>
      <c r="J35" s="232"/>
      <c r="K35" s="233"/>
      <c r="L35" s="219">
        <f t="shared" si="2"/>
        <v>0</v>
      </c>
      <c r="M35" s="223">
        <f t="shared" si="3"/>
        <v>19161215</v>
      </c>
    </row>
    <row r="36" spans="1:13" ht="21.75" customHeight="1">
      <c r="A36" s="224" t="s">
        <v>411</v>
      </c>
      <c r="B36" s="242" t="s">
        <v>782</v>
      </c>
      <c r="C36" s="237" t="s">
        <v>796</v>
      </c>
      <c r="D36" s="229">
        <v>0</v>
      </c>
      <c r="E36" s="230">
        <f>389000-389000</f>
        <v>0</v>
      </c>
      <c r="F36" s="219">
        <f t="shared" si="0"/>
        <v>0</v>
      </c>
      <c r="G36" s="619"/>
      <c r="H36" s="615"/>
      <c r="I36" s="219">
        <f t="shared" si="1"/>
        <v>0</v>
      </c>
      <c r="J36" s="232"/>
      <c r="K36" s="233"/>
      <c r="L36" s="219">
        <f t="shared" si="2"/>
        <v>0</v>
      </c>
      <c r="M36" s="223">
        <f t="shared" si="3"/>
        <v>0</v>
      </c>
    </row>
    <row r="37" spans="1:13" ht="21.75" customHeight="1">
      <c r="A37" s="224" t="s">
        <v>412</v>
      </c>
      <c r="B37" s="242" t="s">
        <v>374</v>
      </c>
      <c r="C37" s="237" t="s">
        <v>712</v>
      </c>
      <c r="D37" s="229">
        <v>23139400</v>
      </c>
      <c r="E37" s="615"/>
      <c r="F37" s="219">
        <f t="shared" si="0"/>
        <v>23139400</v>
      </c>
      <c r="G37" s="619"/>
      <c r="H37" s="615"/>
      <c r="I37" s="219">
        <f t="shared" si="1"/>
        <v>0</v>
      </c>
      <c r="J37" s="232"/>
      <c r="K37" s="233"/>
      <c r="L37" s="219">
        <f t="shared" si="2"/>
        <v>0</v>
      </c>
      <c r="M37" s="223">
        <f t="shared" si="3"/>
        <v>23139400</v>
      </c>
    </row>
    <row r="38" spans="1:13" ht="21.75" customHeight="1">
      <c r="A38" s="224" t="s">
        <v>413</v>
      </c>
      <c r="B38" s="242" t="s">
        <v>372</v>
      </c>
      <c r="C38" s="237" t="s">
        <v>712</v>
      </c>
      <c r="D38" s="229">
        <f>26082000+3692132+400000-100000</f>
        <v>30074132</v>
      </c>
      <c r="E38" s="230">
        <f>2606050+95000000-97606050</f>
        <v>0</v>
      </c>
      <c r="F38" s="219">
        <f t="shared" si="0"/>
        <v>30074132</v>
      </c>
      <c r="G38" s="619"/>
      <c r="H38" s="615"/>
      <c r="I38" s="219">
        <f t="shared" si="1"/>
        <v>0</v>
      </c>
      <c r="J38" s="232"/>
      <c r="K38" s="233"/>
      <c r="L38" s="219">
        <f t="shared" si="2"/>
        <v>0</v>
      </c>
      <c r="M38" s="223">
        <f t="shared" si="3"/>
        <v>30074132</v>
      </c>
    </row>
    <row r="39" spans="1:13" ht="22.5" customHeight="1">
      <c r="A39" s="224" t="s">
        <v>489</v>
      </c>
      <c r="B39" s="242" t="s">
        <v>84</v>
      </c>
      <c r="C39" s="237" t="s">
        <v>716</v>
      </c>
      <c r="D39" s="229">
        <f>28083700+90000+146050+2600000+500000-152400-300000-200000-5715000+444500-40000-1393900+85000-85000</f>
        <v>24062950</v>
      </c>
      <c r="E39" s="230">
        <f>831000+152400+200000+1595000+5715000-831000</f>
        <v>7662400</v>
      </c>
      <c r="F39" s="219">
        <f t="shared" si="0"/>
        <v>31725350</v>
      </c>
      <c r="G39" s="231">
        <f>2990082+200000+550000</f>
        <v>3740082</v>
      </c>
      <c r="H39" s="615"/>
      <c r="I39" s="219">
        <f t="shared" si="1"/>
        <v>3740082</v>
      </c>
      <c r="J39" s="232"/>
      <c r="K39" s="233"/>
      <c r="L39" s="219">
        <f t="shared" si="2"/>
        <v>0</v>
      </c>
      <c r="M39" s="223">
        <f t="shared" si="3"/>
        <v>35465432</v>
      </c>
    </row>
    <row r="40" spans="1:13" ht="23.25" customHeight="1">
      <c r="A40" s="224" t="s">
        <v>414</v>
      </c>
      <c r="B40" s="242" t="s">
        <v>376</v>
      </c>
      <c r="C40" s="237" t="s">
        <v>717</v>
      </c>
      <c r="D40" s="229">
        <v>360000</v>
      </c>
      <c r="E40" s="615"/>
      <c r="F40" s="219">
        <f t="shared" si="0"/>
        <v>360000</v>
      </c>
      <c r="G40" s="619"/>
      <c r="H40" s="615"/>
      <c r="I40" s="219">
        <f t="shared" si="1"/>
        <v>0</v>
      </c>
      <c r="J40" s="232"/>
      <c r="K40" s="233"/>
      <c r="L40" s="219">
        <f t="shared" si="2"/>
        <v>0</v>
      </c>
      <c r="M40" s="223">
        <f t="shared" si="3"/>
        <v>360000</v>
      </c>
    </row>
    <row r="41" spans="1:13" ht="22.5" customHeight="1">
      <c r="A41" s="224" t="s">
        <v>429</v>
      </c>
      <c r="B41" s="242" t="s">
        <v>377</v>
      </c>
      <c r="C41" s="237" t="s">
        <v>717</v>
      </c>
      <c r="D41" s="229">
        <f>21638205+601200+28922-233830+40000</f>
        <v>22074497</v>
      </c>
      <c r="E41" s="230">
        <f>76200+233830</f>
        <v>310030</v>
      </c>
      <c r="F41" s="219">
        <f t="shared" si="0"/>
        <v>22384527</v>
      </c>
      <c r="G41" s="619"/>
      <c r="H41" s="615"/>
      <c r="I41" s="219">
        <f t="shared" si="1"/>
        <v>0</v>
      </c>
      <c r="J41" s="232"/>
      <c r="K41" s="233"/>
      <c r="L41" s="219">
        <f t="shared" si="2"/>
        <v>0</v>
      </c>
      <c r="M41" s="223">
        <f t="shared" si="3"/>
        <v>22384527</v>
      </c>
    </row>
    <row r="42" spans="1:13" ht="22.5" customHeight="1">
      <c r="A42" s="224" t="s">
        <v>490</v>
      </c>
      <c r="B42" s="242" t="s">
        <v>378</v>
      </c>
      <c r="C42" s="237" t="s">
        <v>717</v>
      </c>
      <c r="D42" s="229">
        <v>120000</v>
      </c>
      <c r="E42" s="615"/>
      <c r="F42" s="219">
        <f t="shared" si="0"/>
        <v>120000</v>
      </c>
      <c r="G42" s="619"/>
      <c r="H42" s="615"/>
      <c r="I42" s="219">
        <f t="shared" si="1"/>
        <v>0</v>
      </c>
      <c r="J42" s="232"/>
      <c r="K42" s="233"/>
      <c r="L42" s="219">
        <f t="shared" si="2"/>
        <v>0</v>
      </c>
      <c r="M42" s="223">
        <f t="shared" si="3"/>
        <v>120000</v>
      </c>
    </row>
    <row r="43" spans="1:13" ht="29.25" customHeight="1">
      <c r="A43" s="224" t="s">
        <v>491</v>
      </c>
      <c r="B43" s="226" t="s">
        <v>726</v>
      </c>
      <c r="C43" s="225" t="s">
        <v>717</v>
      </c>
      <c r="D43" s="229">
        <f>23068191-5990-63436</f>
        <v>22998765</v>
      </c>
      <c r="E43" s="230">
        <f>5990+63436</f>
        <v>69426</v>
      </c>
      <c r="F43" s="219">
        <f t="shared" si="0"/>
        <v>23068191</v>
      </c>
      <c r="G43" s="619"/>
      <c r="H43" s="615"/>
      <c r="I43" s="219">
        <f t="shared" si="1"/>
        <v>0</v>
      </c>
      <c r="J43" s="232"/>
      <c r="K43" s="233"/>
      <c r="L43" s="219">
        <f t="shared" si="2"/>
        <v>0</v>
      </c>
      <c r="M43" s="223">
        <f t="shared" si="3"/>
        <v>23068191</v>
      </c>
    </row>
    <row r="44" spans="1:13" ht="29.25" customHeight="1">
      <c r="A44" s="224" t="s">
        <v>867</v>
      </c>
      <c r="B44" s="234" t="s">
        <v>83</v>
      </c>
      <c r="C44" s="219" t="s">
        <v>718</v>
      </c>
      <c r="D44" s="229">
        <f>16441000+4638836</f>
        <v>21079836</v>
      </c>
      <c r="E44" s="615"/>
      <c r="F44" s="219">
        <f t="shared" si="0"/>
        <v>21079836</v>
      </c>
      <c r="G44" s="620"/>
      <c r="H44" s="230">
        <f>15576620-11201400+150000+235153+197100+49530-49530</f>
        <v>4957473</v>
      </c>
      <c r="I44" s="219">
        <f t="shared" si="1"/>
        <v>4957473</v>
      </c>
      <c r="J44" s="232"/>
      <c r="K44" s="233"/>
      <c r="L44" s="219">
        <f t="shared" si="2"/>
        <v>0</v>
      </c>
      <c r="M44" s="223">
        <f t="shared" si="3"/>
        <v>26037309</v>
      </c>
    </row>
    <row r="45" spans="1:13" ht="29.25" customHeight="1">
      <c r="A45" s="224" t="s">
        <v>868</v>
      </c>
      <c r="B45" s="234" t="s">
        <v>1138</v>
      </c>
      <c r="C45" s="219"/>
      <c r="D45" s="229"/>
      <c r="E45" s="615"/>
      <c r="F45" s="219"/>
      <c r="G45" s="236">
        <v>15000</v>
      </c>
      <c r="H45" s="230"/>
      <c r="I45" s="219">
        <f t="shared" si="1"/>
        <v>15000</v>
      </c>
      <c r="J45" s="232"/>
      <c r="K45" s="233"/>
      <c r="L45" s="219"/>
      <c r="M45" s="223">
        <f t="shared" si="3"/>
        <v>15000</v>
      </c>
    </row>
    <row r="46" spans="1:13" ht="30.75" customHeight="1">
      <c r="A46" s="224" t="s">
        <v>874</v>
      </c>
      <c r="B46" s="249" t="s">
        <v>613</v>
      </c>
      <c r="C46" s="219"/>
      <c r="D46" s="614"/>
      <c r="E46" s="615"/>
      <c r="F46" s="219">
        <f t="shared" si="0"/>
        <v>0</v>
      </c>
      <c r="G46" s="236">
        <f>2039211-235153</f>
        <v>1804058</v>
      </c>
      <c r="H46" s="230">
        <f>22279919+850900-23130819</f>
        <v>0</v>
      </c>
      <c r="I46" s="219">
        <f t="shared" si="1"/>
        <v>1804058</v>
      </c>
      <c r="J46" s="232"/>
      <c r="K46" s="233"/>
      <c r="L46" s="219">
        <f t="shared" si="2"/>
        <v>0</v>
      </c>
      <c r="M46" s="223">
        <f t="shared" si="3"/>
        <v>1804058</v>
      </c>
    </row>
    <row r="47" spans="1:13" ht="30.75" customHeight="1">
      <c r="A47" s="224" t="s">
        <v>875</v>
      </c>
      <c r="B47" s="226" t="s">
        <v>543</v>
      </c>
      <c r="C47" s="225" t="s">
        <v>719</v>
      </c>
      <c r="D47" s="229">
        <f>95585+527827</f>
        <v>623412</v>
      </c>
      <c r="E47" s="615"/>
      <c r="F47" s="219">
        <f t="shared" si="0"/>
        <v>623412</v>
      </c>
      <c r="G47" s="236"/>
      <c r="H47" s="230"/>
      <c r="I47" s="219">
        <f t="shared" si="1"/>
        <v>0</v>
      </c>
      <c r="J47" s="232"/>
      <c r="K47" s="233"/>
      <c r="L47" s="219">
        <f t="shared" si="2"/>
        <v>0</v>
      </c>
      <c r="M47" s="223">
        <f t="shared" si="3"/>
        <v>623412</v>
      </c>
    </row>
    <row r="48" spans="1:13" ht="30.75" customHeight="1">
      <c r="A48" s="224" t="s">
        <v>886</v>
      </c>
      <c r="B48" s="226" t="s">
        <v>379</v>
      </c>
      <c r="C48" s="225" t="s">
        <v>719</v>
      </c>
      <c r="D48" s="229">
        <f>1768202+348675</f>
        <v>2116877</v>
      </c>
      <c r="E48" s="230">
        <v>807720</v>
      </c>
      <c r="F48" s="219">
        <f t="shared" si="0"/>
        <v>2924597</v>
      </c>
      <c r="G48" s="236"/>
      <c r="H48" s="230"/>
      <c r="I48" s="219">
        <f t="shared" si="1"/>
        <v>0</v>
      </c>
      <c r="J48" s="232"/>
      <c r="K48" s="233"/>
      <c r="L48" s="219">
        <f t="shared" si="2"/>
        <v>0</v>
      </c>
      <c r="M48" s="223">
        <f t="shared" si="3"/>
        <v>2924597</v>
      </c>
    </row>
    <row r="49" spans="1:13" ht="30.75" customHeight="1">
      <c r="A49" s="224" t="s">
        <v>979</v>
      </c>
      <c r="B49" s="226" t="s">
        <v>85</v>
      </c>
      <c r="C49" s="237" t="s">
        <v>720</v>
      </c>
      <c r="D49" s="229"/>
      <c r="E49" s="230"/>
      <c r="F49" s="219">
        <f t="shared" si="0"/>
        <v>0</v>
      </c>
      <c r="G49" s="236">
        <f>12859+39171</f>
        <v>52030</v>
      </c>
      <c r="H49" s="230"/>
      <c r="I49" s="219">
        <f t="shared" si="1"/>
        <v>52030</v>
      </c>
      <c r="J49" s="232"/>
      <c r="K49" s="233"/>
      <c r="L49" s="219">
        <f t="shared" si="2"/>
        <v>0</v>
      </c>
      <c r="M49" s="223">
        <f t="shared" si="3"/>
        <v>52030</v>
      </c>
    </row>
    <row r="50" spans="1:13" ht="34.5" customHeight="1">
      <c r="A50" s="224" t="s">
        <v>980</v>
      </c>
      <c r="B50" s="226" t="s">
        <v>1137</v>
      </c>
      <c r="C50" s="225"/>
      <c r="D50" s="614"/>
      <c r="E50" s="615"/>
      <c r="F50" s="219">
        <f t="shared" si="0"/>
        <v>0</v>
      </c>
      <c r="G50" s="236">
        <f>17772766-3600833-834330-13337603+8400000+1656000+10749062</f>
        <v>20805062</v>
      </c>
      <c r="H50" s="230">
        <v>830000</v>
      </c>
      <c r="I50" s="219">
        <f t="shared" si="1"/>
        <v>21635062</v>
      </c>
      <c r="J50" s="232"/>
      <c r="K50" s="233"/>
      <c r="L50" s="219">
        <f t="shared" si="2"/>
        <v>0</v>
      </c>
      <c r="M50" s="223">
        <f t="shared" si="3"/>
        <v>21635062</v>
      </c>
    </row>
    <row r="51" spans="1:13" ht="34.5" customHeight="1">
      <c r="A51" s="224" t="s">
        <v>1007</v>
      </c>
      <c r="B51" s="226" t="s">
        <v>1097</v>
      </c>
      <c r="C51" s="241" t="s">
        <v>721</v>
      </c>
      <c r="D51" s="230">
        <f>4454365+867408+5771921+66142+1744+4668+2570768</f>
        <v>13737016</v>
      </c>
      <c r="E51" s="230">
        <f>3055442+103900</f>
        <v>3159342</v>
      </c>
      <c r="F51" s="219">
        <f t="shared" si="0"/>
        <v>16896358</v>
      </c>
      <c r="G51" s="236"/>
      <c r="H51" s="230"/>
      <c r="I51" s="219">
        <f t="shared" si="1"/>
        <v>0</v>
      </c>
      <c r="J51" s="232"/>
      <c r="K51" s="233"/>
      <c r="L51" s="219">
        <f t="shared" si="2"/>
        <v>0</v>
      </c>
      <c r="M51" s="223">
        <f t="shared" si="3"/>
        <v>16896358</v>
      </c>
    </row>
    <row r="52" spans="1:13" ht="34.5" customHeight="1">
      <c r="A52" s="224" t="s">
        <v>1009</v>
      </c>
      <c r="B52" s="226" t="s">
        <v>970</v>
      </c>
      <c r="C52" s="225"/>
      <c r="D52" s="229">
        <v>46939</v>
      </c>
      <c r="E52" s="230">
        <f>1576197+29947750</f>
        <v>31523947</v>
      </c>
      <c r="F52" s="219">
        <f t="shared" si="0"/>
        <v>31570886</v>
      </c>
      <c r="G52" s="236"/>
      <c r="H52" s="230"/>
      <c r="I52" s="219">
        <f t="shared" si="1"/>
        <v>0</v>
      </c>
      <c r="J52" s="232"/>
      <c r="K52" s="233"/>
      <c r="L52" s="219">
        <f t="shared" si="2"/>
        <v>0</v>
      </c>
      <c r="M52" s="223">
        <f t="shared" si="3"/>
        <v>31570886</v>
      </c>
    </row>
    <row r="53" spans="1:13" ht="23.25" customHeight="1">
      <c r="A53" s="224" t="s">
        <v>1010</v>
      </c>
      <c r="B53" s="226" t="s">
        <v>608</v>
      </c>
      <c r="C53" s="241"/>
      <c r="D53" s="616"/>
      <c r="E53" s="617"/>
      <c r="F53" s="219">
        <f t="shared" si="0"/>
        <v>0</v>
      </c>
      <c r="G53" s="240">
        <f>4592665-4592665</f>
        <v>0</v>
      </c>
      <c r="H53" s="617"/>
      <c r="I53" s="219">
        <f t="shared" si="1"/>
        <v>0</v>
      </c>
      <c r="J53" s="232"/>
      <c r="K53" s="233"/>
      <c r="L53" s="219">
        <f t="shared" si="2"/>
        <v>0</v>
      </c>
      <c r="M53" s="223">
        <f t="shared" si="3"/>
        <v>0</v>
      </c>
    </row>
    <row r="54" spans="1:13" ht="36">
      <c r="A54" s="224" t="s">
        <v>1098</v>
      </c>
      <c r="B54" s="226" t="s">
        <v>1140</v>
      </c>
      <c r="C54" s="241"/>
      <c r="D54" s="616"/>
      <c r="E54" s="617"/>
      <c r="F54" s="219"/>
      <c r="G54" s="240">
        <f>12762600+2999211+15053577+1564044-2800000-546000</f>
        <v>29033432</v>
      </c>
      <c r="H54" s="617"/>
      <c r="I54" s="219">
        <f t="shared" si="1"/>
        <v>29033432</v>
      </c>
      <c r="J54" s="232"/>
      <c r="K54" s="233"/>
      <c r="L54" s="219"/>
      <c r="M54" s="223">
        <f t="shared" si="3"/>
        <v>29033432</v>
      </c>
    </row>
    <row r="55" spans="1:13" ht="24" customHeight="1">
      <c r="A55" s="224" t="s">
        <v>1099</v>
      </c>
      <c r="B55" s="226" t="s">
        <v>642</v>
      </c>
      <c r="C55" s="235" t="s">
        <v>729</v>
      </c>
      <c r="D55" s="238">
        <f>56893304-15</f>
        <v>56893289</v>
      </c>
      <c r="E55" s="239">
        <f>10986734+15-10986749</f>
        <v>0</v>
      </c>
      <c r="F55" s="219">
        <f t="shared" si="0"/>
        <v>56893289</v>
      </c>
      <c r="G55" s="621"/>
      <c r="H55" s="617"/>
      <c r="I55" s="219">
        <f t="shared" si="1"/>
        <v>0</v>
      </c>
      <c r="J55" s="232"/>
      <c r="K55" s="233"/>
      <c r="L55" s="219">
        <f t="shared" si="2"/>
        <v>0</v>
      </c>
      <c r="M55" s="223">
        <f t="shared" si="3"/>
        <v>56893289</v>
      </c>
    </row>
    <row r="56" spans="1:13" ht="24">
      <c r="A56" s="224" t="s">
        <v>1141</v>
      </c>
      <c r="B56" s="226" t="s">
        <v>610</v>
      </c>
      <c r="C56" s="225"/>
      <c r="D56" s="616"/>
      <c r="E56" s="617"/>
      <c r="F56" s="219">
        <f>SUM(D56:E56)</f>
        <v>0</v>
      </c>
      <c r="G56" s="240">
        <v>117194</v>
      </c>
      <c r="H56" s="617"/>
      <c r="I56" s="219">
        <f>SUM(G56:H56)</f>
        <v>117194</v>
      </c>
      <c r="J56" s="232"/>
      <c r="K56" s="233"/>
      <c r="L56" s="219">
        <f>SUM(J56:K56)</f>
        <v>0</v>
      </c>
      <c r="M56" s="223">
        <f t="shared" si="3"/>
        <v>117194</v>
      </c>
    </row>
    <row r="57" spans="1:13" ht="21.75" customHeight="1">
      <c r="A57" s="224" t="s">
        <v>1142</v>
      </c>
      <c r="B57" s="242" t="s">
        <v>705</v>
      </c>
      <c r="C57" s="237"/>
      <c r="D57" s="614"/>
      <c r="E57" s="615"/>
      <c r="F57" s="219">
        <f t="shared" si="0"/>
        <v>0</v>
      </c>
      <c r="G57" s="231">
        <f>37171000+5275000-3663000-228600-1054591-857250</f>
        <v>36642559</v>
      </c>
      <c r="H57" s="615"/>
      <c r="I57" s="219">
        <f t="shared" si="1"/>
        <v>36642559</v>
      </c>
      <c r="J57" s="232"/>
      <c r="K57" s="233"/>
      <c r="L57" s="219">
        <f t="shared" si="2"/>
        <v>0</v>
      </c>
      <c r="M57" s="223">
        <f t="shared" si="3"/>
        <v>36642559</v>
      </c>
    </row>
    <row r="58" spans="1:13" ht="21.75" customHeight="1">
      <c r="A58" s="224" t="s">
        <v>1143</v>
      </c>
      <c r="B58" s="242" t="s">
        <v>860</v>
      </c>
      <c r="C58" s="237" t="s">
        <v>869</v>
      </c>
      <c r="D58" s="229">
        <f>4562000+3015000-760000</f>
        <v>6817000</v>
      </c>
      <c r="E58" s="615"/>
      <c r="F58" s="219">
        <f t="shared" si="0"/>
        <v>6817000</v>
      </c>
      <c r="G58" s="231"/>
      <c r="H58" s="615"/>
      <c r="I58" s="219">
        <f t="shared" si="1"/>
        <v>0</v>
      </c>
      <c r="J58" s="232"/>
      <c r="K58" s="233"/>
      <c r="L58" s="219">
        <f t="shared" si="2"/>
        <v>0</v>
      </c>
      <c r="M58" s="223">
        <f t="shared" si="3"/>
        <v>6817000</v>
      </c>
    </row>
    <row r="59" spans="1:13" ht="36">
      <c r="A59" s="224" t="s">
        <v>1144</v>
      </c>
      <c r="B59" s="254" t="s">
        <v>1003</v>
      </c>
      <c r="C59" s="235" t="s">
        <v>732</v>
      </c>
      <c r="D59" s="238">
        <v>166813</v>
      </c>
      <c r="E59" s="239">
        <v>1753187</v>
      </c>
      <c r="F59" s="253">
        <f>SUM(D59:E59)</f>
        <v>1920000</v>
      </c>
      <c r="G59" s="238">
        <v>0</v>
      </c>
      <c r="H59" s="239">
        <f>1920000-1920000</f>
        <v>0</v>
      </c>
      <c r="I59" s="253">
        <f>SUM(G59:H59)</f>
        <v>0</v>
      </c>
      <c r="J59" s="232"/>
      <c r="K59" s="232"/>
      <c r="L59" s="253">
        <f>SUM(J59:K59)</f>
        <v>0</v>
      </c>
      <c r="M59" s="223">
        <f t="shared" si="3"/>
        <v>1920000</v>
      </c>
    </row>
    <row r="60" spans="1:13" ht="24" customHeight="1">
      <c r="A60" s="224" t="s">
        <v>1145</v>
      </c>
      <c r="B60" s="226" t="s">
        <v>644</v>
      </c>
      <c r="C60" s="235" t="s">
        <v>734</v>
      </c>
      <c r="D60" s="238">
        <f>2114700-36480-718770</f>
        <v>1359450</v>
      </c>
      <c r="E60" s="617"/>
      <c r="F60" s="219">
        <f>SUM(D60:E60)</f>
        <v>1359450</v>
      </c>
      <c r="G60" s="621"/>
      <c r="H60" s="617"/>
      <c r="I60" s="219">
        <f>SUM(G60:H60)</f>
        <v>0</v>
      </c>
      <c r="J60" s="232"/>
      <c r="K60" s="233"/>
      <c r="L60" s="219">
        <f aca="true" t="shared" si="4" ref="L60:L70">SUM(J60:K60)</f>
        <v>0</v>
      </c>
      <c r="M60" s="223">
        <f t="shared" si="3"/>
        <v>1359450</v>
      </c>
    </row>
    <row r="61" spans="1:13" ht="36">
      <c r="A61" s="224" t="s">
        <v>1146</v>
      </c>
      <c r="B61" s="242" t="s">
        <v>1163</v>
      </c>
      <c r="C61" s="237"/>
      <c r="D61" s="614"/>
      <c r="E61" s="615"/>
      <c r="F61" s="219">
        <f t="shared" si="0"/>
        <v>0</v>
      </c>
      <c r="G61" s="231">
        <f>60353914+27815502+6738701+54417221+12762600+2999211+15053577+1564044+10976885-2893619-12762600-2999211-15053577-1564044-27815502-6738701-65394106-1250000</f>
        <v>56210295</v>
      </c>
      <c r="H61" s="230">
        <f>8983129+6528562+2893619-8983129-6528562+1250000</f>
        <v>4143619</v>
      </c>
      <c r="I61" s="219">
        <f t="shared" si="1"/>
        <v>60353914</v>
      </c>
      <c r="J61" s="232"/>
      <c r="K61" s="233"/>
      <c r="L61" s="219">
        <f t="shared" si="4"/>
        <v>0</v>
      </c>
      <c r="M61" s="223">
        <f t="shared" si="3"/>
        <v>60353914</v>
      </c>
    </row>
    <row r="62" spans="1:13" ht="29.25" customHeight="1">
      <c r="A62" s="224" t="s">
        <v>1147</v>
      </c>
      <c r="B62" s="242" t="s">
        <v>871</v>
      </c>
      <c r="C62" s="219" t="s">
        <v>870</v>
      </c>
      <c r="D62" s="614"/>
      <c r="E62" s="615"/>
      <c r="F62" s="219">
        <f t="shared" si="0"/>
        <v>0</v>
      </c>
      <c r="G62" s="231">
        <f>3712000+922000-618000</f>
        <v>4016000</v>
      </c>
      <c r="H62" s="615"/>
      <c r="I62" s="219">
        <f t="shared" si="1"/>
        <v>4016000</v>
      </c>
      <c r="J62" s="232"/>
      <c r="K62" s="233"/>
      <c r="L62" s="219">
        <f t="shared" si="4"/>
        <v>0</v>
      </c>
      <c r="M62" s="223">
        <f t="shared" si="3"/>
        <v>4016000</v>
      </c>
    </row>
    <row r="63" spans="1:13" ht="29.25" customHeight="1">
      <c r="A63" s="224" t="s">
        <v>1148</v>
      </c>
      <c r="B63" s="242" t="s">
        <v>872</v>
      </c>
      <c r="C63" s="219" t="s">
        <v>870</v>
      </c>
      <c r="D63" s="614"/>
      <c r="E63" s="615"/>
      <c r="F63" s="219">
        <f t="shared" si="0"/>
        <v>0</v>
      </c>
      <c r="G63" s="231">
        <f>4717000+1397000-787000</f>
        <v>5327000</v>
      </c>
      <c r="H63" s="615"/>
      <c r="I63" s="219">
        <f t="shared" si="1"/>
        <v>5327000</v>
      </c>
      <c r="J63" s="232"/>
      <c r="K63" s="233"/>
      <c r="L63" s="219">
        <f t="shared" si="4"/>
        <v>0</v>
      </c>
      <c r="M63" s="223">
        <f t="shared" si="3"/>
        <v>5327000</v>
      </c>
    </row>
    <row r="64" spans="1:13" ht="21.75" customHeight="1">
      <c r="A64" s="224" t="s">
        <v>1166</v>
      </c>
      <c r="B64" s="242" t="s">
        <v>451</v>
      </c>
      <c r="C64" s="237" t="s">
        <v>722</v>
      </c>
      <c r="D64" s="229">
        <f>2400000+200000+1838000+2261329-306000+857250</f>
        <v>7250579</v>
      </c>
      <c r="E64" s="615"/>
      <c r="F64" s="219">
        <f t="shared" si="0"/>
        <v>7250579</v>
      </c>
      <c r="G64" s="619"/>
      <c r="H64" s="615"/>
      <c r="I64" s="219">
        <f t="shared" si="1"/>
        <v>0</v>
      </c>
      <c r="J64" s="232"/>
      <c r="K64" s="233"/>
      <c r="L64" s="219">
        <f t="shared" si="4"/>
        <v>0</v>
      </c>
      <c r="M64" s="223">
        <f t="shared" si="3"/>
        <v>7250579</v>
      </c>
    </row>
    <row r="65" spans="1:13" ht="21.75" customHeight="1">
      <c r="A65" s="224" t="s">
        <v>1167</v>
      </c>
      <c r="B65" s="242" t="s">
        <v>866</v>
      </c>
      <c r="C65" s="237" t="s">
        <v>873</v>
      </c>
      <c r="D65" s="229">
        <f>3719000+1625335-619000</f>
        <v>4725335</v>
      </c>
      <c r="E65" s="615"/>
      <c r="F65" s="219">
        <f t="shared" si="0"/>
        <v>4725335</v>
      </c>
      <c r="G65" s="619"/>
      <c r="H65" s="615"/>
      <c r="I65" s="219">
        <f t="shared" si="1"/>
        <v>0</v>
      </c>
      <c r="J65" s="232"/>
      <c r="K65" s="233"/>
      <c r="L65" s="219">
        <f t="shared" si="4"/>
        <v>0</v>
      </c>
      <c r="M65" s="223">
        <f t="shared" si="3"/>
        <v>4725335</v>
      </c>
    </row>
    <row r="66" spans="1:13" ht="26.25" customHeight="1">
      <c r="A66" s="224" t="s">
        <v>1180</v>
      </c>
      <c r="B66" s="226" t="s">
        <v>614</v>
      </c>
      <c r="C66" s="219" t="s">
        <v>730</v>
      </c>
      <c r="D66" s="229">
        <f>2942222+15000</f>
        <v>2957222</v>
      </c>
      <c r="E66" s="615"/>
      <c r="F66" s="219">
        <f t="shared" si="0"/>
        <v>2957222</v>
      </c>
      <c r="G66" s="619"/>
      <c r="H66" s="615"/>
      <c r="I66" s="219">
        <f t="shared" si="1"/>
        <v>0</v>
      </c>
      <c r="J66" s="232"/>
      <c r="K66" s="233"/>
      <c r="L66" s="219">
        <f t="shared" si="4"/>
        <v>0</v>
      </c>
      <c r="M66" s="223">
        <f t="shared" si="3"/>
        <v>2957222</v>
      </c>
    </row>
    <row r="67" spans="1:13" ht="36">
      <c r="A67" s="224" t="s">
        <v>1204</v>
      </c>
      <c r="B67" s="226" t="s">
        <v>1164</v>
      </c>
      <c r="C67" s="225"/>
      <c r="D67" s="229"/>
      <c r="E67" s="615"/>
      <c r="F67" s="219">
        <f t="shared" si="0"/>
        <v>0</v>
      </c>
      <c r="G67" s="219">
        <f>27815502+6738701+65394106-6000000-720000-140400</f>
        <v>93087909</v>
      </c>
      <c r="H67" s="230">
        <f>8983129+6528562+6000000</f>
        <v>21511691</v>
      </c>
      <c r="I67" s="219">
        <f t="shared" si="1"/>
        <v>114599600</v>
      </c>
      <c r="J67" s="232"/>
      <c r="K67" s="232"/>
      <c r="L67" s="219"/>
      <c r="M67" s="223">
        <f t="shared" si="3"/>
        <v>114599600</v>
      </c>
    </row>
    <row r="68" spans="1:13" ht="36">
      <c r="A68" s="224" t="s">
        <v>1205</v>
      </c>
      <c r="B68" s="226" t="s">
        <v>1165</v>
      </c>
      <c r="C68" s="225"/>
      <c r="D68" s="229"/>
      <c r="E68" s="615"/>
      <c r="F68" s="219">
        <f t="shared" si="0"/>
        <v>0</v>
      </c>
      <c r="G68" s="231">
        <f>3600833+834330+13337603-3600833-834330-13337603</f>
        <v>0</v>
      </c>
      <c r="H68" s="230">
        <f>2497100-2497100</f>
        <v>0</v>
      </c>
      <c r="I68" s="219">
        <f t="shared" si="1"/>
        <v>0</v>
      </c>
      <c r="J68" s="232"/>
      <c r="K68" s="232"/>
      <c r="L68" s="219"/>
      <c r="M68" s="223">
        <f t="shared" si="3"/>
        <v>0</v>
      </c>
    </row>
    <row r="69" spans="1:13" s="195" customFormat="1" ht="27.75" customHeight="1">
      <c r="A69" s="224" t="s">
        <v>1206</v>
      </c>
      <c r="B69" s="226" t="s">
        <v>375</v>
      </c>
      <c r="C69" s="225" t="s">
        <v>723</v>
      </c>
      <c r="D69" s="229">
        <f>2495000-63500-68000-30000-90000-146050-190500-150000-261950+59808757+9782649-7679730+553029-553029-602617-1492000-8045171-7935168-4176519-28922-20906574-217072-8171955-6323709-100000-3358940-250000+8004000</f>
        <v>9802029</v>
      </c>
      <c r="E69" s="230">
        <f>5000000+4176519-1269600+3500000+456000-3749167-2585716</f>
        <v>5528036</v>
      </c>
      <c r="F69" s="219">
        <f t="shared" si="0"/>
        <v>15330065</v>
      </c>
      <c r="G69" s="229">
        <f>3433000-1576197-1055350-288050-513403</f>
        <v>0</v>
      </c>
      <c r="H69" s="615"/>
      <c r="I69" s="219">
        <f t="shared" si="1"/>
        <v>0</v>
      </c>
      <c r="J69" s="244"/>
      <c r="K69" s="244"/>
      <c r="L69" s="219">
        <f t="shared" si="4"/>
        <v>0</v>
      </c>
      <c r="M69" s="223">
        <f t="shared" si="3"/>
        <v>15330065</v>
      </c>
    </row>
    <row r="70" spans="1:13" ht="24.75" customHeight="1" thickBot="1">
      <c r="A70" s="224" t="s">
        <v>1207</v>
      </c>
      <c r="B70" s="226" t="s">
        <v>611</v>
      </c>
      <c r="C70" s="246"/>
      <c r="D70" s="625"/>
      <c r="E70" s="626"/>
      <c r="F70" s="253">
        <f t="shared" si="0"/>
        <v>0</v>
      </c>
      <c r="G70" s="627">
        <f>7848600+2166387-230101</f>
        <v>9784886</v>
      </c>
      <c r="H70" s="626"/>
      <c r="I70" s="253">
        <f t="shared" si="1"/>
        <v>9784886</v>
      </c>
      <c r="J70" s="628"/>
      <c r="K70" s="628"/>
      <c r="L70" s="253">
        <f t="shared" si="4"/>
        <v>0</v>
      </c>
      <c r="M70" s="223">
        <f t="shared" si="3"/>
        <v>9784886</v>
      </c>
    </row>
    <row r="71" spans="1:16" s="195" customFormat="1" ht="14.25" thickBot="1">
      <c r="A71" s="1099" t="s">
        <v>706</v>
      </c>
      <c r="B71" s="1100"/>
      <c r="C71" s="1101"/>
      <c r="D71" s="251">
        <f aca="true" t="shared" si="5" ref="D71:M71">SUM(D9:D70)</f>
        <v>690507069</v>
      </c>
      <c r="E71" s="629">
        <f t="shared" si="5"/>
        <v>256563725</v>
      </c>
      <c r="F71" s="630">
        <f t="shared" si="5"/>
        <v>947070794</v>
      </c>
      <c r="G71" s="629">
        <f t="shared" si="5"/>
        <v>277828159</v>
      </c>
      <c r="H71" s="629">
        <f t="shared" si="5"/>
        <v>1064352251</v>
      </c>
      <c r="I71" s="630">
        <f t="shared" si="5"/>
        <v>1342180410</v>
      </c>
      <c r="J71" s="629">
        <f t="shared" si="5"/>
        <v>49782363</v>
      </c>
      <c r="K71" s="629">
        <f t="shared" si="5"/>
        <v>1215057</v>
      </c>
      <c r="L71" s="630">
        <f t="shared" si="5"/>
        <v>50997420</v>
      </c>
      <c r="M71" s="630">
        <f t="shared" si="5"/>
        <v>2340248624</v>
      </c>
      <c r="P71" s="462">
        <f>SUM(L71,I71,F71)</f>
        <v>2340248624</v>
      </c>
    </row>
    <row r="72" spans="1:13" ht="30.75" customHeight="1">
      <c r="A72" s="228" t="s">
        <v>389</v>
      </c>
      <c r="B72" s="226" t="s">
        <v>61</v>
      </c>
      <c r="C72" s="216" t="s">
        <v>724</v>
      </c>
      <c r="D72" s="247">
        <f>119407796+385000+75075+439819+1083000+211188-53600-10455+111033-111033+585933-2359243</f>
        <v>119764513</v>
      </c>
      <c r="E72" s="248">
        <f>1229404-139700+1269600+3749167+2585716</f>
        <v>8694187</v>
      </c>
      <c r="F72" s="219">
        <f>SUM(D72:E72)</f>
        <v>128458700</v>
      </c>
      <c r="G72" s="247"/>
      <c r="H72" s="248"/>
      <c r="I72" s="216">
        <f>SUM(G72:H72)</f>
        <v>0</v>
      </c>
      <c r="J72" s="247"/>
      <c r="K72" s="248"/>
      <c r="L72" s="216">
        <f>SUM(J72:K72)</f>
        <v>0</v>
      </c>
      <c r="M72" s="223">
        <f>SUM(L72,I72,F72)</f>
        <v>128458700</v>
      </c>
    </row>
    <row r="73" spans="1:13" ht="36">
      <c r="A73" s="228" t="s">
        <v>390</v>
      </c>
      <c r="B73" s="249" t="s">
        <v>617</v>
      </c>
      <c r="C73" s="250" t="s">
        <v>619</v>
      </c>
      <c r="D73" s="229">
        <f>6018160+1015420</f>
        <v>7033580</v>
      </c>
      <c r="E73" s="230"/>
      <c r="F73" s="219">
        <f>SUM(D73:E73)</f>
        <v>7033580</v>
      </c>
      <c r="G73" s="229"/>
      <c r="H73" s="230"/>
      <c r="I73" s="219">
        <f>SUM(G73:H73)</f>
        <v>0</v>
      </c>
      <c r="J73" s="229"/>
      <c r="K73" s="230"/>
      <c r="L73" s="219">
        <f>SUM(J73:K73)</f>
        <v>0</v>
      </c>
      <c r="M73" s="223">
        <f>SUM(L73,I73,F73)</f>
        <v>7033580</v>
      </c>
    </row>
    <row r="74" spans="1:13" ht="24">
      <c r="A74" s="228" t="s">
        <v>391</v>
      </c>
      <c r="B74" s="249" t="s">
        <v>882</v>
      </c>
      <c r="C74" s="219" t="s">
        <v>888</v>
      </c>
      <c r="D74" s="229">
        <f>1969798+34746+2370+6373+2234-8607</f>
        <v>2006914</v>
      </c>
      <c r="E74" s="231">
        <v>139700</v>
      </c>
      <c r="F74" s="219">
        <f>SUM(D74:E74)</f>
        <v>2146614</v>
      </c>
      <c r="G74" s="229"/>
      <c r="H74" s="231"/>
      <c r="I74" s="219">
        <f>SUM(G74:H74)</f>
        <v>0</v>
      </c>
      <c r="J74" s="229"/>
      <c r="K74" s="231"/>
      <c r="L74" s="219">
        <f>SUM(J74:K74)</f>
        <v>0</v>
      </c>
      <c r="M74" s="223">
        <f>SUM(L74,I74,F74)</f>
        <v>2146614</v>
      </c>
    </row>
    <row r="75" spans="1:13" ht="36.75" thickBot="1">
      <c r="A75" s="957" t="s">
        <v>392</v>
      </c>
      <c r="B75" s="958" t="s">
        <v>1140</v>
      </c>
      <c r="C75" s="959"/>
      <c r="D75" s="755"/>
      <c r="E75" s="756"/>
      <c r="F75" s="225"/>
      <c r="G75" s="755">
        <f>2800000+546000</f>
        <v>3346000</v>
      </c>
      <c r="H75" s="756"/>
      <c r="I75" s="225">
        <f>SUM(G75:H75)</f>
        <v>3346000</v>
      </c>
      <c r="J75" s="755"/>
      <c r="K75" s="756"/>
      <c r="L75" s="225">
        <f>SUM(J75:K75)</f>
        <v>0</v>
      </c>
      <c r="M75" s="960">
        <f>SUM(L75,I75,F75)</f>
        <v>3346000</v>
      </c>
    </row>
    <row r="76" spans="1:16" s="195" customFormat="1" ht="16.5" customHeight="1" thickBot="1">
      <c r="A76" s="1099" t="s">
        <v>492</v>
      </c>
      <c r="B76" s="1100"/>
      <c r="C76" s="1101"/>
      <c r="D76" s="251">
        <f aca="true" t="shared" si="6" ref="D76:M76">SUM(D72:D75)</f>
        <v>128805007</v>
      </c>
      <c r="E76" s="629">
        <f t="shared" si="6"/>
        <v>8833887</v>
      </c>
      <c r="F76" s="630">
        <f t="shared" si="6"/>
        <v>137638894</v>
      </c>
      <c r="G76" s="629">
        <f t="shared" si="6"/>
        <v>3346000</v>
      </c>
      <c r="H76" s="629">
        <f t="shared" si="6"/>
        <v>0</v>
      </c>
      <c r="I76" s="630">
        <f t="shared" si="6"/>
        <v>3346000</v>
      </c>
      <c r="J76" s="629">
        <f t="shared" si="6"/>
        <v>0</v>
      </c>
      <c r="K76" s="629">
        <f t="shared" si="6"/>
        <v>0</v>
      </c>
      <c r="L76" s="630">
        <f t="shared" si="6"/>
        <v>0</v>
      </c>
      <c r="M76" s="630">
        <f t="shared" si="6"/>
        <v>140984894</v>
      </c>
      <c r="P76" s="462"/>
    </row>
    <row r="77" spans="1:13" ht="23.25" customHeight="1">
      <c r="A77" s="214" t="s">
        <v>389</v>
      </c>
      <c r="B77" s="254" t="s">
        <v>493</v>
      </c>
      <c r="C77" s="235" t="s">
        <v>729</v>
      </c>
      <c r="D77" s="255">
        <f>30823296-846880-2783615</f>
        <v>27192801</v>
      </c>
      <c r="E77" s="256"/>
      <c r="F77" s="253">
        <f aca="true" t="shared" si="7" ref="F77:F88">SUM(D77:E77)</f>
        <v>27192801</v>
      </c>
      <c r="G77" s="255"/>
      <c r="H77" s="256"/>
      <c r="I77" s="253">
        <f aca="true" t="shared" si="8" ref="I77:I88">SUM(G77:H77)</f>
        <v>0</v>
      </c>
      <c r="J77" s="255"/>
      <c r="K77" s="256"/>
      <c r="L77" s="253">
        <f aca="true" t="shared" si="9" ref="L77:L88">SUM(J77:K77)</f>
        <v>0</v>
      </c>
      <c r="M77" s="223">
        <f aca="true" t="shared" si="10" ref="M77:M88">SUM(L77,I77,F77)</f>
        <v>27192801</v>
      </c>
    </row>
    <row r="78" spans="1:13" ht="23.25" customHeight="1">
      <c r="A78" s="224" t="s">
        <v>390</v>
      </c>
      <c r="B78" s="226" t="s">
        <v>494</v>
      </c>
      <c r="C78" s="268" t="s">
        <v>725</v>
      </c>
      <c r="D78" s="238">
        <f>128358348-7297240-1422962-336000-65520-96000-170000+433600+84552-84541-195000-79900-198285-76969-38100-7429-1706079-694245-2928867+38100-16004+7729-4691-200267-72282</f>
        <v>113231948</v>
      </c>
      <c r="E78" s="239">
        <f>139700+84541+79900+76969+72282</f>
        <v>453392</v>
      </c>
      <c r="F78" s="219">
        <f t="shared" si="7"/>
        <v>113685340</v>
      </c>
      <c r="G78" s="245"/>
      <c r="H78" s="243"/>
      <c r="I78" s="219">
        <f t="shared" si="8"/>
        <v>0</v>
      </c>
      <c r="J78" s="232"/>
      <c r="K78" s="232"/>
      <c r="L78" s="219">
        <f t="shared" si="9"/>
        <v>0</v>
      </c>
      <c r="M78" s="223">
        <f t="shared" si="10"/>
        <v>113685340</v>
      </c>
    </row>
    <row r="79" spans="1:13" ht="23.25" customHeight="1">
      <c r="A79" s="224" t="s">
        <v>391</v>
      </c>
      <c r="B79" s="226" t="s">
        <v>495</v>
      </c>
      <c r="C79" s="235" t="s">
        <v>725</v>
      </c>
      <c r="D79" s="238">
        <f>13449095-2801679-541561-201728</f>
        <v>9904127</v>
      </c>
      <c r="E79" s="239"/>
      <c r="F79" s="219">
        <f t="shared" si="7"/>
        <v>9904127</v>
      </c>
      <c r="G79" s="245"/>
      <c r="H79" s="243"/>
      <c r="I79" s="219">
        <f t="shared" si="8"/>
        <v>0</v>
      </c>
      <c r="J79" s="232"/>
      <c r="K79" s="232"/>
      <c r="L79" s="219">
        <f t="shared" si="9"/>
        <v>0</v>
      </c>
      <c r="M79" s="223">
        <f t="shared" si="10"/>
        <v>9904127</v>
      </c>
    </row>
    <row r="80" spans="1:13" ht="23.25" customHeight="1">
      <c r="A80" s="224" t="s">
        <v>392</v>
      </c>
      <c r="B80" s="226" t="s">
        <v>1114</v>
      </c>
      <c r="C80" s="268"/>
      <c r="D80" s="238"/>
      <c r="E80" s="239"/>
      <c r="F80" s="219">
        <f t="shared" si="7"/>
        <v>0</v>
      </c>
      <c r="G80" s="240">
        <f>621002+121098</f>
        <v>742100</v>
      </c>
      <c r="H80" s="243"/>
      <c r="I80" s="219">
        <f t="shared" si="8"/>
        <v>742100</v>
      </c>
      <c r="J80" s="232"/>
      <c r="K80" s="232"/>
      <c r="L80" s="219">
        <f t="shared" si="9"/>
        <v>0</v>
      </c>
      <c r="M80" s="223">
        <f t="shared" si="10"/>
        <v>742100</v>
      </c>
    </row>
    <row r="81" spans="1:13" ht="23.25" customHeight="1">
      <c r="A81" s="224" t="s">
        <v>393</v>
      </c>
      <c r="B81" s="226" t="s">
        <v>584</v>
      </c>
      <c r="C81" s="268" t="s">
        <v>618</v>
      </c>
      <c r="D81" s="238">
        <f>23996793-152273+757761+147763+150000-402-1799442+123148+75941-8899</f>
        <v>23290390</v>
      </c>
      <c r="E81" s="239">
        <f>88900+152273+768772-16</f>
        <v>1009929</v>
      </c>
      <c r="F81" s="219">
        <f t="shared" si="7"/>
        <v>24300319</v>
      </c>
      <c r="G81" s="245"/>
      <c r="H81" s="243"/>
      <c r="I81" s="219">
        <f t="shared" si="8"/>
        <v>0</v>
      </c>
      <c r="J81" s="232"/>
      <c r="K81" s="232"/>
      <c r="L81" s="219">
        <f t="shared" si="9"/>
        <v>0</v>
      </c>
      <c r="M81" s="223">
        <f t="shared" si="10"/>
        <v>24300319</v>
      </c>
    </row>
    <row r="82" spans="1:13" ht="23.25" customHeight="1">
      <c r="A82" s="224" t="s">
        <v>394</v>
      </c>
      <c r="B82" s="226" t="s">
        <v>707</v>
      </c>
      <c r="C82" s="268" t="s">
        <v>731</v>
      </c>
      <c r="D82" s="238">
        <f>18371172-151629-1848079-394284-1532681-167248-75941</f>
        <v>14201310</v>
      </c>
      <c r="E82" s="239">
        <f>76200+151629+16</f>
        <v>227845</v>
      </c>
      <c r="F82" s="219">
        <f t="shared" si="7"/>
        <v>14429155</v>
      </c>
      <c r="G82" s="245"/>
      <c r="H82" s="243"/>
      <c r="I82" s="219">
        <f t="shared" si="8"/>
        <v>0</v>
      </c>
      <c r="J82" s="232"/>
      <c r="K82" s="232"/>
      <c r="L82" s="219">
        <f t="shared" si="9"/>
        <v>0</v>
      </c>
      <c r="M82" s="223">
        <f t="shared" si="10"/>
        <v>14429155</v>
      </c>
    </row>
    <row r="83" spans="1:13" ht="36">
      <c r="A83" s="224" t="s">
        <v>395</v>
      </c>
      <c r="B83" s="226" t="s">
        <v>1168</v>
      </c>
      <c r="C83" s="268"/>
      <c r="D83" s="238"/>
      <c r="E83" s="239"/>
      <c r="F83" s="219">
        <f t="shared" si="7"/>
        <v>0</v>
      </c>
      <c r="G83" s="240">
        <f>720000+140400</f>
        <v>860400</v>
      </c>
      <c r="H83" s="243"/>
      <c r="I83" s="219">
        <f t="shared" si="8"/>
        <v>860400</v>
      </c>
      <c r="J83" s="232"/>
      <c r="K83" s="232"/>
      <c r="L83" s="219">
        <f t="shared" si="9"/>
        <v>0</v>
      </c>
      <c r="M83" s="223">
        <f t="shared" si="10"/>
        <v>860400</v>
      </c>
    </row>
    <row r="84" spans="1:13" ht="24">
      <c r="A84" s="224" t="s">
        <v>396</v>
      </c>
      <c r="B84" s="226" t="s">
        <v>1169</v>
      </c>
      <c r="C84" s="268"/>
      <c r="D84" s="238"/>
      <c r="E84" s="239"/>
      <c r="F84" s="219">
        <f t="shared" si="7"/>
        <v>0</v>
      </c>
      <c r="G84" s="240">
        <f>40000+7020+22980</f>
        <v>70000</v>
      </c>
      <c r="H84" s="243"/>
      <c r="I84" s="219">
        <f t="shared" si="8"/>
        <v>70000</v>
      </c>
      <c r="J84" s="232"/>
      <c r="K84" s="232"/>
      <c r="L84" s="219">
        <f t="shared" si="9"/>
        <v>0</v>
      </c>
      <c r="M84" s="223">
        <f t="shared" si="10"/>
        <v>70000</v>
      </c>
    </row>
    <row r="85" spans="1:13" ht="23.25" customHeight="1">
      <c r="A85" s="224" t="s">
        <v>397</v>
      </c>
      <c r="B85" s="226" t="s">
        <v>708</v>
      </c>
      <c r="C85" s="268" t="s">
        <v>732</v>
      </c>
      <c r="D85" s="238">
        <f>11506731+66000+12870-35900-6000-1170-178021-23224-186951+6000+1170-18000</f>
        <v>11143505</v>
      </c>
      <c r="E85" s="239">
        <f>195000+35900+18000</f>
        <v>248900</v>
      </c>
      <c r="F85" s="219">
        <f t="shared" si="7"/>
        <v>11392405</v>
      </c>
      <c r="G85" s="238"/>
      <c r="H85" s="239"/>
      <c r="I85" s="219"/>
      <c r="J85" s="232"/>
      <c r="K85" s="232"/>
      <c r="L85" s="219">
        <f t="shared" si="9"/>
        <v>0</v>
      </c>
      <c r="M85" s="223">
        <f t="shared" si="10"/>
        <v>11392405</v>
      </c>
    </row>
    <row r="86" spans="1:13" ht="23.25" customHeight="1">
      <c r="A86" s="224" t="s">
        <v>398</v>
      </c>
      <c r="B86" s="226" t="s">
        <v>709</v>
      </c>
      <c r="C86" s="235" t="s">
        <v>729</v>
      </c>
      <c r="D86" s="238">
        <f>2665263-384524</f>
        <v>2280739</v>
      </c>
      <c r="E86" s="239"/>
      <c r="F86" s="219">
        <f t="shared" si="7"/>
        <v>2280739</v>
      </c>
      <c r="G86" s="238"/>
      <c r="H86" s="239"/>
      <c r="I86" s="219"/>
      <c r="J86" s="232"/>
      <c r="K86" s="232"/>
      <c r="L86" s="219">
        <f t="shared" si="9"/>
        <v>0</v>
      </c>
      <c r="M86" s="223">
        <f t="shared" si="10"/>
        <v>2280739</v>
      </c>
    </row>
    <row r="87" spans="1:13" ht="23.25" customHeight="1">
      <c r="A87" s="224" t="s">
        <v>399</v>
      </c>
      <c r="B87" s="254" t="s">
        <v>544</v>
      </c>
      <c r="C87" s="235" t="s">
        <v>733</v>
      </c>
      <c r="D87" s="255"/>
      <c r="E87" s="256"/>
      <c r="F87" s="253">
        <f t="shared" si="7"/>
        <v>0</v>
      </c>
      <c r="G87" s="255">
        <f>6245112+3+17240-10240+16004+4691+200267</f>
        <v>6473077</v>
      </c>
      <c r="H87" s="256">
        <f>123070+700924+198285+49430-39190</f>
        <v>1032519</v>
      </c>
      <c r="I87" s="253">
        <f t="shared" si="8"/>
        <v>7505596</v>
      </c>
      <c r="J87" s="255"/>
      <c r="K87" s="256"/>
      <c r="L87" s="253">
        <f t="shared" si="9"/>
        <v>0</v>
      </c>
      <c r="M87" s="223">
        <f t="shared" si="10"/>
        <v>7505596</v>
      </c>
    </row>
    <row r="88" spans="1:13" ht="39" customHeight="1">
      <c r="A88" s="224" t="s">
        <v>400</v>
      </c>
      <c r="B88" s="254" t="s">
        <v>884</v>
      </c>
      <c r="C88" s="268"/>
      <c r="D88" s="238"/>
      <c r="E88" s="239"/>
      <c r="F88" s="253">
        <f t="shared" si="7"/>
        <v>0</v>
      </c>
      <c r="G88" s="238">
        <v>43407259</v>
      </c>
      <c r="H88" s="239">
        <v>1687190</v>
      </c>
      <c r="I88" s="253">
        <f t="shared" si="8"/>
        <v>45094449</v>
      </c>
      <c r="J88" s="232"/>
      <c r="K88" s="232"/>
      <c r="L88" s="253">
        <f t="shared" si="9"/>
        <v>0</v>
      </c>
      <c r="M88" s="223">
        <f t="shared" si="10"/>
        <v>45094449</v>
      </c>
    </row>
    <row r="89" spans="1:13" ht="26.25" customHeight="1" thickBot="1">
      <c r="A89" s="224" t="s">
        <v>401</v>
      </c>
      <c r="B89" s="254" t="s">
        <v>883</v>
      </c>
      <c r="C89" s="235"/>
      <c r="D89" s="238"/>
      <c r="E89" s="239"/>
      <c r="F89" s="253">
        <f>SUM(D89:E89)</f>
        <v>0</v>
      </c>
      <c r="G89" s="238">
        <v>31099867</v>
      </c>
      <c r="H89" s="239">
        <v>2412553</v>
      </c>
      <c r="I89" s="253">
        <f>SUM(G89:H89)</f>
        <v>33512420</v>
      </c>
      <c r="J89" s="232"/>
      <c r="K89" s="232"/>
      <c r="L89" s="253">
        <f>SUM(J89:K89)</f>
        <v>0</v>
      </c>
      <c r="M89" s="223">
        <f>SUM(L89,I89,F89)</f>
        <v>33512420</v>
      </c>
    </row>
    <row r="90" spans="1:16" s="195" customFormat="1" ht="29.25" customHeight="1" thickBot="1">
      <c r="A90" s="1102" t="s">
        <v>801</v>
      </c>
      <c r="B90" s="1103"/>
      <c r="C90" s="1104"/>
      <c r="D90" s="251">
        <f aca="true" t="shared" si="11" ref="D90:M90">SUM(D77:D89)</f>
        <v>201244820</v>
      </c>
      <c r="E90" s="629">
        <f t="shared" si="11"/>
        <v>1940066</v>
      </c>
      <c r="F90" s="630">
        <f t="shared" si="11"/>
        <v>203184886</v>
      </c>
      <c r="G90" s="629">
        <f t="shared" si="11"/>
        <v>82652703</v>
      </c>
      <c r="H90" s="629">
        <f t="shared" si="11"/>
        <v>5132262</v>
      </c>
      <c r="I90" s="630">
        <f t="shared" si="11"/>
        <v>87784965</v>
      </c>
      <c r="J90" s="629">
        <f t="shared" si="11"/>
        <v>0</v>
      </c>
      <c r="K90" s="629">
        <f t="shared" si="11"/>
        <v>0</v>
      </c>
      <c r="L90" s="630">
        <f t="shared" si="11"/>
        <v>0</v>
      </c>
      <c r="M90" s="630">
        <f t="shared" si="11"/>
        <v>290969851</v>
      </c>
      <c r="P90" s="462">
        <f>SUM(L90,I90,F90)</f>
        <v>290969851</v>
      </c>
    </row>
    <row r="91" spans="1:13" ht="32.25" customHeight="1">
      <c r="A91" s="224" t="s">
        <v>389</v>
      </c>
      <c r="B91" s="234" t="s">
        <v>543</v>
      </c>
      <c r="C91" s="225" t="s">
        <v>719</v>
      </c>
      <c r="D91" s="229">
        <f>1100000-527827+32596</f>
        <v>604769</v>
      </c>
      <c r="E91" s="230"/>
      <c r="F91" s="219">
        <f>SUM(D91:E91)</f>
        <v>604769</v>
      </c>
      <c r="G91" s="231"/>
      <c r="H91" s="230"/>
      <c r="I91" s="219">
        <f>SUM(G91:H91)</f>
        <v>0</v>
      </c>
      <c r="J91" s="232"/>
      <c r="K91" s="233"/>
      <c r="L91" s="219">
        <f>SUM(J91:K91)</f>
        <v>0</v>
      </c>
      <c r="M91" s="223">
        <f>SUM(F91+I91+L91)</f>
        <v>604769</v>
      </c>
    </row>
    <row r="92" spans="1:13" ht="22.5" customHeight="1">
      <c r="A92" s="224" t="s">
        <v>390</v>
      </c>
      <c r="B92" s="242" t="s">
        <v>379</v>
      </c>
      <c r="C92" s="237" t="s">
        <v>719</v>
      </c>
      <c r="D92" s="229">
        <f>6307871-574597-1768202-348675-2793033+4468+88900</f>
        <v>916732</v>
      </c>
      <c r="E92" s="230"/>
      <c r="F92" s="219">
        <f>SUM(D92:E92)</f>
        <v>916732</v>
      </c>
      <c r="G92" s="231"/>
      <c r="H92" s="230"/>
      <c r="I92" s="219">
        <f>SUM(G92:H92)</f>
        <v>0</v>
      </c>
      <c r="J92" s="232"/>
      <c r="K92" s="233"/>
      <c r="L92" s="219">
        <f>SUM(J92:K92)</f>
        <v>0</v>
      </c>
      <c r="M92" s="223">
        <f>SUM(F92+I92+L92)</f>
        <v>916732</v>
      </c>
    </row>
    <row r="93" spans="1:13" ht="21.75" customHeight="1">
      <c r="A93" s="224" t="s">
        <v>391</v>
      </c>
      <c r="B93" s="242" t="s">
        <v>85</v>
      </c>
      <c r="C93" s="237" t="s">
        <v>720</v>
      </c>
      <c r="D93" s="229"/>
      <c r="E93" s="230"/>
      <c r="F93" s="219">
        <f>SUM(D93:E93)</f>
        <v>0</v>
      </c>
      <c r="G93" s="231">
        <f>49530-10359-39171</f>
        <v>0</v>
      </c>
      <c r="H93" s="230"/>
      <c r="I93" s="219">
        <f>SUM(G93:H93)</f>
        <v>0</v>
      </c>
      <c r="J93" s="232"/>
      <c r="K93" s="233"/>
      <c r="L93" s="219">
        <f>SUM(J93:K93)</f>
        <v>0</v>
      </c>
      <c r="M93" s="223">
        <f>SUM(F93+I93+L93)</f>
        <v>0</v>
      </c>
    </row>
    <row r="94" spans="1:13" ht="33.75" customHeight="1" thickBot="1">
      <c r="A94" s="224" t="s">
        <v>392</v>
      </c>
      <c r="B94" s="226" t="s">
        <v>81</v>
      </c>
      <c r="C94" s="241" t="s">
        <v>721</v>
      </c>
      <c r="D94" s="238">
        <f>22766189-3000000-103900-700000-4454365-867408-2981388+17858-960000-208000-4577646-37064-51440-88900</f>
        <v>4753936</v>
      </c>
      <c r="E94" s="239">
        <f>103900-103900+51440</f>
        <v>51440</v>
      </c>
      <c r="F94" s="219">
        <f>SUM(D94:E94)</f>
        <v>4805376</v>
      </c>
      <c r="G94" s="240"/>
      <c r="H94" s="239"/>
      <c r="I94" s="219">
        <f>SUM(G94:H94)</f>
        <v>0</v>
      </c>
      <c r="J94" s="232"/>
      <c r="K94" s="233"/>
      <c r="L94" s="219">
        <f>SUM(J94:K94)</f>
        <v>0</v>
      </c>
      <c r="M94" s="223">
        <f>SUM(F94+I94+L94)</f>
        <v>4805376</v>
      </c>
    </row>
    <row r="95" spans="1:16" ht="27.75" customHeight="1" thickBot="1">
      <c r="A95" s="1102" t="s">
        <v>852</v>
      </c>
      <c r="B95" s="1103"/>
      <c r="C95" s="1104"/>
      <c r="D95" s="257">
        <f>SUM(D91:D94)</f>
        <v>6275437</v>
      </c>
      <c r="E95" s="460">
        <f aca="true" t="shared" si="12" ref="E95:K95">SUM(E91:E94)</f>
        <v>51440</v>
      </c>
      <c r="F95" s="459">
        <f t="shared" si="12"/>
        <v>6326877</v>
      </c>
      <c r="G95" s="257">
        <f t="shared" si="12"/>
        <v>0</v>
      </c>
      <c r="H95" s="460">
        <f t="shared" si="12"/>
        <v>0</v>
      </c>
      <c r="I95" s="459">
        <f t="shared" si="12"/>
        <v>0</v>
      </c>
      <c r="J95" s="257">
        <f t="shared" si="12"/>
        <v>0</v>
      </c>
      <c r="K95" s="460">
        <f t="shared" si="12"/>
        <v>0</v>
      </c>
      <c r="L95" s="459">
        <f>SUM(L91:L94)</f>
        <v>0</v>
      </c>
      <c r="M95" s="252">
        <f>SUM(M91:M94)</f>
        <v>6326877</v>
      </c>
      <c r="P95" s="463"/>
    </row>
    <row r="96" spans="1:13" s="199" customFormat="1" ht="16.5" thickBot="1">
      <c r="A96" s="1096" t="s">
        <v>496</v>
      </c>
      <c r="B96" s="1097"/>
      <c r="C96" s="1098"/>
      <c r="D96" s="258">
        <f aca="true" t="shared" si="13" ref="D96:M96">D71+D76+D90+D95</f>
        <v>1026832333</v>
      </c>
      <c r="E96" s="258">
        <f t="shared" si="13"/>
        <v>267389118</v>
      </c>
      <c r="F96" s="622">
        <f t="shared" si="13"/>
        <v>1294221451</v>
      </c>
      <c r="G96" s="258">
        <f t="shared" si="13"/>
        <v>363826862</v>
      </c>
      <c r="H96" s="258">
        <f t="shared" si="13"/>
        <v>1069484513</v>
      </c>
      <c r="I96" s="259">
        <f t="shared" si="13"/>
        <v>1433311375</v>
      </c>
      <c r="J96" s="461">
        <f t="shared" si="13"/>
        <v>49782363</v>
      </c>
      <c r="K96" s="623">
        <f t="shared" si="13"/>
        <v>1215057</v>
      </c>
      <c r="L96" s="624">
        <f t="shared" si="13"/>
        <v>50997420</v>
      </c>
      <c r="M96" s="260">
        <f t="shared" si="13"/>
        <v>2778530246</v>
      </c>
    </row>
    <row r="99" spans="1:2" ht="12.75">
      <c r="A99" s="134" t="s">
        <v>497</v>
      </c>
      <c r="B99" s="134" t="s">
        <v>498</v>
      </c>
    </row>
    <row r="100" spans="1:2" ht="12.75">
      <c r="A100" s="134" t="s">
        <v>499</v>
      </c>
      <c r="B100" s="134" t="s">
        <v>500</v>
      </c>
    </row>
    <row r="101" spans="1:2" ht="12.75">
      <c r="A101" s="134" t="s">
        <v>501</v>
      </c>
      <c r="B101" s="134" t="s">
        <v>502</v>
      </c>
    </row>
    <row r="102" spans="1:2" ht="12.75">
      <c r="A102" s="134" t="s">
        <v>503</v>
      </c>
      <c r="B102" s="134" t="s">
        <v>504</v>
      </c>
    </row>
    <row r="103" spans="1:2" ht="12.75">
      <c r="A103" s="134" t="s">
        <v>505</v>
      </c>
      <c r="B103" s="134" t="s">
        <v>506</v>
      </c>
    </row>
    <row r="104" spans="1:2" ht="12.75">
      <c r="A104" s="134" t="s">
        <v>799</v>
      </c>
      <c r="B104" s="134" t="s">
        <v>800</v>
      </c>
    </row>
    <row r="105" spans="1:2" ht="12.75">
      <c r="A105" s="134" t="s">
        <v>616</v>
      </c>
      <c r="B105" s="134" t="s">
        <v>615</v>
      </c>
    </row>
    <row r="106" spans="1:2" ht="12.75">
      <c r="A106" s="134" t="s">
        <v>888</v>
      </c>
      <c r="B106" s="134" t="s">
        <v>887</v>
      </c>
    </row>
  </sheetData>
  <sheetProtection/>
  <mergeCells count="15">
    <mergeCell ref="A96:C96"/>
    <mergeCell ref="A76:C76"/>
    <mergeCell ref="D6:F7"/>
    <mergeCell ref="A90:C90"/>
    <mergeCell ref="B5:B8"/>
    <mergeCell ref="A5:A8"/>
    <mergeCell ref="C5:M5"/>
    <mergeCell ref="A71:C71"/>
    <mergeCell ref="A95:C95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8" r:id="rId1"/>
  <rowBreaks count="3" manualBreakCount="3">
    <brk id="30" max="12" man="1"/>
    <brk id="54" max="12" man="1"/>
    <brk id="7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O109"/>
  <sheetViews>
    <sheetView view="pageBreakPreview" zoomScale="60" zoomScalePageLayoutView="0" workbookViewId="0" topLeftCell="A65">
      <selection activeCell="T2" sqref="T2"/>
    </sheetView>
  </sheetViews>
  <sheetFormatPr defaultColWidth="9.00390625" defaultRowHeight="12.75"/>
  <cols>
    <col min="1" max="2" width="9.125" style="134" customWidth="1"/>
    <col min="3" max="3" width="19.125" style="134" customWidth="1"/>
    <col min="4" max="6" width="18.00390625" style="134" bestFit="1" customWidth="1"/>
    <col min="7" max="7" width="12.625" style="134" customWidth="1"/>
    <col min="8" max="8" width="18.875" style="134" customWidth="1"/>
    <col min="9" max="9" width="9.25390625" style="134" bestFit="1" customWidth="1"/>
    <col min="10" max="10" width="11.375" style="134" bestFit="1" customWidth="1"/>
    <col min="11" max="11" width="19.25390625" style="134" customWidth="1"/>
    <col min="12" max="12" width="9.75390625" style="134" customWidth="1"/>
    <col min="13" max="13" width="9.125" style="134" customWidth="1"/>
    <col min="14" max="14" width="12.625" style="134" customWidth="1"/>
    <col min="15" max="15" width="8.125" style="134" customWidth="1"/>
    <col min="16" max="16" width="11.375" style="134" bestFit="1" customWidth="1"/>
    <col min="17" max="17" width="15.875" style="134" bestFit="1" customWidth="1"/>
    <col min="18" max="20" width="9.125" style="134" customWidth="1"/>
    <col min="21" max="21" width="9.875" style="134" customWidth="1"/>
    <col min="22" max="22" width="13.125" style="134" customWidth="1"/>
    <col min="23" max="23" width="16.625" style="134" bestFit="1" customWidth="1"/>
    <col min="24" max="24" width="18.00390625" style="269" bestFit="1" customWidth="1"/>
    <col min="25" max="25" width="18.25390625" style="269" customWidth="1"/>
    <col min="26" max="26" width="18.75390625" style="269" customWidth="1"/>
    <col min="27" max="27" width="19.75390625" style="269" bestFit="1" customWidth="1"/>
    <col min="28" max="28" width="17.375" style="269" bestFit="1" customWidth="1"/>
    <col min="29" max="29" width="19.75390625" style="269" bestFit="1" customWidth="1"/>
    <col min="30" max="223" width="9.125" style="269" customWidth="1"/>
    <col min="224" max="16384" width="9.125" style="134" customWidth="1"/>
  </cols>
  <sheetData>
    <row r="1" spans="1:28" ht="15">
      <c r="A1" s="201"/>
      <c r="B1" s="202"/>
      <c r="C1" s="203"/>
      <c r="H1" s="202"/>
      <c r="I1" s="202"/>
      <c r="J1" s="202"/>
      <c r="K1" s="204"/>
      <c r="L1" s="204"/>
      <c r="M1" s="204"/>
      <c r="N1" s="202"/>
      <c r="T1" s="1081" t="s">
        <v>1255</v>
      </c>
      <c r="U1" s="1082"/>
      <c r="V1" s="1082"/>
      <c r="W1" s="1082"/>
      <c r="X1" s="1254"/>
      <c r="Y1" s="1254"/>
      <c r="Z1" s="1254"/>
      <c r="AA1" s="1254"/>
      <c r="AB1" s="1254"/>
    </row>
    <row r="2" spans="1:14" ht="12.75">
      <c r="A2" s="201"/>
      <c r="B2" s="202"/>
      <c r="C2" s="203"/>
      <c r="D2" s="205"/>
      <c r="E2" s="206"/>
      <c r="F2" s="206"/>
      <c r="G2" s="206"/>
      <c r="H2" s="202"/>
      <c r="I2" s="202"/>
      <c r="J2" s="202"/>
      <c r="K2" s="204"/>
      <c r="L2" s="204"/>
      <c r="M2" s="204"/>
      <c r="N2" s="202"/>
    </row>
    <row r="3" spans="1:29" ht="15.75" customHeight="1">
      <c r="A3" s="1266" t="s">
        <v>802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66"/>
      <c r="U3" s="1266"/>
      <c r="V3" s="1266"/>
      <c r="W3" s="1266"/>
      <c r="X3" s="1266"/>
      <c r="Y3" s="1266"/>
      <c r="Z3" s="1266"/>
      <c r="AA3" s="1266"/>
      <c r="AB3" s="1266"/>
      <c r="AC3" s="1266"/>
    </row>
    <row r="4" spans="1:29" ht="15.75" customHeight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</row>
    <row r="5" spans="1:29" ht="13.5" customHeight="1" thickBot="1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</row>
    <row r="6" spans="1:223" s="270" customFormat="1" ht="15" customHeight="1" thickBot="1" thickTop="1">
      <c r="A6" s="1141" t="s">
        <v>89</v>
      </c>
      <c r="B6" s="1224"/>
      <c r="C6" s="1224"/>
      <c r="D6" s="1219" t="s">
        <v>358</v>
      </c>
      <c r="E6" s="1130"/>
      <c r="F6" s="1220"/>
      <c r="G6" s="1149" t="s">
        <v>507</v>
      </c>
      <c r="H6" s="1261"/>
      <c r="I6" s="1261"/>
      <c r="J6" s="1261"/>
      <c r="K6" s="1262"/>
      <c r="L6" s="1129" t="s">
        <v>508</v>
      </c>
      <c r="M6" s="1245"/>
      <c r="N6" s="1245"/>
      <c r="O6" s="1245"/>
      <c r="P6" s="1245"/>
      <c r="Q6" s="1246"/>
      <c r="R6" s="1129" t="s">
        <v>509</v>
      </c>
      <c r="S6" s="1245"/>
      <c r="T6" s="1245"/>
      <c r="U6" s="1245"/>
      <c r="V6" s="1245"/>
      <c r="W6" s="1245"/>
      <c r="X6" s="1255" t="s">
        <v>510</v>
      </c>
      <c r="Y6" s="1170"/>
      <c r="Z6" s="1170"/>
      <c r="AA6" s="1161" t="s">
        <v>90</v>
      </c>
      <c r="AB6" s="1162"/>
      <c r="AC6" s="1163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69"/>
      <c r="GR6" s="269"/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69"/>
      <c r="HF6" s="269"/>
      <c r="HG6" s="269"/>
      <c r="HH6" s="269"/>
      <c r="HI6" s="269"/>
      <c r="HJ6" s="269"/>
      <c r="HK6" s="269"/>
      <c r="HL6" s="269"/>
      <c r="HM6" s="269"/>
      <c r="HN6" s="269"/>
      <c r="HO6" s="269"/>
    </row>
    <row r="7" spans="1:29" s="269" customFormat="1" ht="16.5" customHeight="1" thickBot="1">
      <c r="A7" s="1225"/>
      <c r="B7" s="1226"/>
      <c r="C7" s="1226"/>
      <c r="D7" s="422" t="s">
        <v>91</v>
      </c>
      <c r="E7" s="740" t="s">
        <v>87</v>
      </c>
      <c r="F7" s="272" t="s">
        <v>92</v>
      </c>
      <c r="G7" s="1263"/>
      <c r="H7" s="1264"/>
      <c r="I7" s="1264"/>
      <c r="J7" s="1264"/>
      <c r="K7" s="1265"/>
      <c r="L7" s="1247"/>
      <c r="M7" s="1248"/>
      <c r="N7" s="1248"/>
      <c r="O7" s="1248"/>
      <c r="P7" s="1248"/>
      <c r="Q7" s="1249"/>
      <c r="R7" s="1247"/>
      <c r="S7" s="1248"/>
      <c r="T7" s="1248"/>
      <c r="U7" s="1248"/>
      <c r="V7" s="1248"/>
      <c r="W7" s="1248"/>
      <c r="X7" s="271" t="s">
        <v>91</v>
      </c>
      <c r="Y7" s="422" t="s">
        <v>87</v>
      </c>
      <c r="Z7" s="727" t="s">
        <v>92</v>
      </c>
      <c r="AA7" s="271" t="s">
        <v>91</v>
      </c>
      <c r="AB7" s="422" t="s">
        <v>87</v>
      </c>
      <c r="AC7" s="272" t="s">
        <v>92</v>
      </c>
    </row>
    <row r="8" spans="1:29" s="288" customFormat="1" ht="16.5" customHeight="1">
      <c r="A8" s="273"/>
      <c r="B8" s="274"/>
      <c r="C8" s="275"/>
      <c r="D8" s="276"/>
      <c r="E8" s="274"/>
      <c r="F8" s="277"/>
      <c r="G8" s="1209" t="s">
        <v>895</v>
      </c>
      <c r="H8" s="1124"/>
      <c r="I8" s="1124"/>
      <c r="J8" s="453">
        <v>79416609</v>
      </c>
      <c r="K8" s="1115">
        <f>SUM(J8:J18)</f>
        <v>252551626</v>
      </c>
      <c r="L8" s="1168"/>
      <c r="M8" s="1167"/>
      <c r="N8" s="1167"/>
      <c r="O8" s="1167"/>
      <c r="P8" s="279"/>
      <c r="Q8" s="1267">
        <f>SUM(P8:P18)</f>
        <v>144281771</v>
      </c>
      <c r="R8" s="1156" t="s">
        <v>243</v>
      </c>
      <c r="S8" s="1157"/>
      <c r="T8" s="1157"/>
      <c r="U8" s="1157"/>
      <c r="V8" s="453">
        <f>227595000+2521000</f>
        <v>230116000</v>
      </c>
      <c r="W8" s="1164">
        <f>SUM(V8:V18)</f>
        <v>354666552</v>
      </c>
      <c r="X8" s="282"/>
      <c r="Y8" s="283"/>
      <c r="Z8" s="284"/>
      <c r="AA8" s="285"/>
      <c r="AB8" s="286"/>
      <c r="AC8" s="287"/>
    </row>
    <row r="9" spans="1:29" s="288" customFormat="1" ht="27" customHeight="1">
      <c r="A9" s="273"/>
      <c r="B9" s="274"/>
      <c r="C9" s="276"/>
      <c r="D9" s="276"/>
      <c r="E9" s="274"/>
      <c r="F9" s="277"/>
      <c r="G9" s="1194" t="s">
        <v>621</v>
      </c>
      <c r="H9" s="1128"/>
      <c r="I9" s="1128"/>
      <c r="J9" s="453">
        <f>2114700-36480-718770</f>
        <v>1359450</v>
      </c>
      <c r="K9" s="1116"/>
      <c r="L9" s="1125" t="s">
        <v>920</v>
      </c>
      <c r="M9" s="1126"/>
      <c r="N9" s="1126"/>
      <c r="O9" s="1126"/>
      <c r="P9" s="453">
        <f>3652363+1407021+1011276</f>
        <v>6070660</v>
      </c>
      <c r="Q9" s="1268"/>
      <c r="R9" s="1125" t="s">
        <v>740</v>
      </c>
      <c r="S9" s="1126"/>
      <c r="T9" s="1126"/>
      <c r="U9" s="1126"/>
      <c r="V9" s="453">
        <v>508000</v>
      </c>
      <c r="W9" s="1251"/>
      <c r="X9" s="289"/>
      <c r="Y9" s="283"/>
      <c r="Z9" s="290"/>
      <c r="AA9" s="273"/>
      <c r="AB9" s="291"/>
      <c r="AC9" s="292"/>
    </row>
    <row r="10" spans="1:29" s="288" customFormat="1" ht="24.75" customHeight="1">
      <c r="A10" s="293"/>
      <c r="B10" s="294"/>
      <c r="C10" s="295" t="s">
        <v>482</v>
      </c>
      <c r="D10" s="296">
        <f>SUM('6. kiadások megbontása'!D71)</f>
        <v>690507069</v>
      </c>
      <c r="E10" s="297">
        <f>SUM('6. kiadások megbontása'!E71)</f>
        <v>256563725</v>
      </c>
      <c r="F10" s="298">
        <f>SUM(D10:E10)</f>
        <v>947070794</v>
      </c>
      <c r="G10" s="1194" t="s">
        <v>745</v>
      </c>
      <c r="H10" s="1128"/>
      <c r="I10" s="1128"/>
      <c r="J10" s="453">
        <f>45748047-532428</f>
        <v>45215619</v>
      </c>
      <c r="K10" s="1116"/>
      <c r="L10" s="1125" t="s">
        <v>511</v>
      </c>
      <c r="M10" s="1126"/>
      <c r="N10" s="1126"/>
      <c r="O10" s="1126"/>
      <c r="P10" s="453">
        <v>21588000</v>
      </c>
      <c r="Q10" s="1268"/>
      <c r="R10" s="1156" t="s">
        <v>804</v>
      </c>
      <c r="S10" s="1157"/>
      <c r="T10" s="1157"/>
      <c r="U10" s="1157"/>
      <c r="V10" s="708">
        <v>272649</v>
      </c>
      <c r="W10" s="1251"/>
      <c r="X10" s="299"/>
      <c r="Y10" s="300"/>
      <c r="Z10" s="290"/>
      <c r="AA10" s="301"/>
      <c r="AB10" s="302"/>
      <c r="AC10" s="303"/>
    </row>
    <row r="11" spans="1:29" s="288" customFormat="1" ht="12.75" customHeight="1">
      <c r="A11" s="304"/>
      <c r="B11" s="305"/>
      <c r="C11" s="306"/>
      <c r="D11" s="306"/>
      <c r="E11" s="274"/>
      <c r="F11" s="277"/>
      <c r="G11" s="1148" t="s">
        <v>545</v>
      </c>
      <c r="H11" s="1148"/>
      <c r="I11" s="1148"/>
      <c r="J11" s="453">
        <v>63778000</v>
      </c>
      <c r="K11" s="1116"/>
      <c r="L11" s="1156" t="s">
        <v>809</v>
      </c>
      <c r="M11" s="1157"/>
      <c r="N11" s="1157"/>
      <c r="O11" s="1157"/>
      <c r="P11" s="453">
        <f>302525+67046</f>
        <v>369571</v>
      </c>
      <c r="Q11" s="1268"/>
      <c r="R11" s="1125" t="s">
        <v>114</v>
      </c>
      <c r="S11" s="1126"/>
      <c r="T11" s="1126"/>
      <c r="U11" s="1126"/>
      <c r="V11" s="453">
        <f>14236474+1050000</f>
        <v>15286474</v>
      </c>
      <c r="W11" s="1251"/>
      <c r="X11" s="299"/>
      <c r="Y11" s="300"/>
      <c r="Z11" s="290"/>
      <c r="AA11" s="301"/>
      <c r="AB11" s="302"/>
      <c r="AC11" s="303"/>
    </row>
    <row r="12" spans="1:29" s="288" customFormat="1" ht="15" customHeight="1">
      <c r="A12" s="304"/>
      <c r="B12" s="305"/>
      <c r="C12" s="306"/>
      <c r="D12" s="306"/>
      <c r="E12" s="274"/>
      <c r="F12" s="277"/>
      <c r="G12" s="1158" t="s">
        <v>894</v>
      </c>
      <c r="H12" s="1126"/>
      <c r="I12" s="1126"/>
      <c r="J12" s="453">
        <v>39435</v>
      </c>
      <c r="K12" s="1116"/>
      <c r="L12" s="1156" t="s">
        <v>889</v>
      </c>
      <c r="M12" s="1157"/>
      <c r="N12" s="1157"/>
      <c r="O12" s="1157"/>
      <c r="P12" s="449">
        <f>11977188+38901777-8045171</f>
        <v>42833794</v>
      </c>
      <c r="Q12" s="1268"/>
      <c r="R12" s="1125" t="s">
        <v>813</v>
      </c>
      <c r="S12" s="1126"/>
      <c r="T12" s="1126"/>
      <c r="U12" s="1126"/>
      <c r="V12" s="453">
        <v>60128</v>
      </c>
      <c r="W12" s="1251"/>
      <c r="X12" s="299"/>
      <c r="Y12" s="300"/>
      <c r="Z12" s="290"/>
      <c r="AA12" s="301"/>
      <c r="AB12" s="302"/>
      <c r="AC12" s="303"/>
    </row>
    <row r="13" spans="1:29" s="288" customFormat="1" ht="15.75" customHeight="1">
      <c r="A13" s="304"/>
      <c r="B13" s="305"/>
      <c r="C13" s="306"/>
      <c r="D13" s="306"/>
      <c r="E13" s="274"/>
      <c r="F13" s="277"/>
      <c r="G13" s="1148" t="s">
        <v>899</v>
      </c>
      <c r="H13" s="1148"/>
      <c r="I13" s="1148"/>
      <c r="J13" s="278">
        <v>30500</v>
      </c>
      <c r="K13" s="1116"/>
      <c r="L13" s="1156" t="s">
        <v>890</v>
      </c>
      <c r="M13" s="1157"/>
      <c r="N13" s="1157"/>
      <c r="O13" s="1157"/>
      <c r="P13" s="449">
        <f>23626850+46614899-7935168+11113165</f>
        <v>73419746</v>
      </c>
      <c r="Q13" s="1268"/>
      <c r="R13" s="1125" t="s">
        <v>284</v>
      </c>
      <c r="S13" s="1126"/>
      <c r="T13" s="1126"/>
      <c r="U13" s="1126"/>
      <c r="V13" s="453">
        <f>639000+105030+67000+18090+24160</f>
        <v>853280</v>
      </c>
      <c r="W13" s="1251"/>
      <c r="X13" s="299"/>
      <c r="Y13" s="300"/>
      <c r="Z13" s="290"/>
      <c r="AA13" s="301"/>
      <c r="AB13" s="302"/>
      <c r="AC13" s="303"/>
    </row>
    <row r="14" spans="1:29" s="288" customFormat="1" ht="13.5" customHeight="1">
      <c r="A14" s="304"/>
      <c r="B14" s="305"/>
      <c r="C14" s="306"/>
      <c r="D14" s="306"/>
      <c r="E14" s="274"/>
      <c r="F14" s="308"/>
      <c r="G14" s="1148" t="s">
        <v>982</v>
      </c>
      <c r="H14" s="1148"/>
      <c r="I14" s="1148"/>
      <c r="J14" s="278">
        <v>7265000</v>
      </c>
      <c r="K14" s="1116"/>
      <c r="L14" s="1258"/>
      <c r="M14" s="1148"/>
      <c r="N14" s="1148"/>
      <c r="O14" s="1148"/>
      <c r="Q14" s="1268"/>
      <c r="R14" s="1125" t="s">
        <v>743</v>
      </c>
      <c r="S14" s="1126"/>
      <c r="T14" s="1126"/>
      <c r="U14" s="1126"/>
      <c r="V14" s="453">
        <f>2486532+446236+828040+117194+36960+9979+360500</f>
        <v>4285441</v>
      </c>
      <c r="W14" s="1251"/>
      <c r="X14" s="310">
        <f>SUM(W8,Q8,K8)</f>
        <v>751499949</v>
      </c>
      <c r="Y14" s="311">
        <f>SUM(W19+Q19+K19)</f>
        <v>248520491</v>
      </c>
      <c r="Z14" s="312">
        <f>SUM(Y14,X14)</f>
        <v>1000020440</v>
      </c>
      <c r="AA14" s="310">
        <f>X14-D10</f>
        <v>60992880</v>
      </c>
      <c r="AB14" s="311">
        <f>Y14-E10</f>
        <v>-8043234</v>
      </c>
      <c r="AC14" s="313">
        <f>SUM(AA14:AB14)</f>
        <v>52949646</v>
      </c>
    </row>
    <row r="15" spans="1:29" s="288" customFormat="1" ht="13.5" customHeight="1">
      <c r="A15" s="304"/>
      <c r="B15" s="305"/>
      <c r="C15" s="306"/>
      <c r="D15" s="306"/>
      <c r="E15" s="274"/>
      <c r="F15" s="308"/>
      <c r="G15" s="281" t="s">
        <v>1195</v>
      </c>
      <c r="H15" s="281"/>
      <c r="I15" s="281"/>
      <c r="J15" s="278">
        <v>17347428</v>
      </c>
      <c r="K15" s="1116"/>
      <c r="L15" s="280"/>
      <c r="M15" s="281"/>
      <c r="N15" s="281"/>
      <c r="O15" s="281"/>
      <c r="Q15" s="1268"/>
      <c r="R15" s="1125" t="s">
        <v>1177</v>
      </c>
      <c r="S15" s="1126"/>
      <c r="T15" s="1126"/>
      <c r="U15" s="1126"/>
      <c r="V15" s="453">
        <f>51312+2652628+13878+651522</f>
        <v>3369340</v>
      </c>
      <c r="W15" s="1251"/>
      <c r="X15" s="310"/>
      <c r="Y15" s="311"/>
      <c r="Z15" s="312"/>
      <c r="AA15" s="310"/>
      <c r="AB15" s="311"/>
      <c r="AC15" s="313"/>
    </row>
    <row r="16" spans="1:29" s="269" customFormat="1" ht="12.75" customHeight="1">
      <c r="A16" s="314"/>
      <c r="B16" s="315"/>
      <c r="C16" s="316"/>
      <c r="D16" s="316"/>
      <c r="E16" s="317"/>
      <c r="F16" s="318"/>
      <c r="G16" s="1194" t="s">
        <v>983</v>
      </c>
      <c r="H16" s="1128"/>
      <c r="I16" s="1128"/>
      <c r="J16" s="278">
        <v>95585</v>
      </c>
      <c r="K16" s="1116"/>
      <c r="L16" s="1258"/>
      <c r="M16" s="1148"/>
      <c r="N16" s="1148"/>
      <c r="O16" s="1148"/>
      <c r="P16" s="309"/>
      <c r="Q16" s="1268"/>
      <c r="R16" s="1156" t="s">
        <v>812</v>
      </c>
      <c r="S16" s="1157"/>
      <c r="T16" s="1157"/>
      <c r="U16" s="1157"/>
      <c r="V16" s="708">
        <v>6983451</v>
      </c>
      <c r="W16" s="1251"/>
      <c r="X16" s="299"/>
      <c r="Y16" s="300"/>
      <c r="Z16" s="290"/>
      <c r="AA16" s="301"/>
      <c r="AB16" s="302"/>
      <c r="AC16" s="303"/>
    </row>
    <row r="17" spans="1:29" s="269" customFormat="1" ht="13.5" customHeight="1">
      <c r="A17" s="314"/>
      <c r="B17" s="315"/>
      <c r="C17" s="316"/>
      <c r="D17" s="316"/>
      <c r="E17" s="317"/>
      <c r="F17" s="318"/>
      <c r="G17" s="1194" t="s">
        <v>986</v>
      </c>
      <c r="H17" s="1128"/>
      <c r="I17" s="1128"/>
      <c r="J17" s="278">
        <v>30000000</v>
      </c>
      <c r="K17" s="1116"/>
      <c r="L17" s="1127"/>
      <c r="M17" s="1128"/>
      <c r="N17" s="1128"/>
      <c r="O17" s="1128"/>
      <c r="P17" s="278"/>
      <c r="Q17" s="1268"/>
      <c r="R17" s="1156" t="s">
        <v>1100</v>
      </c>
      <c r="S17" s="1157"/>
      <c r="T17" s="1157"/>
      <c r="U17" s="1157"/>
      <c r="V17" s="708">
        <f>3000+3863162+809838</f>
        <v>4676000</v>
      </c>
      <c r="W17" s="1251"/>
      <c r="X17" s="299"/>
      <c r="Y17" s="300"/>
      <c r="Z17" s="290"/>
      <c r="AA17" s="301"/>
      <c r="AB17" s="302"/>
      <c r="AC17" s="303"/>
    </row>
    <row r="18" spans="1:29" s="269" customFormat="1" ht="13.5" customHeight="1" thickBot="1">
      <c r="A18" s="314"/>
      <c r="B18" s="315"/>
      <c r="C18" s="316"/>
      <c r="D18" s="316"/>
      <c r="E18" s="317"/>
      <c r="F18" s="318"/>
      <c r="G18" s="1194" t="s">
        <v>1194</v>
      </c>
      <c r="H18" s="1128"/>
      <c r="I18" s="1128"/>
      <c r="J18" s="278">
        <v>8004000</v>
      </c>
      <c r="K18" s="1116"/>
      <c r="L18" s="1258"/>
      <c r="M18" s="1148"/>
      <c r="N18" s="1148"/>
      <c r="O18" s="1148"/>
      <c r="P18" s="307"/>
      <c r="Q18" s="1268"/>
      <c r="R18" s="1156" t="s">
        <v>744</v>
      </c>
      <c r="S18" s="1157"/>
      <c r="T18" s="1157"/>
      <c r="U18" s="1157"/>
      <c r="V18" s="708">
        <f>22840902+55632238+9782649</f>
        <v>88255789</v>
      </c>
      <c r="W18" s="1251"/>
      <c r="X18" s="299"/>
      <c r="Y18" s="300"/>
      <c r="Z18" s="290"/>
      <c r="AA18" s="301"/>
      <c r="AB18" s="302"/>
      <c r="AC18" s="303"/>
    </row>
    <row r="19" spans="1:29" s="269" customFormat="1" ht="44.25" customHeight="1">
      <c r="A19" s="314"/>
      <c r="B19" s="315"/>
      <c r="C19" s="316"/>
      <c r="D19" s="316"/>
      <c r="E19" s="317"/>
      <c r="F19" s="318"/>
      <c r="G19" s="1209" t="s">
        <v>1119</v>
      </c>
      <c r="H19" s="1124"/>
      <c r="I19" s="1124"/>
      <c r="J19" s="705">
        <v>29947750</v>
      </c>
      <c r="K19" s="1115">
        <f>SUM(J19:J24)</f>
        <v>29947750</v>
      </c>
      <c r="L19" s="1209" t="s">
        <v>806</v>
      </c>
      <c r="M19" s="1124"/>
      <c r="N19" s="1124"/>
      <c r="O19" s="939"/>
      <c r="P19" s="940">
        <v>1846997</v>
      </c>
      <c r="Q19" s="1184">
        <f>SUM(P19:P24)</f>
        <v>177428034</v>
      </c>
      <c r="R19" s="1154" t="s">
        <v>94</v>
      </c>
      <c r="S19" s="1155"/>
      <c r="T19" s="1155"/>
      <c r="U19" s="1155"/>
      <c r="V19" s="454">
        <f>62747330-3831623-848360+15172896+672563+3300476-30000000+1066203+500000-6753000+1032600+15000-1150000-1011276+3500000-3912880-868511-40212-172279-2717923-16864014-4353391</f>
        <v>15483599</v>
      </c>
      <c r="W19" s="1164">
        <f>SUM(V19:V24)</f>
        <v>41144707</v>
      </c>
      <c r="X19" s="299"/>
      <c r="Y19" s="300"/>
      <c r="Z19" s="290"/>
      <c r="AA19" s="301"/>
      <c r="AB19" s="302"/>
      <c r="AC19" s="303"/>
    </row>
    <row r="20" spans="1:29" s="269" customFormat="1" ht="14.25" customHeight="1">
      <c r="A20" s="314"/>
      <c r="B20" s="315"/>
      <c r="C20" s="316"/>
      <c r="D20" s="316"/>
      <c r="E20" s="317"/>
      <c r="F20" s="318"/>
      <c r="G20" s="320"/>
      <c r="H20" s="321"/>
      <c r="I20" s="321"/>
      <c r="J20" s="323"/>
      <c r="K20" s="1116"/>
      <c r="L20" s="917" t="s">
        <v>805</v>
      </c>
      <c r="M20" s="747"/>
      <c r="N20" s="747"/>
      <c r="O20" s="747"/>
      <c r="P20" s="309">
        <v>299888</v>
      </c>
      <c r="Q20" s="1185"/>
      <c r="R20" s="1125" t="s">
        <v>739</v>
      </c>
      <c r="S20" s="1126"/>
      <c r="T20" s="1126"/>
      <c r="U20" s="1126"/>
      <c r="V20" s="451">
        <f>21384589+4176519</f>
        <v>25561108</v>
      </c>
      <c r="W20" s="1251"/>
      <c r="X20" s="299"/>
      <c r="Y20" s="300"/>
      <c r="Z20" s="290"/>
      <c r="AA20" s="301"/>
      <c r="AB20" s="302"/>
      <c r="AC20" s="303"/>
    </row>
    <row r="21" spans="1:29" s="269" customFormat="1" ht="29.25" customHeight="1">
      <c r="A21" s="314"/>
      <c r="B21" s="315"/>
      <c r="C21" s="316"/>
      <c r="D21" s="316"/>
      <c r="E21" s="317"/>
      <c r="F21" s="318"/>
      <c r="G21" s="320"/>
      <c r="H21" s="321"/>
      <c r="I21" s="321"/>
      <c r="J21" s="323"/>
      <c r="K21" s="1116"/>
      <c r="L21" s="1125" t="s">
        <v>1199</v>
      </c>
      <c r="M21" s="1126"/>
      <c r="N21" s="1126"/>
      <c r="O21" s="1126"/>
      <c r="P21" s="309">
        <v>19999984</v>
      </c>
      <c r="Q21" s="1185"/>
      <c r="R21" s="749"/>
      <c r="S21" s="749"/>
      <c r="T21" s="749"/>
      <c r="U21" s="749"/>
      <c r="V21" s="708"/>
      <c r="W21" s="1251"/>
      <c r="X21" s="299"/>
      <c r="Y21" s="300"/>
      <c r="Z21" s="290"/>
      <c r="AA21" s="301"/>
      <c r="AB21" s="302"/>
      <c r="AC21" s="303"/>
    </row>
    <row r="22" spans="1:29" s="269" customFormat="1" ht="37.5" customHeight="1">
      <c r="A22" s="314"/>
      <c r="B22" s="315"/>
      <c r="C22" s="316"/>
      <c r="D22" s="316"/>
      <c r="E22" s="317"/>
      <c r="F22" s="318"/>
      <c r="G22" s="320"/>
      <c r="H22" s="321"/>
      <c r="I22" s="321"/>
      <c r="J22" s="323"/>
      <c r="K22" s="1116"/>
      <c r="L22" s="1125" t="s">
        <v>1200</v>
      </c>
      <c r="M22" s="1126"/>
      <c r="N22" s="1126"/>
      <c r="O22" s="1126"/>
      <c r="P22" s="309">
        <v>9980698</v>
      </c>
      <c r="Q22" s="1185"/>
      <c r="R22" s="749"/>
      <c r="S22" s="749"/>
      <c r="T22" s="749"/>
      <c r="U22" s="749"/>
      <c r="V22" s="708"/>
      <c r="W22" s="1251"/>
      <c r="X22" s="299"/>
      <c r="Y22" s="300"/>
      <c r="Z22" s="290"/>
      <c r="AA22" s="301"/>
      <c r="AB22" s="302"/>
      <c r="AC22" s="303"/>
    </row>
    <row r="23" spans="1:29" s="269" customFormat="1" ht="29.25" customHeight="1">
      <c r="A23" s="314"/>
      <c r="B23" s="315"/>
      <c r="C23" s="316"/>
      <c r="D23" s="316"/>
      <c r="E23" s="317"/>
      <c r="F23" s="318"/>
      <c r="G23" s="320"/>
      <c r="H23" s="321"/>
      <c r="I23" s="321"/>
      <c r="J23" s="323"/>
      <c r="K23" s="1116"/>
      <c r="L23" s="1125" t="s">
        <v>1182</v>
      </c>
      <c r="M23" s="1126"/>
      <c r="N23" s="1126"/>
      <c r="O23" s="1126"/>
      <c r="P23" s="309">
        <v>112219000</v>
      </c>
      <c r="Q23" s="1185"/>
      <c r="W23" s="1251"/>
      <c r="X23" s="299"/>
      <c r="Y23" s="300"/>
      <c r="Z23" s="290"/>
      <c r="AA23" s="301"/>
      <c r="AB23" s="302"/>
      <c r="AC23" s="303"/>
    </row>
    <row r="24" spans="1:29" s="269" customFormat="1" ht="14.25" customHeight="1" thickBot="1">
      <c r="A24" s="314"/>
      <c r="B24" s="315"/>
      <c r="C24" s="316"/>
      <c r="D24" s="316"/>
      <c r="E24" s="317"/>
      <c r="F24" s="318"/>
      <c r="G24" s="1272"/>
      <c r="H24" s="1273"/>
      <c r="I24" s="1273"/>
      <c r="J24" s="323"/>
      <c r="K24" s="1116"/>
      <c r="L24" s="1156" t="s">
        <v>981</v>
      </c>
      <c r="M24" s="1157"/>
      <c r="N24" s="1157"/>
      <c r="O24" s="1157"/>
      <c r="P24" s="309">
        <v>33081467</v>
      </c>
      <c r="Q24" s="1185"/>
      <c r="R24" s="1125" t="s">
        <v>302</v>
      </c>
      <c r="S24" s="1126"/>
      <c r="T24" s="1126"/>
      <c r="U24" s="1126"/>
      <c r="V24" s="451">
        <v>100000</v>
      </c>
      <c r="W24" s="1251"/>
      <c r="X24" s="299"/>
      <c r="Y24" s="300"/>
      <c r="Z24" s="290"/>
      <c r="AA24" s="301"/>
      <c r="AB24" s="302"/>
      <c r="AC24" s="303"/>
    </row>
    <row r="25" spans="1:29" s="269" customFormat="1" ht="18" customHeight="1" thickTop="1">
      <c r="A25" s="457"/>
      <c r="B25" s="324"/>
      <c r="C25" s="325"/>
      <c r="D25" s="325"/>
      <c r="E25" s="326"/>
      <c r="F25" s="327"/>
      <c r="G25" s="1276"/>
      <c r="H25" s="1277"/>
      <c r="I25" s="1277"/>
      <c r="J25" s="458"/>
      <c r="K25" s="1269">
        <f>SUM(J25:J26)</f>
        <v>0</v>
      </c>
      <c r="L25" s="1259" t="s">
        <v>512</v>
      </c>
      <c r="M25" s="1260"/>
      <c r="N25" s="1260"/>
      <c r="O25" s="1260"/>
      <c r="P25" s="706">
        <v>29503396</v>
      </c>
      <c r="Q25" s="1269">
        <f>SUM(P25:P26)</f>
        <v>38966057</v>
      </c>
      <c r="R25" s="329"/>
      <c r="S25" s="330"/>
      <c r="T25" s="330"/>
      <c r="U25" s="330"/>
      <c r="V25" s="331"/>
      <c r="W25" s="332"/>
      <c r="X25" s="333"/>
      <c r="Y25" s="334"/>
      <c r="Z25" s="335"/>
      <c r="AA25" s="336"/>
      <c r="AB25" s="337"/>
      <c r="AC25" s="338"/>
    </row>
    <row r="26" spans="1:223" s="425" customFormat="1" ht="19.5" customHeight="1" thickBot="1">
      <c r="A26" s="730"/>
      <c r="B26" s="1256" t="s">
        <v>95</v>
      </c>
      <c r="C26" s="1257"/>
      <c r="D26" s="731">
        <f>SUM('6. kiadások megbontása'!J71)</f>
        <v>49782363</v>
      </c>
      <c r="E26" s="732">
        <f>SUM('6. kiadások megbontása'!K71)</f>
        <v>1215057</v>
      </c>
      <c r="F26" s="733">
        <f>SUM(D26:E26)</f>
        <v>50997420</v>
      </c>
      <c r="G26" s="1278"/>
      <c r="H26" s="1279"/>
      <c r="I26" s="1279"/>
      <c r="J26" s="734"/>
      <c r="K26" s="1270"/>
      <c r="L26" s="1274" t="s">
        <v>622</v>
      </c>
      <c r="M26" s="1275"/>
      <c r="N26" s="1275"/>
      <c r="O26" s="1275"/>
      <c r="P26" s="707">
        <v>9462661</v>
      </c>
      <c r="Q26" s="1270"/>
      <c r="R26" s="1274"/>
      <c r="S26" s="1275"/>
      <c r="T26" s="1275"/>
      <c r="U26" s="1275"/>
      <c r="V26" s="735"/>
      <c r="W26" s="736">
        <f>SUM(V26)</f>
        <v>0</v>
      </c>
      <c r="X26" s="737">
        <f>SUM(W26,Q25,K25)</f>
        <v>38966057</v>
      </c>
      <c r="Y26" s="738">
        <v>0</v>
      </c>
      <c r="Z26" s="739">
        <f>SUM(X26:Y26)</f>
        <v>38966057</v>
      </c>
      <c r="AA26" s="737">
        <f>X26-D26</f>
        <v>-10816306</v>
      </c>
      <c r="AB26" s="738">
        <f>Y26-E26</f>
        <v>-1215057</v>
      </c>
      <c r="AC26" s="339">
        <f>SUM(AA26:AB26)</f>
        <v>-12031363</v>
      </c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447"/>
      <c r="BH26" s="447"/>
      <c r="BI26" s="447"/>
      <c r="BJ26" s="447"/>
      <c r="BK26" s="447"/>
      <c r="BL26" s="447"/>
      <c r="BM26" s="44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447"/>
      <c r="BZ26" s="447"/>
      <c r="CA26" s="447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  <c r="DE26" s="447"/>
      <c r="DF26" s="447"/>
      <c r="DG26" s="447"/>
      <c r="DH26" s="447"/>
      <c r="DI26" s="447"/>
      <c r="DJ26" s="447"/>
      <c r="DK26" s="447"/>
      <c r="DL26" s="447"/>
      <c r="DM26" s="447"/>
      <c r="DN26" s="447"/>
      <c r="DO26" s="447"/>
      <c r="DP26" s="447"/>
      <c r="DQ26" s="447"/>
      <c r="DR26" s="447"/>
      <c r="DS26" s="447"/>
      <c r="DT26" s="447"/>
      <c r="DU26" s="447"/>
      <c r="DV26" s="447"/>
      <c r="DW26" s="447"/>
      <c r="DX26" s="447"/>
      <c r="DY26" s="447"/>
      <c r="DZ26" s="447"/>
      <c r="EA26" s="447"/>
      <c r="EB26" s="447"/>
      <c r="EC26" s="447"/>
      <c r="ED26" s="447"/>
      <c r="EE26" s="447"/>
      <c r="EF26" s="447"/>
      <c r="EG26" s="447"/>
      <c r="EH26" s="447"/>
      <c r="EI26" s="447"/>
      <c r="EJ26" s="447"/>
      <c r="EK26" s="447"/>
      <c r="EL26" s="447"/>
      <c r="EM26" s="447"/>
      <c r="EN26" s="447"/>
      <c r="EO26" s="447"/>
      <c r="EP26" s="447"/>
      <c r="EQ26" s="447"/>
      <c r="ER26" s="447"/>
      <c r="ES26" s="447"/>
      <c r="ET26" s="447"/>
      <c r="EU26" s="447"/>
      <c r="EV26" s="447"/>
      <c r="EW26" s="447"/>
      <c r="EX26" s="447"/>
      <c r="EY26" s="447"/>
      <c r="EZ26" s="447"/>
      <c r="FA26" s="447"/>
      <c r="FB26" s="447"/>
      <c r="FC26" s="447"/>
      <c r="FD26" s="447"/>
      <c r="FE26" s="447"/>
      <c r="FF26" s="447"/>
      <c r="FG26" s="447"/>
      <c r="FH26" s="447"/>
      <c r="FI26" s="447"/>
      <c r="FJ26" s="447"/>
      <c r="FK26" s="447"/>
      <c r="FL26" s="447"/>
      <c r="FM26" s="447"/>
      <c r="FN26" s="447"/>
      <c r="FO26" s="447"/>
      <c r="FP26" s="447"/>
      <c r="FQ26" s="447"/>
      <c r="FR26" s="447"/>
      <c r="FS26" s="447"/>
      <c r="FT26" s="447"/>
      <c r="FU26" s="447"/>
      <c r="FV26" s="447"/>
      <c r="FW26" s="447"/>
      <c r="FX26" s="447"/>
      <c r="FY26" s="447"/>
      <c r="FZ26" s="447"/>
      <c r="GA26" s="447"/>
      <c r="GB26" s="447"/>
      <c r="GC26" s="447"/>
      <c r="GD26" s="447"/>
      <c r="GE26" s="447"/>
      <c r="GF26" s="447"/>
      <c r="GG26" s="447"/>
      <c r="GH26" s="447"/>
      <c r="GI26" s="447"/>
      <c r="GJ26" s="447"/>
      <c r="GK26" s="447"/>
      <c r="GL26" s="447"/>
      <c r="GM26" s="447"/>
      <c r="GN26" s="447"/>
      <c r="GO26" s="447"/>
      <c r="GP26" s="447"/>
      <c r="GQ26" s="447"/>
      <c r="GR26" s="447"/>
      <c r="GS26" s="447"/>
      <c r="GT26" s="447"/>
      <c r="GU26" s="447"/>
      <c r="GV26" s="447"/>
      <c r="GW26" s="447"/>
      <c r="GX26" s="447"/>
      <c r="GY26" s="447"/>
      <c r="GZ26" s="447"/>
      <c r="HA26" s="447"/>
      <c r="HB26" s="447"/>
      <c r="HC26" s="447"/>
      <c r="HD26" s="447"/>
      <c r="HE26" s="447"/>
      <c r="HF26" s="447"/>
      <c r="HG26" s="447"/>
      <c r="HH26" s="447"/>
      <c r="HI26" s="447"/>
      <c r="HJ26" s="447"/>
      <c r="HK26" s="447"/>
      <c r="HL26" s="447"/>
      <c r="HM26" s="447"/>
      <c r="HN26" s="447"/>
      <c r="HO26" s="447"/>
    </row>
    <row r="27" spans="1:29" ht="16.5" customHeight="1" thickTop="1">
      <c r="A27" s="360"/>
      <c r="B27" s="317"/>
      <c r="C27" s="341"/>
      <c r="D27" s="342"/>
      <c r="E27" s="342"/>
      <c r="F27" s="318"/>
      <c r="G27" s="320"/>
      <c r="H27" s="321"/>
      <c r="I27" s="321"/>
      <c r="J27" s="343"/>
      <c r="K27" s="1269">
        <f>SUM(J27:J34)</f>
        <v>0</v>
      </c>
      <c r="L27" s="1156" t="s">
        <v>113</v>
      </c>
      <c r="M27" s="1157"/>
      <c r="N27" s="1157"/>
      <c r="O27" s="1157"/>
      <c r="P27" s="278">
        <v>2000000</v>
      </c>
      <c r="Q27" s="1269">
        <f>SUM(P27:P34)</f>
        <v>205755090</v>
      </c>
      <c r="R27" s="1125" t="s">
        <v>741</v>
      </c>
      <c r="S27" s="1126"/>
      <c r="T27" s="1126"/>
      <c r="U27" s="1126"/>
      <c r="V27" s="451">
        <f>5848600+2166387+373465</f>
        <v>8388452</v>
      </c>
      <c r="W27" s="1271">
        <f>SUM(V27:V34)</f>
        <v>14331252</v>
      </c>
      <c r="X27" s="344"/>
      <c r="Y27" s="345"/>
      <c r="Z27" s="346"/>
      <c r="AA27" s="344"/>
      <c r="AB27" s="345"/>
      <c r="AC27" s="327"/>
    </row>
    <row r="28" spans="1:29" ht="22.5" customHeight="1">
      <c r="A28" s="360"/>
      <c r="B28" s="317"/>
      <c r="C28" s="341"/>
      <c r="D28" s="342"/>
      <c r="E28" s="317"/>
      <c r="F28" s="318"/>
      <c r="G28" s="320"/>
      <c r="H28" s="321"/>
      <c r="I28" s="321"/>
      <c r="J28" s="343"/>
      <c r="K28" s="1116"/>
      <c r="L28" s="1125" t="s">
        <v>1093</v>
      </c>
      <c r="M28" s="1126"/>
      <c r="N28" s="1126"/>
      <c r="O28" s="1126"/>
      <c r="P28" s="278">
        <f>1100000</f>
        <v>1100000</v>
      </c>
      <c r="Q28" s="1116"/>
      <c r="R28" s="1127" t="s">
        <v>1115</v>
      </c>
      <c r="S28" s="1128"/>
      <c r="T28" s="1128"/>
      <c r="U28" s="1128"/>
      <c r="V28" s="451">
        <f>48819+13181</f>
        <v>62000</v>
      </c>
      <c r="W28" s="1176"/>
      <c r="X28" s="757"/>
      <c r="Y28" s="342"/>
      <c r="Z28" s="317"/>
      <c r="AA28" s="360"/>
      <c r="AB28" s="342"/>
      <c r="AC28" s="318"/>
    </row>
    <row r="29" spans="1:29" ht="28.5" customHeight="1">
      <c r="A29" s="360"/>
      <c r="B29" s="317"/>
      <c r="C29" s="341"/>
      <c r="D29" s="342"/>
      <c r="E29" s="317"/>
      <c r="F29" s="318"/>
      <c r="G29" s="320"/>
      <c r="H29" s="321"/>
      <c r="I29" s="321"/>
      <c r="J29" s="343"/>
      <c r="K29" s="1116"/>
      <c r="L29" s="1127" t="s">
        <v>1198</v>
      </c>
      <c r="M29" s="1128"/>
      <c r="N29" s="1128"/>
      <c r="O29" s="1128"/>
      <c r="P29" s="278">
        <v>7875000</v>
      </c>
      <c r="Q29" s="1116"/>
      <c r="R29" s="745"/>
      <c r="S29" s="746"/>
      <c r="T29" s="746"/>
      <c r="U29" s="746"/>
      <c r="V29" s="451"/>
      <c r="W29" s="1176"/>
      <c r="X29" s="757"/>
      <c r="Y29" s="342"/>
      <c r="Z29" s="317"/>
      <c r="AA29" s="360"/>
      <c r="AB29" s="342"/>
      <c r="AC29" s="318"/>
    </row>
    <row r="30" spans="1:29" ht="24.75" customHeight="1">
      <c r="A30" s="360"/>
      <c r="B30" s="317"/>
      <c r="C30" s="341"/>
      <c r="D30" s="342"/>
      <c r="E30" s="317"/>
      <c r="F30" s="318"/>
      <c r="G30" s="320"/>
      <c r="H30" s="321"/>
      <c r="I30" s="321"/>
      <c r="J30" s="343"/>
      <c r="K30" s="1116"/>
      <c r="L30" s="1156" t="s">
        <v>985</v>
      </c>
      <c r="M30" s="1157"/>
      <c r="N30" s="1157"/>
      <c r="O30" s="1157"/>
      <c r="P30" s="278">
        <v>166813</v>
      </c>
      <c r="Q30" s="1116"/>
      <c r="R30" s="1127" t="s">
        <v>742</v>
      </c>
      <c r="S30" s="1128"/>
      <c r="T30" s="1128"/>
      <c r="U30" s="1128"/>
      <c r="V30" s="451">
        <v>5715000</v>
      </c>
      <c r="W30" s="1176"/>
      <c r="X30" s="757"/>
      <c r="Y30" s="342"/>
      <c r="Z30" s="317"/>
      <c r="AA30" s="360"/>
      <c r="AB30" s="342"/>
      <c r="AC30" s="318"/>
    </row>
    <row r="31" spans="1:29" ht="27.75" customHeight="1">
      <c r="A31" s="360"/>
      <c r="B31" s="317"/>
      <c r="C31" s="341"/>
      <c r="D31" s="342"/>
      <c r="E31" s="317"/>
      <c r="F31" s="318"/>
      <c r="G31" s="320"/>
      <c r="H31" s="321"/>
      <c r="I31" s="321"/>
      <c r="J31" s="343"/>
      <c r="K31" s="1116"/>
      <c r="L31" s="1127" t="s">
        <v>892</v>
      </c>
      <c r="M31" s="1128"/>
      <c r="N31" s="1128"/>
      <c r="O31" s="1128"/>
      <c r="P31" s="449">
        <f>88971424+10976885-6000000</f>
        <v>93948309</v>
      </c>
      <c r="Q31" s="1116"/>
      <c r="R31" s="1121" t="s">
        <v>284</v>
      </c>
      <c r="S31" s="1122"/>
      <c r="T31" s="1122"/>
      <c r="U31" s="1122"/>
      <c r="V31" s="961">
        <v>15000</v>
      </c>
      <c r="W31" s="1176"/>
      <c r="X31" s="757"/>
      <c r="Y31" s="342"/>
      <c r="Z31" s="317"/>
      <c r="AA31" s="360"/>
      <c r="AB31" s="342"/>
      <c r="AC31" s="318"/>
    </row>
    <row r="32" spans="1:29" ht="26.25" customHeight="1">
      <c r="A32" s="360"/>
      <c r="B32" s="317"/>
      <c r="C32" s="341"/>
      <c r="D32" s="342"/>
      <c r="E32" s="317"/>
      <c r="F32" s="318"/>
      <c r="G32" s="320"/>
      <c r="H32" s="321"/>
      <c r="I32" s="321"/>
      <c r="J32" s="343"/>
      <c r="K32" s="1116"/>
      <c r="L32" s="1127" t="s">
        <v>893</v>
      </c>
      <c r="M32" s="1128"/>
      <c r="N32" s="1128"/>
      <c r="O32" s="1128"/>
      <c r="P32" s="278">
        <v>32379432</v>
      </c>
      <c r="Q32" s="1116"/>
      <c r="R32" s="1127" t="s">
        <v>1196</v>
      </c>
      <c r="S32" s="1128"/>
      <c r="T32" s="1128"/>
      <c r="U32" s="1128"/>
      <c r="V32" s="451">
        <v>100000</v>
      </c>
      <c r="W32" s="1176"/>
      <c r="X32" s="757"/>
      <c r="Y32" s="342"/>
      <c r="Z32" s="317"/>
      <c r="AA32" s="360"/>
      <c r="AB32" s="342"/>
      <c r="AC32" s="318"/>
    </row>
    <row r="33" spans="1:29" ht="30" customHeight="1">
      <c r="A33" s="360"/>
      <c r="B33" s="317"/>
      <c r="C33" s="341"/>
      <c r="D33" s="342"/>
      <c r="E33" s="317"/>
      <c r="F33" s="318"/>
      <c r="G33" s="320"/>
      <c r="H33" s="321"/>
      <c r="I33" s="321"/>
      <c r="J33" s="343"/>
      <c r="K33" s="1116"/>
      <c r="L33" s="1125" t="s">
        <v>1178</v>
      </c>
      <c r="M33" s="1126"/>
      <c r="N33" s="1126"/>
      <c r="O33" s="1126"/>
      <c r="P33" s="278">
        <v>20805062</v>
      </c>
      <c r="Q33" s="1116"/>
      <c r="R33" s="1127" t="s">
        <v>1197</v>
      </c>
      <c r="S33" s="1128"/>
      <c r="T33" s="1128"/>
      <c r="U33" s="1128"/>
      <c r="V33" s="451">
        <v>50800</v>
      </c>
      <c r="W33" s="1176"/>
      <c r="X33" s="757"/>
      <c r="Y33" s="342"/>
      <c r="Z33" s="317"/>
      <c r="AA33" s="360"/>
      <c r="AB33" s="342"/>
      <c r="AC33" s="318"/>
    </row>
    <row r="34" spans="1:29" ht="25.5" customHeight="1" thickBot="1">
      <c r="A34" s="1203" t="s">
        <v>483</v>
      </c>
      <c r="B34" s="1137"/>
      <c r="C34" s="1138"/>
      <c r="D34" s="347">
        <f>SUM('6. kiadások megbontása'!G71)</f>
        <v>277828159</v>
      </c>
      <c r="E34" s="297">
        <f>SUM('6. kiadások megbontása'!H71)</f>
        <v>1064352251</v>
      </c>
      <c r="F34" s="298">
        <f>SUM(D34:E34)</f>
        <v>1342180410</v>
      </c>
      <c r="G34" s="348"/>
      <c r="H34" s="281"/>
      <c r="I34" s="281"/>
      <c r="J34" s="309"/>
      <c r="K34" s="1202"/>
      <c r="L34" s="1127" t="s">
        <v>1101</v>
      </c>
      <c r="M34" s="1128"/>
      <c r="N34" s="1128"/>
      <c r="O34" s="1128"/>
      <c r="P34" s="278">
        <f>63035474-2893619-1250000-11411381</f>
        <v>47480474</v>
      </c>
      <c r="Q34" s="1202"/>
      <c r="R34" s="1252"/>
      <c r="S34" s="1253"/>
      <c r="T34" s="1253"/>
      <c r="U34" s="1253"/>
      <c r="V34" s="450"/>
      <c r="W34" s="1177"/>
      <c r="X34" s="349">
        <f>SUM(W27,Q27,K27)</f>
        <v>220086342</v>
      </c>
      <c r="Y34" s="311">
        <f>SUM(Q35,W35,K35)</f>
        <v>1093958022</v>
      </c>
      <c r="Z34" s="312">
        <f>SUM(X34:Y34)</f>
        <v>1314044364</v>
      </c>
      <c r="AA34" s="310">
        <f>X34-D34</f>
        <v>-57741817</v>
      </c>
      <c r="AB34" s="311">
        <f>Y34-E34</f>
        <v>29605771</v>
      </c>
      <c r="AC34" s="313">
        <f>SUM(AA34:AB34)</f>
        <v>-28136046</v>
      </c>
    </row>
    <row r="35" spans="1:29" ht="42" customHeight="1">
      <c r="A35" s="293"/>
      <c r="B35" s="294"/>
      <c r="C35" s="295"/>
      <c r="D35" s="347"/>
      <c r="E35" s="297"/>
      <c r="F35" s="298"/>
      <c r="G35" s="580"/>
      <c r="H35" s="581"/>
      <c r="I35" s="581"/>
      <c r="J35" s="322"/>
      <c r="K35" s="1115">
        <v>0</v>
      </c>
      <c r="L35" s="1119" t="s">
        <v>808</v>
      </c>
      <c r="M35" s="1120"/>
      <c r="N35" s="1120"/>
      <c r="O35" s="1120"/>
      <c r="P35" s="705">
        <f>21694288+192470000+411888112</f>
        <v>626052400</v>
      </c>
      <c r="Q35" s="1115">
        <f>SUM(P35:P41)</f>
        <v>825592238</v>
      </c>
      <c r="R35" s="1125" t="s">
        <v>739</v>
      </c>
      <c r="S35" s="1126"/>
      <c r="T35" s="1126"/>
      <c r="U35" s="1126"/>
      <c r="V35" s="452">
        <f>276567184-8201400</f>
        <v>268365784</v>
      </c>
      <c r="W35" s="1164">
        <f>SUM(V35:V41)</f>
        <v>268365784</v>
      </c>
      <c r="X35" s="350"/>
      <c r="Y35" s="311"/>
      <c r="Z35" s="312"/>
      <c r="AA35" s="310"/>
      <c r="AB35" s="311"/>
      <c r="AC35" s="313"/>
    </row>
    <row r="36" spans="1:29" ht="51.75" customHeight="1">
      <c r="A36" s="293"/>
      <c r="B36" s="294"/>
      <c r="C36" s="295"/>
      <c r="D36" s="347"/>
      <c r="E36" s="297"/>
      <c r="F36" s="298"/>
      <c r="G36" s="348"/>
      <c r="H36" s="281"/>
      <c r="I36" s="281"/>
      <c r="J36" s="309"/>
      <c r="K36" s="1116"/>
      <c r="L36" s="1127" t="s">
        <v>1181</v>
      </c>
      <c r="M36" s="1128"/>
      <c r="N36" s="1128"/>
      <c r="O36" s="1128"/>
      <c r="P36" s="449">
        <f>2500000+6019000+5000000+95000000+106200000+47500000-112219000</f>
        <v>150000000</v>
      </c>
      <c r="Q36" s="1116"/>
      <c r="R36" s="748"/>
      <c r="S36" s="749"/>
      <c r="T36" s="749"/>
      <c r="U36" s="749"/>
      <c r="V36" s="452"/>
      <c r="W36" s="1251"/>
      <c r="X36" s="350"/>
      <c r="Y36" s="311"/>
      <c r="Z36" s="312"/>
      <c r="AA36" s="310"/>
      <c r="AB36" s="311"/>
      <c r="AC36" s="313"/>
    </row>
    <row r="37" spans="1:29" ht="26.25" customHeight="1">
      <c r="A37" s="293"/>
      <c r="B37" s="294"/>
      <c r="C37" s="295"/>
      <c r="D37" s="347"/>
      <c r="E37" s="297"/>
      <c r="F37" s="298"/>
      <c r="G37" s="348"/>
      <c r="H37" s="281"/>
      <c r="I37" s="281"/>
      <c r="J37" s="309"/>
      <c r="K37" s="1116"/>
      <c r="L37" s="1127" t="s">
        <v>1178</v>
      </c>
      <c r="M37" s="1128"/>
      <c r="N37" s="1128"/>
      <c r="O37" s="1128"/>
      <c r="P37" s="453">
        <v>830000</v>
      </c>
      <c r="Q37" s="1116"/>
      <c r="R37" s="748"/>
      <c r="S37" s="749"/>
      <c r="T37" s="749"/>
      <c r="U37" s="749"/>
      <c r="V37" s="452"/>
      <c r="W37" s="1251"/>
      <c r="X37" s="350"/>
      <c r="Y37" s="311"/>
      <c r="Z37" s="312"/>
      <c r="AA37" s="310"/>
      <c r="AB37" s="311"/>
      <c r="AC37" s="313"/>
    </row>
    <row r="38" spans="1:223" s="425" customFormat="1" ht="17.25" customHeight="1">
      <c r="A38" s="850"/>
      <c r="B38" s="851"/>
      <c r="C38" s="852"/>
      <c r="D38" s="853"/>
      <c r="E38" s="941"/>
      <c r="F38" s="942"/>
      <c r="G38" s="849"/>
      <c r="H38" s="747"/>
      <c r="I38" s="747"/>
      <c r="J38" s="449"/>
      <c r="K38" s="1116"/>
      <c r="L38" s="1156" t="s">
        <v>985</v>
      </c>
      <c r="M38" s="1157"/>
      <c r="N38" s="1157"/>
      <c r="O38" s="1157"/>
      <c r="P38" s="453">
        <v>1753187</v>
      </c>
      <c r="Q38" s="1116"/>
      <c r="R38" s="748"/>
      <c r="S38" s="749"/>
      <c r="T38" s="749"/>
      <c r="U38" s="749"/>
      <c r="V38" s="452"/>
      <c r="W38" s="1251"/>
      <c r="X38" s="299"/>
      <c r="Y38" s="943"/>
      <c r="Z38" s="944"/>
      <c r="AA38" s="945"/>
      <c r="AB38" s="943"/>
      <c r="AC38" s="946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47"/>
      <c r="BN38" s="447"/>
      <c r="BO38" s="447"/>
      <c r="BP38" s="447"/>
      <c r="BQ38" s="447"/>
      <c r="BR38" s="447"/>
      <c r="BS38" s="447"/>
      <c r="BT38" s="447"/>
      <c r="BU38" s="447"/>
      <c r="BV38" s="447"/>
      <c r="BW38" s="447"/>
      <c r="BX38" s="447"/>
      <c r="BY38" s="447"/>
      <c r="BZ38" s="447"/>
      <c r="CA38" s="447"/>
      <c r="CB38" s="447"/>
      <c r="CC38" s="447"/>
      <c r="CD38" s="447"/>
      <c r="CE38" s="447"/>
      <c r="CF38" s="447"/>
      <c r="CG38" s="447"/>
      <c r="CH38" s="447"/>
      <c r="CI38" s="447"/>
      <c r="CJ38" s="447"/>
      <c r="CK38" s="447"/>
      <c r="CL38" s="447"/>
      <c r="CM38" s="447"/>
      <c r="CN38" s="447"/>
      <c r="CO38" s="447"/>
      <c r="CP38" s="447"/>
      <c r="CQ38" s="447"/>
      <c r="CR38" s="447"/>
      <c r="CS38" s="447"/>
      <c r="CT38" s="447"/>
      <c r="CU38" s="447"/>
      <c r="CV38" s="447"/>
      <c r="CW38" s="447"/>
      <c r="CX38" s="447"/>
      <c r="CY38" s="447"/>
      <c r="CZ38" s="447"/>
      <c r="DA38" s="447"/>
      <c r="DB38" s="447"/>
      <c r="DC38" s="447"/>
      <c r="DD38" s="447"/>
      <c r="DE38" s="447"/>
      <c r="DF38" s="447"/>
      <c r="DG38" s="447"/>
      <c r="DH38" s="447"/>
      <c r="DI38" s="447"/>
      <c r="DJ38" s="447"/>
      <c r="DK38" s="447"/>
      <c r="DL38" s="447"/>
      <c r="DM38" s="447"/>
      <c r="DN38" s="447"/>
      <c r="DO38" s="447"/>
      <c r="DP38" s="447"/>
      <c r="DQ38" s="447"/>
      <c r="DR38" s="447"/>
      <c r="DS38" s="447"/>
      <c r="DT38" s="447"/>
      <c r="DU38" s="447"/>
      <c r="DV38" s="447"/>
      <c r="DW38" s="447"/>
      <c r="DX38" s="447"/>
      <c r="DY38" s="447"/>
      <c r="DZ38" s="447"/>
      <c r="EA38" s="447"/>
      <c r="EB38" s="447"/>
      <c r="EC38" s="447"/>
      <c r="ED38" s="447"/>
      <c r="EE38" s="447"/>
      <c r="EF38" s="447"/>
      <c r="EG38" s="447"/>
      <c r="EH38" s="447"/>
      <c r="EI38" s="447"/>
      <c r="EJ38" s="447"/>
      <c r="EK38" s="447"/>
      <c r="EL38" s="447"/>
      <c r="EM38" s="447"/>
      <c r="EN38" s="447"/>
      <c r="EO38" s="447"/>
      <c r="EP38" s="447"/>
      <c r="EQ38" s="447"/>
      <c r="ER38" s="447"/>
      <c r="ES38" s="447"/>
      <c r="ET38" s="447"/>
      <c r="EU38" s="447"/>
      <c r="EV38" s="447"/>
      <c r="EW38" s="447"/>
      <c r="EX38" s="447"/>
      <c r="EY38" s="447"/>
      <c r="EZ38" s="447"/>
      <c r="FA38" s="447"/>
      <c r="FB38" s="447"/>
      <c r="FC38" s="447"/>
      <c r="FD38" s="447"/>
      <c r="FE38" s="447"/>
      <c r="FF38" s="447"/>
      <c r="FG38" s="447"/>
      <c r="FH38" s="447"/>
      <c r="FI38" s="447"/>
      <c r="FJ38" s="447"/>
      <c r="FK38" s="447"/>
      <c r="FL38" s="447"/>
      <c r="FM38" s="447"/>
      <c r="FN38" s="447"/>
      <c r="FO38" s="447"/>
      <c r="FP38" s="447"/>
      <c r="FQ38" s="447"/>
      <c r="FR38" s="447"/>
      <c r="FS38" s="447"/>
      <c r="FT38" s="447"/>
      <c r="FU38" s="447"/>
      <c r="FV38" s="447"/>
      <c r="FW38" s="447"/>
      <c r="FX38" s="447"/>
      <c r="FY38" s="447"/>
      <c r="FZ38" s="447"/>
      <c r="GA38" s="447"/>
      <c r="GB38" s="447"/>
      <c r="GC38" s="447"/>
      <c r="GD38" s="447"/>
      <c r="GE38" s="447"/>
      <c r="GF38" s="447"/>
      <c r="GG38" s="447"/>
      <c r="GH38" s="447"/>
      <c r="GI38" s="447"/>
      <c r="GJ38" s="447"/>
      <c r="GK38" s="447"/>
      <c r="GL38" s="447"/>
      <c r="GM38" s="447"/>
      <c r="GN38" s="447"/>
      <c r="GO38" s="447"/>
      <c r="GP38" s="447"/>
      <c r="GQ38" s="447"/>
      <c r="GR38" s="447"/>
      <c r="GS38" s="447"/>
      <c r="GT38" s="447"/>
      <c r="GU38" s="447"/>
      <c r="GV38" s="447"/>
      <c r="GW38" s="447"/>
      <c r="GX38" s="447"/>
      <c r="GY38" s="447"/>
      <c r="GZ38" s="447"/>
      <c r="HA38" s="447"/>
      <c r="HB38" s="447"/>
      <c r="HC38" s="447"/>
      <c r="HD38" s="447"/>
      <c r="HE38" s="447"/>
      <c r="HF38" s="447"/>
      <c r="HG38" s="447"/>
      <c r="HH38" s="447"/>
      <c r="HI38" s="447"/>
      <c r="HJ38" s="447"/>
      <c r="HK38" s="447"/>
      <c r="HL38" s="447"/>
      <c r="HM38" s="447"/>
      <c r="HN38" s="447"/>
      <c r="HO38" s="447"/>
    </row>
    <row r="39" spans="1:29" ht="26.25" customHeight="1">
      <c r="A39" s="293"/>
      <c r="B39" s="294"/>
      <c r="C39" s="295"/>
      <c r="D39" s="347"/>
      <c r="E39" s="297"/>
      <c r="F39" s="298"/>
      <c r="G39" s="348"/>
      <c r="H39" s="281"/>
      <c r="I39" s="281"/>
      <c r="J39" s="309"/>
      <c r="K39" s="1116"/>
      <c r="L39" s="1127" t="s">
        <v>810</v>
      </c>
      <c r="M39" s="1128"/>
      <c r="N39" s="1128"/>
      <c r="O39" s="1128"/>
      <c r="P39" s="449">
        <v>9889960</v>
      </c>
      <c r="Q39" s="1116"/>
      <c r="R39" s="748"/>
      <c r="S39" s="749"/>
      <c r="T39" s="749"/>
      <c r="U39" s="749"/>
      <c r="V39" s="452"/>
      <c r="W39" s="1251"/>
      <c r="X39" s="350"/>
      <c r="Y39" s="311"/>
      <c r="Z39" s="312"/>
      <c r="AA39" s="310"/>
      <c r="AB39" s="311"/>
      <c r="AC39" s="313"/>
    </row>
    <row r="40" spans="1:29" ht="26.25" customHeight="1">
      <c r="A40" s="293"/>
      <c r="B40" s="294"/>
      <c r="C40" s="295"/>
      <c r="D40" s="347"/>
      <c r="E40" s="297"/>
      <c r="F40" s="298"/>
      <c r="G40" s="348"/>
      <c r="H40" s="281"/>
      <c r="I40" s="281"/>
      <c r="J40" s="309"/>
      <c r="K40" s="1116"/>
      <c r="L40" s="1127" t="s">
        <v>891</v>
      </c>
      <c r="M40" s="1128"/>
      <c r="N40" s="1128"/>
      <c r="O40" s="1128"/>
      <c r="P40" s="449">
        <f>15511691+6000000</f>
        <v>21511691</v>
      </c>
      <c r="Q40" s="1116"/>
      <c r="R40" s="748"/>
      <c r="S40" s="749"/>
      <c r="T40" s="749"/>
      <c r="U40" s="749"/>
      <c r="V40" s="452"/>
      <c r="W40" s="1251"/>
      <c r="X40" s="350"/>
      <c r="Y40" s="311"/>
      <c r="Z40" s="312"/>
      <c r="AA40" s="310"/>
      <c r="AB40" s="311"/>
      <c r="AC40" s="313"/>
    </row>
    <row r="41" spans="1:29" ht="26.25" customHeight="1" thickBot="1">
      <c r="A41" s="293"/>
      <c r="B41" s="294"/>
      <c r="C41" s="295"/>
      <c r="D41" s="347"/>
      <c r="E41" s="297"/>
      <c r="F41" s="298"/>
      <c r="G41" s="348"/>
      <c r="H41" s="281"/>
      <c r="I41" s="281"/>
      <c r="J41" s="309"/>
      <c r="K41" s="1116"/>
      <c r="L41" s="1127" t="s">
        <v>1101</v>
      </c>
      <c r="M41" s="1128"/>
      <c r="N41" s="1128"/>
      <c r="O41" s="1128"/>
      <c r="P41" s="449">
        <f>2893619+1250000+11411381</f>
        <v>15555000</v>
      </c>
      <c r="Q41" s="1116"/>
      <c r="R41" s="748"/>
      <c r="S41" s="749"/>
      <c r="T41" s="749"/>
      <c r="U41" s="749"/>
      <c r="V41" s="452"/>
      <c r="W41" s="1251"/>
      <c r="X41" s="350"/>
      <c r="Y41" s="311"/>
      <c r="Z41" s="312"/>
      <c r="AA41" s="310"/>
      <c r="AB41" s="311"/>
      <c r="AC41" s="313"/>
    </row>
    <row r="42" spans="1:223" s="425" customFormat="1" ht="25.5" customHeight="1" thickBot="1">
      <c r="A42" s="1238" t="s">
        <v>96</v>
      </c>
      <c r="B42" s="1239"/>
      <c r="C42" s="1240"/>
      <c r="D42" s="709">
        <f>SUM(D9:D41)</f>
        <v>1018117591</v>
      </c>
      <c r="E42" s="710">
        <f>SUM(E8:E41)</f>
        <v>1322131033</v>
      </c>
      <c r="F42" s="711">
        <f>SUM(F8:F41)</f>
        <v>2340248624</v>
      </c>
      <c r="G42" s="441"/>
      <c r="H42" s="1187" t="s">
        <v>97</v>
      </c>
      <c r="I42" s="1188"/>
      <c r="J42" s="1189"/>
      <c r="K42" s="742">
        <f>SUM(K8:K35)</f>
        <v>282499376</v>
      </c>
      <c r="L42" s="439"/>
      <c r="M42" s="1117" t="s">
        <v>98</v>
      </c>
      <c r="N42" s="1117"/>
      <c r="O42" s="1117"/>
      <c r="P42" s="1118"/>
      <c r="Q42" s="742">
        <f>SUM(Q8:Q35)</f>
        <v>1392023190</v>
      </c>
      <c r="R42" s="439"/>
      <c r="S42" s="1117" t="s">
        <v>99</v>
      </c>
      <c r="T42" s="1117"/>
      <c r="U42" s="1117"/>
      <c r="V42" s="1118"/>
      <c r="W42" s="742">
        <f>SUM(W8:W35)</f>
        <v>678508295</v>
      </c>
      <c r="X42" s="743">
        <f>SUM(X8:X41)</f>
        <v>1010552348</v>
      </c>
      <c r="Y42" s="716">
        <f>SUM(Y8:Y41)</f>
        <v>1342478513</v>
      </c>
      <c r="Z42" s="717">
        <f>SUM(X42:Y42)</f>
        <v>2353030861</v>
      </c>
      <c r="AA42" s="718">
        <f>SUM(AA11:AA41)</f>
        <v>-7565243</v>
      </c>
      <c r="AB42" s="719">
        <f>SUM(AB10:AB41)</f>
        <v>20347480</v>
      </c>
      <c r="AC42" s="744">
        <f>SUM(AA42:AB42)</f>
        <v>12782237</v>
      </c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7"/>
      <c r="CG42" s="447"/>
      <c r="CH42" s="447"/>
      <c r="CI42" s="447"/>
      <c r="CJ42" s="447"/>
      <c r="CK42" s="447"/>
      <c r="CL42" s="447"/>
      <c r="CM42" s="447"/>
      <c r="CN42" s="447"/>
      <c r="CO42" s="447"/>
      <c r="CP42" s="447"/>
      <c r="CQ42" s="447"/>
      <c r="CR42" s="447"/>
      <c r="CS42" s="447"/>
      <c r="CT42" s="447"/>
      <c r="CU42" s="447"/>
      <c r="CV42" s="447"/>
      <c r="CW42" s="447"/>
      <c r="CX42" s="447"/>
      <c r="CY42" s="447"/>
      <c r="CZ42" s="447"/>
      <c r="DA42" s="447"/>
      <c r="DB42" s="447"/>
      <c r="DC42" s="447"/>
      <c r="DD42" s="447"/>
      <c r="DE42" s="447"/>
      <c r="DF42" s="447"/>
      <c r="DG42" s="447"/>
      <c r="DH42" s="447"/>
      <c r="DI42" s="447"/>
      <c r="DJ42" s="447"/>
      <c r="DK42" s="447"/>
      <c r="DL42" s="447"/>
      <c r="DM42" s="447"/>
      <c r="DN42" s="447"/>
      <c r="DO42" s="447"/>
      <c r="DP42" s="447"/>
      <c r="DQ42" s="447"/>
      <c r="DR42" s="447"/>
      <c r="DS42" s="447"/>
      <c r="DT42" s="447"/>
      <c r="DU42" s="447"/>
      <c r="DV42" s="447"/>
      <c r="DW42" s="447"/>
      <c r="DX42" s="447"/>
      <c r="DY42" s="447"/>
      <c r="DZ42" s="447"/>
      <c r="EA42" s="447"/>
      <c r="EB42" s="447"/>
      <c r="EC42" s="447"/>
      <c r="ED42" s="447"/>
      <c r="EE42" s="447"/>
      <c r="EF42" s="447"/>
      <c r="EG42" s="447"/>
      <c r="EH42" s="447"/>
      <c r="EI42" s="447"/>
      <c r="EJ42" s="447"/>
      <c r="EK42" s="447"/>
      <c r="EL42" s="447"/>
      <c r="EM42" s="447"/>
      <c r="EN42" s="447"/>
      <c r="EO42" s="447"/>
      <c r="EP42" s="447"/>
      <c r="EQ42" s="447"/>
      <c r="ER42" s="447"/>
      <c r="ES42" s="447"/>
      <c r="ET42" s="447"/>
      <c r="EU42" s="447"/>
      <c r="EV42" s="447"/>
      <c r="EW42" s="447"/>
      <c r="EX42" s="447"/>
      <c r="EY42" s="447"/>
      <c r="EZ42" s="447"/>
      <c r="FA42" s="447"/>
      <c r="FB42" s="447"/>
      <c r="FC42" s="447"/>
      <c r="FD42" s="447"/>
      <c r="FE42" s="447"/>
      <c r="FF42" s="447"/>
      <c r="FG42" s="447"/>
      <c r="FH42" s="447"/>
      <c r="FI42" s="447"/>
      <c r="FJ42" s="447"/>
      <c r="FK42" s="447"/>
      <c r="FL42" s="447"/>
      <c r="FM42" s="447"/>
      <c r="FN42" s="447"/>
      <c r="FO42" s="447"/>
      <c r="FP42" s="447"/>
      <c r="FQ42" s="447"/>
      <c r="FR42" s="447"/>
      <c r="FS42" s="447"/>
      <c r="FT42" s="447"/>
      <c r="FU42" s="447"/>
      <c r="FV42" s="447"/>
      <c r="FW42" s="447"/>
      <c r="FX42" s="447"/>
      <c r="FY42" s="447"/>
      <c r="FZ42" s="447"/>
      <c r="GA42" s="447"/>
      <c r="GB42" s="447"/>
      <c r="GC42" s="447"/>
      <c r="GD42" s="447"/>
      <c r="GE42" s="447"/>
      <c r="GF42" s="447"/>
      <c r="GG42" s="447"/>
      <c r="GH42" s="447"/>
      <c r="GI42" s="447"/>
      <c r="GJ42" s="447"/>
      <c r="GK42" s="447"/>
      <c r="GL42" s="447"/>
      <c r="GM42" s="447"/>
      <c r="GN42" s="447"/>
      <c r="GO42" s="447"/>
      <c r="GP42" s="447"/>
      <c r="GQ42" s="447"/>
      <c r="GR42" s="447"/>
      <c r="GS42" s="447"/>
      <c r="GT42" s="447"/>
      <c r="GU42" s="447"/>
      <c r="GV42" s="447"/>
      <c r="GW42" s="447"/>
      <c r="GX42" s="447"/>
      <c r="GY42" s="447"/>
      <c r="GZ42" s="447"/>
      <c r="HA42" s="447"/>
      <c r="HB42" s="447"/>
      <c r="HC42" s="447"/>
      <c r="HD42" s="447"/>
      <c r="HE42" s="447"/>
      <c r="HF42" s="447"/>
      <c r="HG42" s="447"/>
      <c r="HH42" s="447"/>
      <c r="HI42" s="447"/>
      <c r="HJ42" s="447"/>
      <c r="HK42" s="447"/>
      <c r="HL42" s="447"/>
      <c r="HM42" s="447"/>
      <c r="HN42" s="447"/>
      <c r="HO42" s="447"/>
    </row>
    <row r="43" spans="1:29" ht="27.75" customHeight="1" thickBot="1" thickTop="1">
      <c r="A43" s="1141" t="s">
        <v>100</v>
      </c>
      <c r="B43" s="1142"/>
      <c r="C43" s="1143"/>
      <c r="D43" s="1219" t="s">
        <v>358</v>
      </c>
      <c r="E43" s="1130"/>
      <c r="F43" s="1220"/>
      <c r="G43" s="1149" t="s">
        <v>507</v>
      </c>
      <c r="H43" s="1130"/>
      <c r="I43" s="1130"/>
      <c r="J43" s="1130"/>
      <c r="K43" s="1131"/>
      <c r="L43" s="1129" t="s">
        <v>508</v>
      </c>
      <c r="M43" s="1130"/>
      <c r="N43" s="1130"/>
      <c r="O43" s="1130"/>
      <c r="P43" s="1130"/>
      <c r="Q43" s="1131"/>
      <c r="R43" s="1129" t="s">
        <v>509</v>
      </c>
      <c r="S43" s="1130"/>
      <c r="T43" s="1130"/>
      <c r="U43" s="1130"/>
      <c r="V43" s="1130"/>
      <c r="W43" s="1220"/>
      <c r="X43" s="1169" t="s">
        <v>510</v>
      </c>
      <c r="Y43" s="1170"/>
      <c r="Z43" s="1170"/>
      <c r="AA43" s="1161" t="s">
        <v>90</v>
      </c>
      <c r="AB43" s="1162"/>
      <c r="AC43" s="1163"/>
    </row>
    <row r="44" spans="1:223" s="356" customFormat="1" ht="18.75" customHeight="1" thickBot="1" thickTop="1">
      <c r="A44" s="1144"/>
      <c r="B44" s="1145"/>
      <c r="C44" s="1146"/>
      <c r="D44" s="424" t="s">
        <v>91</v>
      </c>
      <c r="E44" s="741" t="s">
        <v>87</v>
      </c>
      <c r="F44" s="272" t="s">
        <v>92</v>
      </c>
      <c r="G44" s="1150"/>
      <c r="H44" s="1133"/>
      <c r="I44" s="1133"/>
      <c r="J44" s="1151"/>
      <c r="K44" s="1134"/>
      <c r="L44" s="1132"/>
      <c r="M44" s="1133"/>
      <c r="N44" s="1133"/>
      <c r="O44" s="1133"/>
      <c r="P44" s="1133"/>
      <c r="Q44" s="1134"/>
      <c r="R44" s="1132"/>
      <c r="S44" s="1133"/>
      <c r="T44" s="1133"/>
      <c r="U44" s="1133"/>
      <c r="V44" s="1133"/>
      <c r="W44" s="1250"/>
      <c r="X44" s="726" t="s">
        <v>91</v>
      </c>
      <c r="Y44" s="729" t="s">
        <v>87</v>
      </c>
      <c r="Z44" s="272" t="s">
        <v>92</v>
      </c>
      <c r="AA44" s="721" t="s">
        <v>91</v>
      </c>
      <c r="AB44" s="424" t="s">
        <v>87</v>
      </c>
      <c r="AC44" s="272" t="s">
        <v>92</v>
      </c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269"/>
      <c r="FM44" s="269"/>
      <c r="FN44" s="269"/>
      <c r="FO44" s="269"/>
      <c r="FP44" s="269"/>
      <c r="FQ44" s="269"/>
      <c r="FR44" s="269"/>
      <c r="FS44" s="269"/>
      <c r="FT44" s="269"/>
      <c r="FU44" s="269"/>
      <c r="FV44" s="269"/>
      <c r="FW44" s="269"/>
      <c r="FX44" s="269"/>
      <c r="FY44" s="269"/>
      <c r="FZ44" s="269"/>
      <c r="GA44" s="269"/>
      <c r="GB44" s="269"/>
      <c r="GC44" s="269"/>
      <c r="GD44" s="269"/>
      <c r="GE44" s="269"/>
      <c r="GF44" s="269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/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69"/>
      <c r="HF44" s="269"/>
      <c r="HG44" s="269"/>
      <c r="HH44" s="269"/>
      <c r="HI44" s="269"/>
      <c r="HJ44" s="269"/>
      <c r="HK44" s="269"/>
      <c r="HL44" s="269"/>
      <c r="HM44" s="269"/>
      <c r="HN44" s="269"/>
      <c r="HO44" s="269"/>
    </row>
    <row r="45" spans="1:29" ht="12.75" customHeight="1">
      <c r="A45" s="273"/>
      <c r="B45" s="317"/>
      <c r="C45" s="317"/>
      <c r="D45" s="342"/>
      <c r="E45" s="317"/>
      <c r="F45" s="277"/>
      <c r="G45" s="1241" t="s">
        <v>459</v>
      </c>
      <c r="H45" s="1242"/>
      <c r="I45" s="1242"/>
      <c r="J45" s="1139">
        <v>120637200</v>
      </c>
      <c r="K45" s="1115">
        <f>SUM(J45:J50)</f>
        <v>121074822</v>
      </c>
      <c r="L45" s="1123" t="s">
        <v>738</v>
      </c>
      <c r="M45" s="1124"/>
      <c r="N45" s="1124"/>
      <c r="O45" s="1124"/>
      <c r="P45" s="1135">
        <f>5650000+1358500</f>
        <v>7008500</v>
      </c>
      <c r="Q45" s="1115">
        <f>SUM(P45:P50)</f>
        <v>10915892</v>
      </c>
      <c r="R45" s="1154" t="s">
        <v>1201</v>
      </c>
      <c r="S45" s="1155"/>
      <c r="T45" s="1155"/>
      <c r="U45" s="1155"/>
      <c r="V45" s="1135">
        <f>250000+179000+21400</f>
        <v>450400</v>
      </c>
      <c r="W45" s="1115">
        <f>SUM(V45:V50)</f>
        <v>6560898</v>
      </c>
      <c r="X45" s="357"/>
      <c r="Y45" s="358"/>
      <c r="Z45" s="359"/>
      <c r="AA45" s="273"/>
      <c r="AB45" s="291"/>
      <c r="AC45" s="292"/>
    </row>
    <row r="46" spans="1:29" ht="12.75" customHeight="1">
      <c r="A46" s="360"/>
      <c r="B46" s="315"/>
      <c r="C46" s="315"/>
      <c r="D46" s="361"/>
      <c r="E46" s="317"/>
      <c r="F46" s="318"/>
      <c r="G46" s="1243"/>
      <c r="H46" s="1244"/>
      <c r="I46" s="1244"/>
      <c r="J46" s="1140"/>
      <c r="K46" s="1116"/>
      <c r="L46" s="1125"/>
      <c r="M46" s="1126"/>
      <c r="N46" s="1126"/>
      <c r="O46" s="1126"/>
      <c r="P46" s="1136"/>
      <c r="Q46" s="1116"/>
      <c r="R46" s="1156"/>
      <c r="S46" s="1157"/>
      <c r="T46" s="1157"/>
      <c r="U46" s="1157"/>
      <c r="V46" s="1136"/>
      <c r="W46" s="1116"/>
      <c r="X46" s="362"/>
      <c r="Y46" s="300"/>
      <c r="Z46" s="290"/>
      <c r="AA46" s="301"/>
      <c r="AB46" s="302"/>
      <c r="AC46" s="303"/>
    </row>
    <row r="47" spans="1:29" ht="24.75" customHeight="1">
      <c r="A47" s="360"/>
      <c r="B47" s="1137" t="s">
        <v>482</v>
      </c>
      <c r="C47" s="1138"/>
      <c r="D47" s="347">
        <f>SUM('6. kiadások megbontása'!D76)</f>
        <v>128805007</v>
      </c>
      <c r="E47" s="297">
        <f>SUM('6. kiadások megbontása'!E76)</f>
        <v>8833887</v>
      </c>
      <c r="F47" s="298">
        <f>SUM(D47:E47)</f>
        <v>137638894</v>
      </c>
      <c r="G47" s="1158" t="s">
        <v>894</v>
      </c>
      <c r="H47" s="1126"/>
      <c r="I47" s="1126"/>
      <c r="J47" s="453">
        <f>460075-64055</f>
        <v>396020</v>
      </c>
      <c r="K47" s="1116"/>
      <c r="L47" s="1125" t="s">
        <v>115</v>
      </c>
      <c r="M47" s="1126"/>
      <c r="N47" s="1126"/>
      <c r="O47" s="1126"/>
      <c r="P47" s="449">
        <f>368160-275880-67200</f>
        <v>25080</v>
      </c>
      <c r="Q47" s="1116"/>
      <c r="R47" s="1156" t="s">
        <v>513</v>
      </c>
      <c r="S47" s="1157"/>
      <c r="T47" s="1157"/>
      <c r="U47" s="1157"/>
      <c r="V47" s="448">
        <f>4926466+585933</f>
        <v>5512399</v>
      </c>
      <c r="W47" s="1116"/>
      <c r="X47" s="362">
        <f>SUM(W45,Q45,K45)</f>
        <v>138551612</v>
      </c>
      <c r="Y47" s="300">
        <v>0</v>
      </c>
      <c r="Z47" s="312">
        <f>SUM(Y47,X47)</f>
        <v>138551612</v>
      </c>
      <c r="AA47" s="310">
        <f>X47-D47</f>
        <v>9746605</v>
      </c>
      <c r="AB47" s="311">
        <f>Y47-E47</f>
        <v>-8833887</v>
      </c>
      <c r="AC47" s="303">
        <f>SUM(AA47:AB47)</f>
        <v>912718</v>
      </c>
    </row>
    <row r="48" spans="1:29" ht="18" customHeight="1">
      <c r="A48" s="360"/>
      <c r="B48" s="294"/>
      <c r="C48" s="294"/>
      <c r="D48" s="347"/>
      <c r="E48" s="297"/>
      <c r="F48" s="298"/>
      <c r="G48" s="1148" t="s">
        <v>899</v>
      </c>
      <c r="H48" s="1148"/>
      <c r="I48" s="1148"/>
      <c r="J48" s="278">
        <v>41602</v>
      </c>
      <c r="K48" s="1116"/>
      <c r="L48" s="1125" t="s">
        <v>814</v>
      </c>
      <c r="M48" s="1126"/>
      <c r="N48" s="1126"/>
      <c r="O48" s="1126"/>
      <c r="P48" s="449">
        <f>581210+1294188</f>
        <v>1875398</v>
      </c>
      <c r="Q48" s="1116"/>
      <c r="R48" s="1156" t="s">
        <v>744</v>
      </c>
      <c r="S48" s="1157"/>
      <c r="T48" s="1157"/>
      <c r="U48" s="1157"/>
      <c r="V48" s="448">
        <v>439819</v>
      </c>
      <c r="W48" s="1116"/>
      <c r="X48" s="362"/>
      <c r="Y48" s="300"/>
      <c r="Z48" s="312"/>
      <c r="AA48" s="310"/>
      <c r="AB48" s="311"/>
      <c r="AC48" s="303"/>
    </row>
    <row r="49" spans="1:29" ht="18" customHeight="1" thickBot="1">
      <c r="A49" s="360"/>
      <c r="B49" s="294"/>
      <c r="C49" s="294"/>
      <c r="D49" s="347"/>
      <c r="E49" s="297"/>
      <c r="F49" s="298"/>
      <c r="G49" s="281"/>
      <c r="H49" s="281"/>
      <c r="I49" s="281"/>
      <c r="J49" s="278"/>
      <c r="K49" s="1116"/>
      <c r="L49" s="1125" t="s">
        <v>882</v>
      </c>
      <c r="M49" s="1126"/>
      <c r="N49" s="1126"/>
      <c r="O49" s="1126"/>
      <c r="P49" s="449">
        <f>1969798+37116</f>
        <v>2006914</v>
      </c>
      <c r="Q49" s="1116"/>
      <c r="R49" s="1156" t="s">
        <v>1202</v>
      </c>
      <c r="S49" s="1157"/>
      <c r="T49" s="1157"/>
      <c r="U49" s="1157"/>
      <c r="V49" s="453">
        <f>158279+1</f>
        <v>158280</v>
      </c>
      <c r="W49" s="1116"/>
      <c r="X49" s="362"/>
      <c r="Y49" s="300"/>
      <c r="Z49" s="312"/>
      <c r="AA49" s="310"/>
      <c r="AB49" s="311"/>
      <c r="AC49" s="303"/>
    </row>
    <row r="50" spans="1:29" ht="23.25" customHeight="1" thickBot="1">
      <c r="A50" s="1203" t="s">
        <v>483</v>
      </c>
      <c r="B50" s="1137"/>
      <c r="C50" s="1138"/>
      <c r="D50" s="347">
        <f>'6. kiadások megbontása'!G76</f>
        <v>3346000</v>
      </c>
      <c r="E50" s="297">
        <f>'6. kiadások megbontása'!H76</f>
        <v>0</v>
      </c>
      <c r="F50" s="298">
        <f>SUM(D50:E50)</f>
        <v>3346000</v>
      </c>
      <c r="G50" s="962"/>
      <c r="H50" s="962"/>
      <c r="I50" s="962"/>
      <c r="J50" s="963"/>
      <c r="K50" s="964"/>
      <c r="L50" s="1159"/>
      <c r="M50" s="1160"/>
      <c r="N50" s="1160"/>
      <c r="O50" s="1160"/>
      <c r="P50" s="965"/>
      <c r="Q50" s="964"/>
      <c r="R50" s="1152"/>
      <c r="S50" s="1153"/>
      <c r="T50" s="1153"/>
      <c r="U50" s="1153"/>
      <c r="V50" s="966"/>
      <c r="W50" s="964"/>
      <c r="X50" s="967"/>
      <c r="Y50" s="968"/>
      <c r="Z50" s="969"/>
      <c r="AA50" s="970"/>
      <c r="AB50" s="971"/>
      <c r="AC50" s="972"/>
    </row>
    <row r="51" spans="1:29" ht="16.5" thickBot="1">
      <c r="A51" s="1235" t="s">
        <v>101</v>
      </c>
      <c r="B51" s="1236"/>
      <c r="C51" s="1237"/>
      <c r="D51" s="428">
        <f>SUM(D45:D50)</f>
        <v>132151007</v>
      </c>
      <c r="E51" s="429">
        <f>SUM(E45:E50)</f>
        <v>8833887</v>
      </c>
      <c r="F51" s="430">
        <f>SUM(F45:F50)</f>
        <v>140984894</v>
      </c>
      <c r="G51" s="433"/>
      <c r="H51" s="1221" t="s">
        <v>97</v>
      </c>
      <c r="I51" s="1222"/>
      <c r="J51" s="1223"/>
      <c r="K51" s="434">
        <f>SUM(K45:K50)</f>
        <v>121074822</v>
      </c>
      <c r="L51" s="351"/>
      <c r="M51" s="1113" t="s">
        <v>98</v>
      </c>
      <c r="N51" s="1113"/>
      <c r="O51" s="1113"/>
      <c r="P51" s="1114"/>
      <c r="Q51" s="434">
        <f>SUM(Q45:Q50)</f>
        <v>10915892</v>
      </c>
      <c r="R51" s="400"/>
      <c r="S51" s="1113" t="s">
        <v>99</v>
      </c>
      <c r="T51" s="1113"/>
      <c r="U51" s="1113"/>
      <c r="V51" s="1114"/>
      <c r="W51" s="435">
        <f>SUM(W45:W50)</f>
        <v>6560898</v>
      </c>
      <c r="X51" s="436">
        <f>SUM(X45:X50)</f>
        <v>138551612</v>
      </c>
      <c r="Y51" s="352">
        <v>0</v>
      </c>
      <c r="Z51" s="353">
        <f>SUM(X51:Y51)</f>
        <v>138551612</v>
      </c>
      <c r="AA51" s="354">
        <f>X51-D51</f>
        <v>6400605</v>
      </c>
      <c r="AB51" s="355">
        <f>Y51-E51</f>
        <v>-8833887</v>
      </c>
      <c r="AC51" s="437">
        <f>SUM(AA51:AB51)</f>
        <v>-2433282</v>
      </c>
    </row>
    <row r="52" spans="1:29" ht="27.75" customHeight="1" thickBot="1" thickTop="1">
      <c r="A52" s="1141" t="s">
        <v>778</v>
      </c>
      <c r="B52" s="1142"/>
      <c r="C52" s="1143"/>
      <c r="D52" s="1219" t="s">
        <v>358</v>
      </c>
      <c r="E52" s="1130"/>
      <c r="F52" s="1220"/>
      <c r="G52" s="1149" t="s">
        <v>507</v>
      </c>
      <c r="H52" s="1130"/>
      <c r="I52" s="1130"/>
      <c r="J52" s="1130"/>
      <c r="K52" s="1131"/>
      <c r="L52" s="1129" t="s">
        <v>508</v>
      </c>
      <c r="M52" s="1130"/>
      <c r="N52" s="1130"/>
      <c r="O52" s="1130"/>
      <c r="P52" s="1130"/>
      <c r="Q52" s="1131"/>
      <c r="R52" s="1129" t="s">
        <v>509</v>
      </c>
      <c r="S52" s="1130"/>
      <c r="T52" s="1130"/>
      <c r="U52" s="1130"/>
      <c r="V52" s="1130"/>
      <c r="W52" s="1220"/>
      <c r="X52" s="1169" t="s">
        <v>510</v>
      </c>
      <c r="Y52" s="1170"/>
      <c r="Z52" s="1170"/>
      <c r="AA52" s="1161" t="s">
        <v>90</v>
      </c>
      <c r="AB52" s="1162"/>
      <c r="AC52" s="1163"/>
    </row>
    <row r="53" spans="1:223" s="356" customFormat="1" ht="18.75" customHeight="1" thickBot="1" thickTop="1">
      <c r="A53" s="1144"/>
      <c r="B53" s="1145"/>
      <c r="C53" s="1146"/>
      <c r="D53" s="424" t="s">
        <v>91</v>
      </c>
      <c r="E53" s="741" t="s">
        <v>87</v>
      </c>
      <c r="F53" s="272" t="s">
        <v>92</v>
      </c>
      <c r="G53" s="1150"/>
      <c r="H53" s="1133"/>
      <c r="I53" s="1133"/>
      <c r="J53" s="1151"/>
      <c r="K53" s="1134"/>
      <c r="L53" s="1132"/>
      <c r="M53" s="1133"/>
      <c r="N53" s="1133"/>
      <c r="O53" s="1133"/>
      <c r="P53" s="1133"/>
      <c r="Q53" s="1134"/>
      <c r="R53" s="1132"/>
      <c r="S53" s="1133"/>
      <c r="T53" s="1133"/>
      <c r="U53" s="1133"/>
      <c r="V53" s="1133"/>
      <c r="W53" s="1133"/>
      <c r="X53" s="728" t="s">
        <v>91</v>
      </c>
      <c r="Y53" s="729" t="s">
        <v>87</v>
      </c>
      <c r="Z53" s="272" t="s">
        <v>92</v>
      </c>
      <c r="AA53" s="721" t="s">
        <v>91</v>
      </c>
      <c r="AB53" s="424" t="s">
        <v>87</v>
      </c>
      <c r="AC53" s="272" t="s">
        <v>92</v>
      </c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69"/>
      <c r="DB53" s="269"/>
      <c r="DC53" s="269"/>
      <c r="DD53" s="269"/>
      <c r="DE53" s="269"/>
      <c r="DF53" s="269"/>
      <c r="DG53" s="269"/>
      <c r="DH53" s="269"/>
      <c r="DI53" s="269"/>
      <c r="DJ53" s="269"/>
      <c r="DK53" s="269"/>
      <c r="DL53" s="269"/>
      <c r="DM53" s="269"/>
      <c r="DN53" s="269"/>
      <c r="DO53" s="269"/>
      <c r="DP53" s="269"/>
      <c r="DQ53" s="269"/>
      <c r="DR53" s="269"/>
      <c r="DS53" s="269"/>
      <c r="DT53" s="269"/>
      <c r="DU53" s="269"/>
      <c r="DV53" s="269"/>
      <c r="DW53" s="269"/>
      <c r="DX53" s="269"/>
      <c r="DY53" s="269"/>
      <c r="DZ53" s="269"/>
      <c r="EA53" s="269"/>
      <c r="EB53" s="269"/>
      <c r="EC53" s="269"/>
      <c r="ED53" s="269"/>
      <c r="EE53" s="269"/>
      <c r="EF53" s="269"/>
      <c r="EG53" s="269"/>
      <c r="EH53" s="269"/>
      <c r="EI53" s="269"/>
      <c r="EJ53" s="269"/>
      <c r="EK53" s="269"/>
      <c r="EL53" s="269"/>
      <c r="EM53" s="269"/>
      <c r="EN53" s="269"/>
      <c r="EO53" s="269"/>
      <c r="EP53" s="269"/>
      <c r="EQ53" s="269"/>
      <c r="ER53" s="269"/>
      <c r="ES53" s="269"/>
      <c r="ET53" s="269"/>
      <c r="EU53" s="269"/>
      <c r="EV53" s="269"/>
      <c r="EW53" s="269"/>
      <c r="EX53" s="269"/>
      <c r="EY53" s="269"/>
      <c r="EZ53" s="269"/>
      <c r="FA53" s="269"/>
      <c r="FB53" s="269"/>
      <c r="FC53" s="269"/>
      <c r="FD53" s="269"/>
      <c r="FE53" s="269"/>
      <c r="FF53" s="269"/>
      <c r="FG53" s="269"/>
      <c r="FH53" s="269"/>
      <c r="FI53" s="269"/>
      <c r="FJ53" s="269"/>
      <c r="FK53" s="269"/>
      <c r="FL53" s="269"/>
      <c r="FM53" s="269"/>
      <c r="FN53" s="269"/>
      <c r="FO53" s="269"/>
      <c r="FP53" s="269"/>
      <c r="FQ53" s="269"/>
      <c r="FR53" s="269"/>
      <c r="FS53" s="269"/>
      <c r="FT53" s="269"/>
      <c r="FU53" s="269"/>
      <c r="FV53" s="269"/>
      <c r="FW53" s="269"/>
      <c r="FX53" s="269"/>
      <c r="FY53" s="269"/>
      <c r="FZ53" s="269"/>
      <c r="GA53" s="269"/>
      <c r="GB53" s="269"/>
      <c r="GC53" s="269"/>
      <c r="GD53" s="269"/>
      <c r="GE53" s="269"/>
      <c r="GF53" s="269"/>
      <c r="GG53" s="269"/>
      <c r="GH53" s="269"/>
      <c r="GI53" s="269"/>
      <c r="GJ53" s="269"/>
      <c r="GK53" s="269"/>
      <c r="GL53" s="269"/>
      <c r="GM53" s="269"/>
      <c r="GN53" s="269"/>
      <c r="GO53" s="269"/>
      <c r="GP53" s="269"/>
      <c r="GQ53" s="269"/>
      <c r="GR53" s="269"/>
      <c r="GS53" s="269"/>
      <c r="GT53" s="269"/>
      <c r="GU53" s="269"/>
      <c r="GV53" s="269"/>
      <c r="GW53" s="269"/>
      <c r="GX53" s="269"/>
      <c r="GY53" s="269"/>
      <c r="GZ53" s="269"/>
      <c r="HA53" s="269"/>
      <c r="HB53" s="269"/>
      <c r="HC53" s="269"/>
      <c r="HD53" s="269"/>
      <c r="HE53" s="269"/>
      <c r="HF53" s="269"/>
      <c r="HG53" s="269"/>
      <c r="HH53" s="269"/>
      <c r="HI53" s="269"/>
      <c r="HJ53" s="269"/>
      <c r="HK53" s="269"/>
      <c r="HL53" s="269"/>
      <c r="HM53" s="269"/>
      <c r="HN53" s="269"/>
      <c r="HO53" s="269"/>
    </row>
    <row r="54" spans="1:29" ht="26.25" customHeight="1">
      <c r="A54" s="273"/>
      <c r="B54" s="317"/>
      <c r="C54" s="317"/>
      <c r="D54" s="342"/>
      <c r="E54" s="317"/>
      <c r="F54" s="277"/>
      <c r="G54" s="1194" t="s">
        <v>533</v>
      </c>
      <c r="H54" s="1128"/>
      <c r="I54" s="1128"/>
      <c r="J54" s="431">
        <v>10661310</v>
      </c>
      <c r="K54" s="1115">
        <f>SUM(J54:J56)</f>
        <v>11426107</v>
      </c>
      <c r="L54" s="1119"/>
      <c r="M54" s="1120"/>
      <c r="N54" s="1120"/>
      <c r="O54" s="1120"/>
      <c r="P54" s="1135"/>
      <c r="Q54" s="1115">
        <f>SUM(P54:P56)</f>
        <v>0</v>
      </c>
      <c r="R54" s="1156" t="s">
        <v>815</v>
      </c>
      <c r="S54" s="1157"/>
      <c r="T54" s="1157"/>
      <c r="U54" s="1157"/>
      <c r="V54" s="453">
        <f>127710-51312-13878</f>
        <v>62520</v>
      </c>
      <c r="W54" s="1175">
        <f>SUM(V54:V56)</f>
        <v>1583520</v>
      </c>
      <c r="X54" s="725"/>
      <c r="Y54" s="358"/>
      <c r="Z54" s="359"/>
      <c r="AA54" s="273"/>
      <c r="AB54" s="291"/>
      <c r="AC54" s="292"/>
    </row>
    <row r="55" spans="1:29" ht="19.5" customHeight="1">
      <c r="A55" s="360"/>
      <c r="B55" s="315"/>
      <c r="C55" s="315"/>
      <c r="D55" s="361"/>
      <c r="E55" s="317"/>
      <c r="F55" s="318"/>
      <c r="G55" s="1147" t="s">
        <v>903</v>
      </c>
      <c r="H55" s="1148"/>
      <c r="I55" s="1148"/>
      <c r="J55" s="432">
        <f>1004278-239481</f>
        <v>764797</v>
      </c>
      <c r="K55" s="1116"/>
      <c r="L55" s="1127"/>
      <c r="M55" s="1128"/>
      <c r="N55" s="1128"/>
      <c r="O55" s="1128"/>
      <c r="P55" s="1136"/>
      <c r="Q55" s="1116"/>
      <c r="R55" s="1156" t="s">
        <v>816</v>
      </c>
      <c r="S55" s="1157"/>
      <c r="T55" s="1157"/>
      <c r="U55" s="1157"/>
      <c r="V55" s="453">
        <f>3458889+1-2652628-651522+66142+17858+1028162+156763</f>
        <v>1423665</v>
      </c>
      <c r="W55" s="1176"/>
      <c r="X55" s="724"/>
      <c r="Y55" s="300"/>
      <c r="Z55" s="290"/>
      <c r="AA55" s="301"/>
      <c r="AB55" s="302"/>
      <c r="AC55" s="303"/>
    </row>
    <row r="56" spans="1:29" ht="21" customHeight="1" thickBot="1">
      <c r="A56" s="360"/>
      <c r="B56" s="1137" t="s">
        <v>482</v>
      </c>
      <c r="C56" s="1138"/>
      <c r="D56" s="347">
        <f>SUM('6. kiadások megbontása'!D95)</f>
        <v>6275437</v>
      </c>
      <c r="E56" s="297">
        <f>SUM('6. kiadások megbontása'!E95)</f>
        <v>51440</v>
      </c>
      <c r="F56" s="298">
        <f>SUM(D56:E56)</f>
        <v>6326877</v>
      </c>
      <c r="G56" s="281"/>
      <c r="H56" s="281"/>
      <c r="I56" s="281"/>
      <c r="J56" s="432"/>
      <c r="K56" s="1116"/>
      <c r="L56" s="1127"/>
      <c r="M56" s="1128"/>
      <c r="N56" s="1128"/>
      <c r="O56" s="1128"/>
      <c r="P56" s="449"/>
      <c r="Q56" s="1116"/>
      <c r="R56" s="1156" t="s">
        <v>854</v>
      </c>
      <c r="S56" s="1157"/>
      <c r="T56" s="1157"/>
      <c r="U56" s="1157"/>
      <c r="V56" s="448">
        <f>457835-360500</f>
        <v>97335</v>
      </c>
      <c r="W56" s="1176"/>
      <c r="X56" s="724">
        <f>SUM(W54,Q54,K54)</f>
        <v>13009627</v>
      </c>
      <c r="Y56" s="300">
        <v>0</v>
      </c>
      <c r="Z56" s="312">
        <f>SUM(Y56,X56)</f>
        <v>13009627</v>
      </c>
      <c r="AA56" s="310">
        <f>X56-D56</f>
        <v>6734190</v>
      </c>
      <c r="AB56" s="311">
        <f>Y56-E56</f>
        <v>-51440</v>
      </c>
      <c r="AC56" s="303">
        <f>SUM(AA56:AB56)</f>
        <v>6682750</v>
      </c>
    </row>
    <row r="57" spans="1:29" ht="15.75">
      <c r="A57" s="385"/>
      <c r="B57" s="386"/>
      <c r="C57" s="438"/>
      <c r="D57" s="387"/>
      <c r="E57" s="388"/>
      <c r="F57" s="389"/>
      <c r="G57" s="1166"/>
      <c r="H57" s="1167"/>
      <c r="I57" s="1167"/>
      <c r="J57" s="390"/>
      <c r="K57" s="1115">
        <f>SUM(J57:J58)</f>
        <v>0</v>
      </c>
      <c r="L57" s="1168"/>
      <c r="M57" s="1167"/>
      <c r="N57" s="1167"/>
      <c r="O57" s="1167"/>
      <c r="P57" s="390"/>
      <c r="Q57" s="1115">
        <f>SUM(P57:P58)</f>
        <v>0</v>
      </c>
      <c r="R57" s="391"/>
      <c r="S57" s="392"/>
      <c r="T57" s="392"/>
      <c r="U57" s="392"/>
      <c r="V57" s="393"/>
      <c r="W57" s="1164">
        <f>SUM(V57:V58)</f>
        <v>0</v>
      </c>
      <c r="X57" s="762"/>
      <c r="Y57" s="394"/>
      <c r="Z57" s="395"/>
      <c r="AA57" s="396"/>
      <c r="AB57" s="397"/>
      <c r="AC57" s="398"/>
    </row>
    <row r="58" spans="1:29" ht="16.5" thickBot="1">
      <c r="A58" s="1203" t="s">
        <v>483</v>
      </c>
      <c r="B58" s="1137"/>
      <c r="C58" s="1138"/>
      <c r="D58" s="347">
        <f>SUM('6. kiadások megbontása'!G95)</f>
        <v>0</v>
      </c>
      <c r="E58" s="297">
        <f>SUM('6. kiadások megbontása'!H95)</f>
        <v>0</v>
      </c>
      <c r="F58" s="298">
        <f>SUM(D58:E58)</f>
        <v>0</v>
      </c>
      <c r="G58" s="320"/>
      <c r="H58" s="321"/>
      <c r="I58" s="321"/>
      <c r="J58" s="399"/>
      <c r="K58" s="1202"/>
      <c r="L58" s="1148"/>
      <c r="M58" s="1148"/>
      <c r="N58" s="1148"/>
      <c r="O58" s="1148"/>
      <c r="P58" s="278"/>
      <c r="Q58" s="1202"/>
      <c r="R58" s="1282"/>
      <c r="S58" s="1273"/>
      <c r="T58" s="1273"/>
      <c r="U58" s="1273"/>
      <c r="V58" s="319"/>
      <c r="W58" s="1165"/>
      <c r="X58" s="763">
        <v>0</v>
      </c>
      <c r="Y58" s="300">
        <v>0</v>
      </c>
      <c r="Z58" s="312">
        <f>SUM(X58:Y58)</f>
        <v>0</v>
      </c>
      <c r="AA58" s="382">
        <f>X57-D58</f>
        <v>0</v>
      </c>
      <c r="AB58" s="311">
        <f>Y58-E58</f>
        <v>0</v>
      </c>
      <c r="AC58" s="313">
        <f>SUM(AA58:AB58)</f>
        <v>0</v>
      </c>
    </row>
    <row r="59" spans="1:223" s="425" customFormat="1" ht="33.75" customHeight="1" thickBot="1">
      <c r="A59" s="1227" t="s">
        <v>857</v>
      </c>
      <c r="B59" s="1228"/>
      <c r="C59" s="1229"/>
      <c r="D59" s="709">
        <f>SUM(D54:D58)</f>
        <v>6275437</v>
      </c>
      <c r="E59" s="710">
        <f>SUM(E54:E58)</f>
        <v>51440</v>
      </c>
      <c r="F59" s="711">
        <f>SUM(F54:F58)</f>
        <v>6326877</v>
      </c>
      <c r="G59" s="712"/>
      <c r="H59" s="1187" t="s">
        <v>97</v>
      </c>
      <c r="I59" s="1188"/>
      <c r="J59" s="1189"/>
      <c r="K59" s="713">
        <f>SUM(K57+K54)</f>
        <v>11426107</v>
      </c>
      <c r="L59" s="439"/>
      <c r="M59" s="1117" t="s">
        <v>98</v>
      </c>
      <c r="N59" s="1117"/>
      <c r="O59" s="1117"/>
      <c r="P59" s="1118"/>
      <c r="Q59" s="713">
        <f>SUM(Q54:Q58)</f>
        <v>0</v>
      </c>
      <c r="R59" s="441"/>
      <c r="S59" s="1117" t="s">
        <v>99</v>
      </c>
      <c r="T59" s="1117"/>
      <c r="U59" s="1117"/>
      <c r="V59" s="1118"/>
      <c r="W59" s="714">
        <f>SUM(W54:W58)</f>
        <v>1583520</v>
      </c>
      <c r="X59" s="715">
        <f>SUM(X54:X57)</f>
        <v>13009627</v>
      </c>
      <c r="Y59" s="716">
        <v>0</v>
      </c>
      <c r="Z59" s="717">
        <f>SUM(X59:Y59)</f>
        <v>13009627</v>
      </c>
      <c r="AA59" s="718">
        <f>X59-D59</f>
        <v>6734190</v>
      </c>
      <c r="AB59" s="719">
        <f>Y59-E59</f>
        <v>-51440</v>
      </c>
      <c r="AC59" s="437">
        <f>SUM(AA59:AB59)</f>
        <v>6682750</v>
      </c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7"/>
      <c r="BM59" s="447"/>
      <c r="BN59" s="447"/>
      <c r="BO59" s="447"/>
      <c r="BP59" s="447"/>
      <c r="BQ59" s="447"/>
      <c r="BR59" s="447"/>
      <c r="BS59" s="447"/>
      <c r="BT59" s="447"/>
      <c r="BU59" s="447"/>
      <c r="BV59" s="447"/>
      <c r="BW59" s="447"/>
      <c r="BX59" s="447"/>
      <c r="BY59" s="447"/>
      <c r="BZ59" s="447"/>
      <c r="CA59" s="447"/>
      <c r="CB59" s="447"/>
      <c r="CC59" s="447"/>
      <c r="CD59" s="447"/>
      <c r="CE59" s="447"/>
      <c r="CF59" s="447"/>
      <c r="CG59" s="447"/>
      <c r="CH59" s="447"/>
      <c r="CI59" s="447"/>
      <c r="CJ59" s="447"/>
      <c r="CK59" s="447"/>
      <c r="CL59" s="447"/>
      <c r="CM59" s="447"/>
      <c r="CN59" s="447"/>
      <c r="CO59" s="447"/>
      <c r="CP59" s="447"/>
      <c r="CQ59" s="447"/>
      <c r="CR59" s="447"/>
      <c r="CS59" s="447"/>
      <c r="CT59" s="447"/>
      <c r="CU59" s="447"/>
      <c r="CV59" s="447"/>
      <c r="CW59" s="447"/>
      <c r="CX59" s="447"/>
      <c r="CY59" s="447"/>
      <c r="CZ59" s="447"/>
      <c r="DA59" s="447"/>
      <c r="DB59" s="447"/>
      <c r="DC59" s="447"/>
      <c r="DD59" s="447"/>
      <c r="DE59" s="447"/>
      <c r="DF59" s="447"/>
      <c r="DG59" s="447"/>
      <c r="DH59" s="447"/>
      <c r="DI59" s="447"/>
      <c r="DJ59" s="447"/>
      <c r="DK59" s="447"/>
      <c r="DL59" s="447"/>
      <c r="DM59" s="447"/>
      <c r="DN59" s="447"/>
      <c r="DO59" s="447"/>
      <c r="DP59" s="447"/>
      <c r="DQ59" s="447"/>
      <c r="DR59" s="447"/>
      <c r="DS59" s="447"/>
      <c r="DT59" s="447"/>
      <c r="DU59" s="447"/>
      <c r="DV59" s="447"/>
      <c r="DW59" s="447"/>
      <c r="DX59" s="447"/>
      <c r="DY59" s="447"/>
      <c r="DZ59" s="447"/>
      <c r="EA59" s="447"/>
      <c r="EB59" s="447"/>
      <c r="EC59" s="447"/>
      <c r="ED59" s="447"/>
      <c r="EE59" s="447"/>
      <c r="EF59" s="447"/>
      <c r="EG59" s="447"/>
      <c r="EH59" s="447"/>
      <c r="EI59" s="447"/>
      <c r="EJ59" s="447"/>
      <c r="EK59" s="447"/>
      <c r="EL59" s="447"/>
      <c r="EM59" s="447"/>
      <c r="EN59" s="447"/>
      <c r="EO59" s="447"/>
      <c r="EP59" s="447"/>
      <c r="EQ59" s="447"/>
      <c r="ER59" s="447"/>
      <c r="ES59" s="447"/>
      <c r="ET59" s="447"/>
      <c r="EU59" s="447"/>
      <c r="EV59" s="447"/>
      <c r="EW59" s="447"/>
      <c r="EX59" s="447"/>
      <c r="EY59" s="447"/>
      <c r="EZ59" s="447"/>
      <c r="FA59" s="447"/>
      <c r="FB59" s="447"/>
      <c r="FC59" s="447"/>
      <c r="FD59" s="447"/>
      <c r="FE59" s="447"/>
      <c r="FF59" s="447"/>
      <c r="FG59" s="447"/>
      <c r="FH59" s="447"/>
      <c r="FI59" s="447"/>
      <c r="FJ59" s="447"/>
      <c r="FK59" s="447"/>
      <c r="FL59" s="447"/>
      <c r="FM59" s="447"/>
      <c r="FN59" s="447"/>
      <c r="FO59" s="447"/>
      <c r="FP59" s="447"/>
      <c r="FQ59" s="447"/>
      <c r="FR59" s="447"/>
      <c r="FS59" s="447"/>
      <c r="FT59" s="447"/>
      <c r="FU59" s="447"/>
      <c r="FV59" s="447"/>
      <c r="FW59" s="447"/>
      <c r="FX59" s="447"/>
      <c r="FY59" s="447"/>
      <c r="FZ59" s="447"/>
      <c r="GA59" s="447"/>
      <c r="GB59" s="447"/>
      <c r="GC59" s="447"/>
      <c r="GD59" s="447"/>
      <c r="GE59" s="447"/>
      <c r="GF59" s="447"/>
      <c r="GG59" s="447"/>
      <c r="GH59" s="447"/>
      <c r="GI59" s="447"/>
      <c r="GJ59" s="447"/>
      <c r="GK59" s="447"/>
      <c r="GL59" s="447"/>
      <c r="GM59" s="447"/>
      <c r="GN59" s="447"/>
      <c r="GO59" s="447"/>
      <c r="GP59" s="447"/>
      <c r="GQ59" s="447"/>
      <c r="GR59" s="447"/>
      <c r="GS59" s="447"/>
      <c r="GT59" s="447"/>
      <c r="GU59" s="447"/>
      <c r="GV59" s="447"/>
      <c r="GW59" s="447"/>
      <c r="GX59" s="447"/>
      <c r="GY59" s="447"/>
      <c r="GZ59" s="447"/>
      <c r="HA59" s="447"/>
      <c r="HB59" s="447"/>
      <c r="HC59" s="447"/>
      <c r="HD59" s="447"/>
      <c r="HE59" s="447"/>
      <c r="HF59" s="447"/>
      <c r="HG59" s="447"/>
      <c r="HH59" s="447"/>
      <c r="HI59" s="447"/>
      <c r="HJ59" s="447"/>
      <c r="HK59" s="447"/>
      <c r="HL59" s="447"/>
      <c r="HM59" s="447"/>
      <c r="HN59" s="447"/>
      <c r="HO59" s="447"/>
    </row>
    <row r="60" spans="1:29" ht="17.25" thickBot="1" thickTop="1">
      <c r="A60" s="364"/>
      <c r="B60" s="365"/>
      <c r="C60" s="365"/>
      <c r="D60" s="366"/>
      <c r="E60" s="367"/>
      <c r="F60" s="368"/>
      <c r="G60" s="367"/>
      <c r="H60" s="367"/>
      <c r="I60" s="369"/>
      <c r="J60" s="369"/>
      <c r="K60" s="370"/>
      <c r="L60" s="371"/>
      <c r="M60" s="367"/>
      <c r="N60" s="367"/>
      <c r="O60" s="367"/>
      <c r="P60" s="367"/>
      <c r="Q60" s="370"/>
      <c r="R60" s="367"/>
      <c r="S60" s="367"/>
      <c r="T60" s="367"/>
      <c r="U60" s="367"/>
      <c r="V60" s="367"/>
      <c r="W60" s="372"/>
      <c r="X60" s="373"/>
      <c r="Y60" s="374"/>
      <c r="Z60" s="375"/>
      <c r="AA60" s="364"/>
      <c r="AB60" s="376"/>
      <c r="AC60" s="377"/>
    </row>
    <row r="61" spans="1:29" ht="14.25" thickBot="1" thickTop="1">
      <c r="A61" s="1141" t="s">
        <v>769</v>
      </c>
      <c r="B61" s="1224"/>
      <c r="C61" s="1224"/>
      <c r="D61" s="1219" t="s">
        <v>358</v>
      </c>
      <c r="E61" s="1130"/>
      <c r="F61" s="1220"/>
      <c r="G61" s="1149" t="s">
        <v>507</v>
      </c>
      <c r="H61" s="1230"/>
      <c r="I61" s="1230"/>
      <c r="J61" s="1230"/>
      <c r="K61" s="1231"/>
      <c r="L61" s="1129" t="s">
        <v>508</v>
      </c>
      <c r="M61" s="1245"/>
      <c r="N61" s="1245"/>
      <c r="O61" s="1245"/>
      <c r="P61" s="1245"/>
      <c r="Q61" s="1246"/>
      <c r="R61" s="1129" t="s">
        <v>509</v>
      </c>
      <c r="S61" s="1245"/>
      <c r="T61" s="1245"/>
      <c r="U61" s="1245"/>
      <c r="V61" s="1245"/>
      <c r="W61" s="1283"/>
      <c r="X61" s="1169" t="s">
        <v>510</v>
      </c>
      <c r="Y61" s="1170"/>
      <c r="Z61" s="1170"/>
      <c r="AA61" s="1161" t="s">
        <v>90</v>
      </c>
      <c r="AB61" s="1162"/>
      <c r="AC61" s="1163"/>
    </row>
    <row r="62" spans="1:223" s="636" customFormat="1" ht="32.25" customHeight="1" thickBot="1">
      <c r="A62" s="1225"/>
      <c r="B62" s="1226"/>
      <c r="C62" s="1226"/>
      <c r="D62" s="424" t="s">
        <v>91</v>
      </c>
      <c r="E62" s="741" t="s">
        <v>87</v>
      </c>
      <c r="F62" s="272" t="s">
        <v>92</v>
      </c>
      <c r="G62" s="1232"/>
      <c r="H62" s="1233"/>
      <c r="I62" s="1233"/>
      <c r="J62" s="1233"/>
      <c r="K62" s="1234"/>
      <c r="L62" s="1247"/>
      <c r="M62" s="1248"/>
      <c r="N62" s="1248"/>
      <c r="O62" s="1248"/>
      <c r="P62" s="1248"/>
      <c r="Q62" s="1249"/>
      <c r="R62" s="1247"/>
      <c r="S62" s="1248"/>
      <c r="T62" s="1248"/>
      <c r="U62" s="1248"/>
      <c r="V62" s="1248"/>
      <c r="W62" s="1284"/>
      <c r="X62" s="726" t="s">
        <v>91</v>
      </c>
      <c r="Y62" s="424" t="s">
        <v>87</v>
      </c>
      <c r="Z62" s="727" t="s">
        <v>92</v>
      </c>
      <c r="AA62" s="423" t="s">
        <v>91</v>
      </c>
      <c r="AB62" s="424" t="s">
        <v>87</v>
      </c>
      <c r="AC62" s="272" t="s">
        <v>92</v>
      </c>
      <c r="AD62" s="720"/>
      <c r="AE62" s="720"/>
      <c r="AF62" s="720"/>
      <c r="AG62" s="720"/>
      <c r="AH62" s="720"/>
      <c r="AI62" s="720"/>
      <c r="AJ62" s="720"/>
      <c r="AK62" s="720"/>
      <c r="AL62" s="720"/>
      <c r="AM62" s="720"/>
      <c r="AN62" s="720"/>
      <c r="AO62" s="720"/>
      <c r="AP62" s="720"/>
      <c r="AQ62" s="720"/>
      <c r="AR62" s="720"/>
      <c r="AS62" s="720"/>
      <c r="AT62" s="720"/>
      <c r="AU62" s="720"/>
      <c r="AV62" s="720"/>
      <c r="AW62" s="720"/>
      <c r="AX62" s="720"/>
      <c r="AY62" s="720"/>
      <c r="AZ62" s="720"/>
      <c r="BA62" s="720"/>
      <c r="BB62" s="720"/>
      <c r="BC62" s="720"/>
      <c r="BD62" s="720"/>
      <c r="BE62" s="720"/>
      <c r="BF62" s="720"/>
      <c r="BG62" s="720"/>
      <c r="BH62" s="720"/>
      <c r="BI62" s="720"/>
      <c r="BJ62" s="720"/>
      <c r="BK62" s="720"/>
      <c r="BL62" s="720"/>
      <c r="BM62" s="720"/>
      <c r="BN62" s="720"/>
      <c r="BO62" s="720"/>
      <c r="BP62" s="720"/>
      <c r="BQ62" s="720"/>
      <c r="BR62" s="720"/>
      <c r="BS62" s="720"/>
      <c r="BT62" s="720"/>
      <c r="BU62" s="720"/>
      <c r="BV62" s="720"/>
      <c r="BW62" s="720"/>
      <c r="BX62" s="720"/>
      <c r="BY62" s="720"/>
      <c r="BZ62" s="720"/>
      <c r="CA62" s="720"/>
      <c r="CB62" s="720"/>
      <c r="CC62" s="720"/>
      <c r="CD62" s="720"/>
      <c r="CE62" s="720"/>
      <c r="CF62" s="720"/>
      <c r="CG62" s="720"/>
      <c r="CH62" s="720"/>
      <c r="CI62" s="720"/>
      <c r="CJ62" s="720"/>
      <c r="CK62" s="720"/>
      <c r="CL62" s="720"/>
      <c r="CM62" s="720"/>
      <c r="CN62" s="720"/>
      <c r="CO62" s="720"/>
      <c r="CP62" s="720"/>
      <c r="CQ62" s="720"/>
      <c r="CR62" s="720"/>
      <c r="CS62" s="720"/>
      <c r="CT62" s="720"/>
      <c r="CU62" s="720"/>
      <c r="CV62" s="720"/>
      <c r="CW62" s="720"/>
      <c r="CX62" s="720"/>
      <c r="CY62" s="720"/>
      <c r="CZ62" s="720"/>
      <c r="DA62" s="720"/>
      <c r="DB62" s="720"/>
      <c r="DC62" s="720"/>
      <c r="DD62" s="720"/>
      <c r="DE62" s="720"/>
      <c r="DF62" s="720"/>
      <c r="DG62" s="720"/>
      <c r="DH62" s="720"/>
      <c r="DI62" s="720"/>
      <c r="DJ62" s="720"/>
      <c r="DK62" s="720"/>
      <c r="DL62" s="720"/>
      <c r="DM62" s="720"/>
      <c r="DN62" s="720"/>
      <c r="DO62" s="720"/>
      <c r="DP62" s="720"/>
      <c r="DQ62" s="720"/>
      <c r="DR62" s="720"/>
      <c r="DS62" s="720"/>
      <c r="DT62" s="720"/>
      <c r="DU62" s="720"/>
      <c r="DV62" s="720"/>
      <c r="DW62" s="720"/>
      <c r="DX62" s="720"/>
      <c r="DY62" s="720"/>
      <c r="DZ62" s="720"/>
      <c r="EA62" s="720"/>
      <c r="EB62" s="720"/>
      <c r="EC62" s="720"/>
      <c r="ED62" s="720"/>
      <c r="EE62" s="720"/>
      <c r="EF62" s="720"/>
      <c r="EG62" s="720"/>
      <c r="EH62" s="720"/>
      <c r="EI62" s="720"/>
      <c r="EJ62" s="720"/>
      <c r="EK62" s="720"/>
      <c r="EL62" s="720"/>
      <c r="EM62" s="720"/>
      <c r="EN62" s="720"/>
      <c r="EO62" s="720"/>
      <c r="EP62" s="720"/>
      <c r="EQ62" s="720"/>
      <c r="ER62" s="720"/>
      <c r="ES62" s="720"/>
      <c r="ET62" s="720"/>
      <c r="EU62" s="720"/>
      <c r="EV62" s="720"/>
      <c r="EW62" s="720"/>
      <c r="EX62" s="720"/>
      <c r="EY62" s="720"/>
      <c r="EZ62" s="720"/>
      <c r="FA62" s="720"/>
      <c r="FB62" s="720"/>
      <c r="FC62" s="720"/>
      <c r="FD62" s="720"/>
      <c r="FE62" s="720"/>
      <c r="FF62" s="720"/>
      <c r="FG62" s="720"/>
      <c r="FH62" s="720"/>
      <c r="FI62" s="720"/>
      <c r="FJ62" s="720"/>
      <c r="FK62" s="720"/>
      <c r="FL62" s="720"/>
      <c r="FM62" s="720"/>
      <c r="FN62" s="720"/>
      <c r="FO62" s="720"/>
      <c r="FP62" s="720"/>
      <c r="FQ62" s="720"/>
      <c r="FR62" s="720"/>
      <c r="FS62" s="720"/>
      <c r="FT62" s="720"/>
      <c r="FU62" s="720"/>
      <c r="FV62" s="720"/>
      <c r="FW62" s="720"/>
      <c r="FX62" s="720"/>
      <c r="FY62" s="720"/>
      <c r="FZ62" s="720"/>
      <c r="GA62" s="720"/>
      <c r="GB62" s="720"/>
      <c r="GC62" s="720"/>
      <c r="GD62" s="720"/>
      <c r="GE62" s="720"/>
      <c r="GF62" s="720"/>
      <c r="GG62" s="720"/>
      <c r="GH62" s="720"/>
      <c r="GI62" s="720"/>
      <c r="GJ62" s="720"/>
      <c r="GK62" s="720"/>
      <c r="GL62" s="720"/>
      <c r="GM62" s="720"/>
      <c r="GN62" s="720"/>
      <c r="GO62" s="720"/>
      <c r="GP62" s="720"/>
      <c r="GQ62" s="720"/>
      <c r="GR62" s="720"/>
      <c r="GS62" s="720"/>
      <c r="GT62" s="720"/>
      <c r="GU62" s="720"/>
      <c r="GV62" s="720"/>
      <c r="GW62" s="720"/>
      <c r="GX62" s="720"/>
      <c r="GY62" s="720"/>
      <c r="GZ62" s="720"/>
      <c r="HA62" s="720"/>
      <c r="HB62" s="720"/>
      <c r="HC62" s="720"/>
      <c r="HD62" s="720"/>
      <c r="HE62" s="720"/>
      <c r="HF62" s="720"/>
      <c r="HG62" s="720"/>
      <c r="HH62" s="720"/>
      <c r="HI62" s="720"/>
      <c r="HJ62" s="720"/>
      <c r="HK62" s="720"/>
      <c r="HL62" s="720"/>
      <c r="HM62" s="720"/>
      <c r="HN62" s="720"/>
      <c r="HO62" s="720"/>
    </row>
    <row r="63" spans="1:29" ht="25.5" customHeight="1">
      <c r="A63" s="360"/>
      <c r="B63" s="317"/>
      <c r="C63" s="317"/>
      <c r="D63" s="342"/>
      <c r="E63" s="317"/>
      <c r="F63" s="318"/>
      <c r="G63" s="1181" t="s">
        <v>469</v>
      </c>
      <c r="H63" s="1157"/>
      <c r="I63" s="1157"/>
      <c r="J63" s="449">
        <f>14052400+163400+381267</f>
        <v>14597067</v>
      </c>
      <c r="K63" s="1115">
        <f>SUM(J63:J73)</f>
        <v>179687289</v>
      </c>
      <c r="L63" s="1178" t="s">
        <v>811</v>
      </c>
      <c r="M63" s="1120"/>
      <c r="N63" s="1120"/>
      <c r="O63" s="1120"/>
      <c r="P63" s="449">
        <f>3971695-478968</f>
        <v>3492727</v>
      </c>
      <c r="Q63" s="1184">
        <f>SUM(P63:P73)</f>
        <v>3492727</v>
      </c>
      <c r="R63" s="1125" t="s">
        <v>514</v>
      </c>
      <c r="S63" s="1126"/>
      <c r="T63" s="1126"/>
      <c r="U63" s="1126"/>
      <c r="V63" s="453">
        <v>1223067</v>
      </c>
      <c r="W63" s="1164">
        <f>SUM(V63:V73)</f>
        <v>4252812</v>
      </c>
      <c r="X63" s="317"/>
      <c r="Y63" s="342"/>
      <c r="Z63" s="379"/>
      <c r="AA63" s="360"/>
      <c r="AB63" s="342"/>
      <c r="AC63" s="292"/>
    </row>
    <row r="64" spans="1:29" ht="25.5" customHeight="1">
      <c r="A64" s="360"/>
      <c r="B64" s="317"/>
      <c r="C64" s="341"/>
      <c r="D64" s="342"/>
      <c r="E64" s="317"/>
      <c r="F64" s="318"/>
      <c r="G64" s="1158" t="s">
        <v>620</v>
      </c>
      <c r="H64" s="1126"/>
      <c r="I64" s="1126"/>
      <c r="J64" s="449">
        <f>93484500+441900-1764000+735000+1767600</f>
        <v>94665000</v>
      </c>
      <c r="K64" s="1116"/>
      <c r="L64" s="1280"/>
      <c r="M64" s="1281"/>
      <c r="N64" s="1281"/>
      <c r="O64" s="1281"/>
      <c r="P64" s="319"/>
      <c r="Q64" s="1185"/>
      <c r="R64" s="1156" t="s">
        <v>744</v>
      </c>
      <c r="S64" s="1157"/>
      <c r="T64" s="1157"/>
      <c r="U64" s="1157"/>
      <c r="V64" s="453">
        <v>626145</v>
      </c>
      <c r="W64" s="1251"/>
      <c r="X64" s="278"/>
      <c r="Y64" s="302"/>
      <c r="Z64" s="290"/>
      <c r="AA64" s="301"/>
      <c r="AB64" s="302"/>
      <c r="AC64" s="303"/>
    </row>
    <row r="65" spans="1:29" ht="30" customHeight="1">
      <c r="A65" s="360"/>
      <c r="B65" s="317"/>
      <c r="C65" s="341"/>
      <c r="D65" s="342"/>
      <c r="E65" s="317"/>
      <c r="F65" s="318"/>
      <c r="G65" s="1158" t="s">
        <v>528</v>
      </c>
      <c r="H65" s="1126"/>
      <c r="I65" s="1126"/>
      <c r="J65" s="453">
        <f>6780668-401000-200500</f>
        <v>6179168</v>
      </c>
      <c r="K65" s="1116"/>
      <c r="L65" s="426"/>
      <c r="M65" s="427"/>
      <c r="N65" s="427"/>
      <c r="O65" s="427"/>
      <c r="P65" s="319"/>
      <c r="Q65" s="1185"/>
      <c r="R65" s="1156" t="s">
        <v>1203</v>
      </c>
      <c r="S65" s="1157"/>
      <c r="T65" s="1157"/>
      <c r="U65" s="1157"/>
      <c r="V65" s="453">
        <v>2403600</v>
      </c>
      <c r="W65" s="1251"/>
      <c r="X65" s="278"/>
      <c r="Y65" s="302"/>
      <c r="Z65" s="290"/>
      <c r="AA65" s="301"/>
      <c r="AB65" s="302"/>
      <c r="AC65" s="303"/>
    </row>
    <row r="66" spans="1:29" ht="26.25" customHeight="1">
      <c r="A66" s="1203" t="s">
        <v>482</v>
      </c>
      <c r="B66" s="1204"/>
      <c r="C66" s="1205"/>
      <c r="D66" s="347">
        <f>SUM('6. kiadások megbontása'!D90)</f>
        <v>201244820</v>
      </c>
      <c r="E66" s="297">
        <f>SUM('6. kiadások megbontása'!E90)</f>
        <v>1940066</v>
      </c>
      <c r="F66" s="298">
        <f>SUM(D66:E66)</f>
        <v>203184886</v>
      </c>
      <c r="G66" s="1158" t="s">
        <v>746</v>
      </c>
      <c r="H66" s="1126"/>
      <c r="I66" s="1126"/>
      <c r="J66" s="449">
        <f>24032378-532428</f>
        <v>23499950</v>
      </c>
      <c r="K66" s="1116"/>
      <c r="L66" s="340"/>
      <c r="M66" s="317"/>
      <c r="N66" s="317"/>
      <c r="O66" s="317"/>
      <c r="P66" s="317"/>
      <c r="Q66" s="1185"/>
      <c r="R66" s="1127"/>
      <c r="S66" s="1128"/>
      <c r="T66" s="1128"/>
      <c r="U66" s="1128"/>
      <c r="V66" s="278"/>
      <c r="W66" s="1251"/>
      <c r="X66" s="381">
        <f>SUM(W63+Q63+K63)</f>
        <v>187432828</v>
      </c>
      <c r="Y66" s="311">
        <v>0</v>
      </c>
      <c r="Z66" s="312">
        <f>SUM(X66:Y66)</f>
        <v>187432828</v>
      </c>
      <c r="AA66" s="382">
        <f>X66-D66</f>
        <v>-13811992</v>
      </c>
      <c r="AB66" s="311">
        <f>Y66-E66</f>
        <v>-1940066</v>
      </c>
      <c r="AC66" s="313">
        <f>SUM(AA66:AB66)</f>
        <v>-15752058</v>
      </c>
    </row>
    <row r="67" spans="1:29" ht="29.25" customHeight="1">
      <c r="A67" s="293"/>
      <c r="B67" s="383"/>
      <c r="C67" s="582"/>
      <c r="D67" s="347"/>
      <c r="E67" s="297"/>
      <c r="F67" s="298"/>
      <c r="G67" s="1158" t="s">
        <v>748</v>
      </c>
      <c r="H67" s="1126"/>
      <c r="I67" s="1126"/>
      <c r="J67" s="453">
        <v>18590000</v>
      </c>
      <c r="K67" s="1116"/>
      <c r="L67" s="340"/>
      <c r="M67" s="317"/>
      <c r="N67" s="317"/>
      <c r="O67" s="317"/>
      <c r="P67" s="384"/>
      <c r="Q67" s="1185"/>
      <c r="R67" s="1127"/>
      <c r="S67" s="1128"/>
      <c r="T67" s="1128"/>
      <c r="U67" s="1128"/>
      <c r="V67" s="380"/>
      <c r="W67" s="1251"/>
      <c r="X67" s="362"/>
      <c r="Y67" s="300"/>
      <c r="Z67" s="312"/>
      <c r="AA67" s="310"/>
      <c r="AB67" s="311"/>
      <c r="AC67" s="303"/>
    </row>
    <row r="68" spans="1:29" ht="36.75" customHeight="1">
      <c r="A68" s="293"/>
      <c r="B68" s="383"/>
      <c r="C68" s="582"/>
      <c r="D68" s="347"/>
      <c r="E68" s="297"/>
      <c r="F68" s="298"/>
      <c r="G68" s="1194" t="s">
        <v>901</v>
      </c>
      <c r="H68" s="1128"/>
      <c r="I68" s="1128"/>
      <c r="J68" s="453">
        <f>9248756-441334+172279</f>
        <v>8979701</v>
      </c>
      <c r="K68" s="1116"/>
      <c r="L68" s="340"/>
      <c r="M68" s="317"/>
      <c r="N68" s="317"/>
      <c r="O68" s="317"/>
      <c r="P68" s="384"/>
      <c r="Q68" s="1185"/>
      <c r="R68" s="745"/>
      <c r="S68" s="746"/>
      <c r="T68" s="746"/>
      <c r="U68" s="746"/>
      <c r="V68" s="380"/>
      <c r="W68" s="1251"/>
      <c r="X68" s="362"/>
      <c r="Y68" s="300"/>
      <c r="Z68" s="312"/>
      <c r="AA68" s="310"/>
      <c r="AB68" s="311"/>
      <c r="AC68" s="303"/>
    </row>
    <row r="69" spans="1:223" s="425" customFormat="1" ht="18" customHeight="1">
      <c r="A69" s="850"/>
      <c r="B69" s="949"/>
      <c r="C69" s="950"/>
      <c r="D69" s="853"/>
      <c r="E69" s="941"/>
      <c r="F69" s="942"/>
      <c r="G69" s="1291" t="s">
        <v>1176</v>
      </c>
      <c r="H69" s="1292"/>
      <c r="I69" s="1292"/>
      <c r="J69" s="453">
        <v>1824296</v>
      </c>
      <c r="K69" s="1116"/>
      <c r="L69" s="951"/>
      <c r="M69" s="952"/>
      <c r="N69" s="952"/>
      <c r="O69" s="952"/>
      <c r="P69" s="953"/>
      <c r="Q69" s="1185"/>
      <c r="R69" s="748"/>
      <c r="S69" s="749"/>
      <c r="T69" s="749"/>
      <c r="U69" s="749"/>
      <c r="V69" s="954"/>
      <c r="W69" s="1251"/>
      <c r="X69" s="362"/>
      <c r="Y69" s="300"/>
      <c r="Z69" s="944"/>
      <c r="AA69" s="945"/>
      <c r="AB69" s="943"/>
      <c r="AC69" s="303"/>
      <c r="AD69" s="447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7"/>
      <c r="BY69" s="447"/>
      <c r="BZ69" s="447"/>
      <c r="CA69" s="447"/>
      <c r="CB69" s="447"/>
      <c r="CC69" s="447"/>
      <c r="CD69" s="447"/>
      <c r="CE69" s="447"/>
      <c r="CF69" s="447"/>
      <c r="CG69" s="447"/>
      <c r="CH69" s="447"/>
      <c r="CI69" s="447"/>
      <c r="CJ69" s="447"/>
      <c r="CK69" s="447"/>
      <c r="CL69" s="447"/>
      <c r="CM69" s="447"/>
      <c r="CN69" s="447"/>
      <c r="CO69" s="447"/>
      <c r="CP69" s="447"/>
      <c r="CQ69" s="447"/>
      <c r="CR69" s="447"/>
      <c r="CS69" s="447"/>
      <c r="CT69" s="447"/>
      <c r="CU69" s="447"/>
      <c r="CV69" s="447"/>
      <c r="CW69" s="447"/>
      <c r="CX69" s="447"/>
      <c r="CY69" s="447"/>
      <c r="CZ69" s="447"/>
      <c r="DA69" s="447"/>
      <c r="DB69" s="447"/>
      <c r="DC69" s="447"/>
      <c r="DD69" s="447"/>
      <c r="DE69" s="447"/>
      <c r="DF69" s="447"/>
      <c r="DG69" s="447"/>
      <c r="DH69" s="447"/>
      <c r="DI69" s="447"/>
      <c r="DJ69" s="447"/>
      <c r="DK69" s="447"/>
      <c r="DL69" s="447"/>
      <c r="DM69" s="447"/>
      <c r="DN69" s="447"/>
      <c r="DO69" s="447"/>
      <c r="DP69" s="447"/>
      <c r="DQ69" s="447"/>
      <c r="DR69" s="447"/>
      <c r="DS69" s="447"/>
      <c r="DT69" s="447"/>
      <c r="DU69" s="447"/>
      <c r="DV69" s="447"/>
      <c r="DW69" s="447"/>
      <c r="DX69" s="447"/>
      <c r="DY69" s="447"/>
      <c r="DZ69" s="447"/>
      <c r="EA69" s="447"/>
      <c r="EB69" s="447"/>
      <c r="EC69" s="447"/>
      <c r="ED69" s="447"/>
      <c r="EE69" s="447"/>
      <c r="EF69" s="447"/>
      <c r="EG69" s="447"/>
      <c r="EH69" s="447"/>
      <c r="EI69" s="447"/>
      <c r="EJ69" s="447"/>
      <c r="EK69" s="447"/>
      <c r="EL69" s="447"/>
      <c r="EM69" s="447"/>
      <c r="EN69" s="447"/>
      <c r="EO69" s="447"/>
      <c r="EP69" s="447"/>
      <c r="EQ69" s="447"/>
      <c r="ER69" s="447"/>
      <c r="ES69" s="447"/>
      <c r="ET69" s="447"/>
      <c r="EU69" s="447"/>
      <c r="EV69" s="447"/>
      <c r="EW69" s="447"/>
      <c r="EX69" s="447"/>
      <c r="EY69" s="447"/>
      <c r="EZ69" s="447"/>
      <c r="FA69" s="447"/>
      <c r="FB69" s="447"/>
      <c r="FC69" s="447"/>
      <c r="FD69" s="447"/>
      <c r="FE69" s="447"/>
      <c r="FF69" s="447"/>
      <c r="FG69" s="447"/>
      <c r="FH69" s="447"/>
      <c r="FI69" s="447"/>
      <c r="FJ69" s="447"/>
      <c r="FK69" s="447"/>
      <c r="FL69" s="447"/>
      <c r="FM69" s="447"/>
      <c r="FN69" s="447"/>
      <c r="FO69" s="447"/>
      <c r="FP69" s="447"/>
      <c r="FQ69" s="447"/>
      <c r="FR69" s="447"/>
      <c r="FS69" s="447"/>
      <c r="FT69" s="447"/>
      <c r="FU69" s="447"/>
      <c r="FV69" s="447"/>
      <c r="FW69" s="447"/>
      <c r="FX69" s="447"/>
      <c r="FY69" s="447"/>
      <c r="FZ69" s="447"/>
      <c r="GA69" s="447"/>
      <c r="GB69" s="447"/>
      <c r="GC69" s="447"/>
      <c r="GD69" s="447"/>
      <c r="GE69" s="447"/>
      <c r="GF69" s="447"/>
      <c r="GG69" s="447"/>
      <c r="GH69" s="447"/>
      <c r="GI69" s="447"/>
      <c r="GJ69" s="447"/>
      <c r="GK69" s="447"/>
      <c r="GL69" s="447"/>
      <c r="GM69" s="447"/>
      <c r="GN69" s="447"/>
      <c r="GO69" s="447"/>
      <c r="GP69" s="447"/>
      <c r="GQ69" s="447"/>
      <c r="GR69" s="447"/>
      <c r="GS69" s="447"/>
      <c r="GT69" s="447"/>
      <c r="GU69" s="447"/>
      <c r="GV69" s="447"/>
      <c r="GW69" s="447"/>
      <c r="GX69" s="447"/>
      <c r="GY69" s="447"/>
      <c r="GZ69" s="447"/>
      <c r="HA69" s="447"/>
      <c r="HB69" s="447"/>
      <c r="HC69" s="447"/>
      <c r="HD69" s="447"/>
      <c r="HE69" s="447"/>
      <c r="HF69" s="447"/>
      <c r="HG69" s="447"/>
      <c r="HH69" s="447"/>
      <c r="HI69" s="447"/>
      <c r="HJ69" s="447"/>
      <c r="HK69" s="447"/>
      <c r="HL69" s="447"/>
      <c r="HM69" s="447"/>
      <c r="HN69" s="447"/>
      <c r="HO69" s="447"/>
    </row>
    <row r="70" spans="1:223" s="425" customFormat="1" ht="18" customHeight="1">
      <c r="A70" s="850"/>
      <c r="B70" s="949"/>
      <c r="C70" s="950"/>
      <c r="D70" s="853"/>
      <c r="E70" s="941"/>
      <c r="F70" s="942"/>
      <c r="G70" s="1194" t="s">
        <v>894</v>
      </c>
      <c r="H70" s="1128"/>
      <c r="I70" s="1128"/>
      <c r="J70" s="278">
        <f>597022-78870-40212+40212-52699</f>
        <v>465453</v>
      </c>
      <c r="K70" s="1116"/>
      <c r="L70" s="951"/>
      <c r="M70" s="952"/>
      <c r="N70" s="952"/>
      <c r="O70" s="952"/>
      <c r="P70" s="953"/>
      <c r="Q70" s="1185"/>
      <c r="R70" s="748"/>
      <c r="S70" s="749"/>
      <c r="T70" s="749"/>
      <c r="U70" s="749"/>
      <c r="V70" s="954"/>
      <c r="W70" s="1251"/>
      <c r="X70" s="362"/>
      <c r="Y70" s="300"/>
      <c r="Z70" s="944"/>
      <c r="AA70" s="945"/>
      <c r="AB70" s="943"/>
      <c r="AC70" s="303"/>
      <c r="AD70" s="447"/>
      <c r="AE70" s="447"/>
      <c r="AF70" s="447"/>
      <c r="AG70" s="447"/>
      <c r="AH70" s="447"/>
      <c r="AI70" s="447"/>
      <c r="AJ70" s="447"/>
      <c r="AK70" s="447"/>
      <c r="AL70" s="447"/>
      <c r="AM70" s="447"/>
      <c r="AN70" s="447"/>
      <c r="AO70" s="447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7"/>
      <c r="BG70" s="447"/>
      <c r="BH70" s="447"/>
      <c r="BI70" s="447"/>
      <c r="BJ70" s="447"/>
      <c r="BK70" s="447"/>
      <c r="BL70" s="447"/>
      <c r="BM70" s="447"/>
      <c r="BN70" s="447"/>
      <c r="BO70" s="447"/>
      <c r="BP70" s="447"/>
      <c r="BQ70" s="447"/>
      <c r="BR70" s="447"/>
      <c r="BS70" s="447"/>
      <c r="BT70" s="447"/>
      <c r="BU70" s="447"/>
      <c r="BV70" s="447"/>
      <c r="BW70" s="447"/>
      <c r="BX70" s="447"/>
      <c r="BY70" s="447"/>
      <c r="BZ70" s="447"/>
      <c r="CA70" s="447"/>
      <c r="CB70" s="447"/>
      <c r="CC70" s="447"/>
      <c r="CD70" s="447"/>
      <c r="CE70" s="447"/>
      <c r="CF70" s="447"/>
      <c r="CG70" s="447"/>
      <c r="CH70" s="447"/>
      <c r="CI70" s="447"/>
      <c r="CJ70" s="447"/>
      <c r="CK70" s="447"/>
      <c r="CL70" s="447"/>
      <c r="CM70" s="447"/>
      <c r="CN70" s="447"/>
      <c r="CO70" s="447"/>
      <c r="CP70" s="447"/>
      <c r="CQ70" s="447"/>
      <c r="CR70" s="447"/>
      <c r="CS70" s="447"/>
      <c r="CT70" s="447"/>
      <c r="CU70" s="447"/>
      <c r="CV70" s="447"/>
      <c r="CW70" s="447"/>
      <c r="CX70" s="447"/>
      <c r="CY70" s="447"/>
      <c r="CZ70" s="447"/>
      <c r="DA70" s="447"/>
      <c r="DB70" s="447"/>
      <c r="DC70" s="447"/>
      <c r="DD70" s="447"/>
      <c r="DE70" s="447"/>
      <c r="DF70" s="447"/>
      <c r="DG70" s="447"/>
      <c r="DH70" s="447"/>
      <c r="DI70" s="447"/>
      <c r="DJ70" s="447"/>
      <c r="DK70" s="447"/>
      <c r="DL70" s="447"/>
      <c r="DM70" s="447"/>
      <c r="DN70" s="447"/>
      <c r="DO70" s="447"/>
      <c r="DP70" s="447"/>
      <c r="DQ70" s="447"/>
      <c r="DR70" s="447"/>
      <c r="DS70" s="447"/>
      <c r="DT70" s="447"/>
      <c r="DU70" s="447"/>
      <c r="DV70" s="447"/>
      <c r="DW70" s="447"/>
      <c r="DX70" s="447"/>
      <c r="DY70" s="447"/>
      <c r="DZ70" s="447"/>
      <c r="EA70" s="447"/>
      <c r="EB70" s="447"/>
      <c r="EC70" s="447"/>
      <c r="ED70" s="447"/>
      <c r="EE70" s="447"/>
      <c r="EF70" s="447"/>
      <c r="EG70" s="447"/>
      <c r="EH70" s="447"/>
      <c r="EI70" s="447"/>
      <c r="EJ70" s="447"/>
      <c r="EK70" s="447"/>
      <c r="EL70" s="447"/>
      <c r="EM70" s="447"/>
      <c r="EN70" s="447"/>
      <c r="EO70" s="447"/>
      <c r="EP70" s="447"/>
      <c r="EQ70" s="447"/>
      <c r="ER70" s="447"/>
      <c r="ES70" s="447"/>
      <c r="ET70" s="447"/>
      <c r="EU70" s="447"/>
      <c r="EV70" s="447"/>
      <c r="EW70" s="447"/>
      <c r="EX70" s="447"/>
      <c r="EY70" s="447"/>
      <c r="EZ70" s="447"/>
      <c r="FA70" s="447"/>
      <c r="FB70" s="447"/>
      <c r="FC70" s="447"/>
      <c r="FD70" s="447"/>
      <c r="FE70" s="447"/>
      <c r="FF70" s="447"/>
      <c r="FG70" s="447"/>
      <c r="FH70" s="447"/>
      <c r="FI70" s="447"/>
      <c r="FJ70" s="447"/>
      <c r="FK70" s="447"/>
      <c r="FL70" s="447"/>
      <c r="FM70" s="447"/>
      <c r="FN70" s="447"/>
      <c r="FO70" s="447"/>
      <c r="FP70" s="447"/>
      <c r="FQ70" s="447"/>
      <c r="FR70" s="447"/>
      <c r="FS70" s="447"/>
      <c r="FT70" s="447"/>
      <c r="FU70" s="447"/>
      <c r="FV70" s="447"/>
      <c r="FW70" s="447"/>
      <c r="FX70" s="447"/>
      <c r="FY70" s="447"/>
      <c r="FZ70" s="447"/>
      <c r="GA70" s="447"/>
      <c r="GB70" s="447"/>
      <c r="GC70" s="447"/>
      <c r="GD70" s="447"/>
      <c r="GE70" s="447"/>
      <c r="GF70" s="447"/>
      <c r="GG70" s="447"/>
      <c r="GH70" s="447"/>
      <c r="GI70" s="447"/>
      <c r="GJ70" s="447"/>
      <c r="GK70" s="447"/>
      <c r="GL70" s="447"/>
      <c r="GM70" s="447"/>
      <c r="GN70" s="447"/>
      <c r="GO70" s="447"/>
      <c r="GP70" s="447"/>
      <c r="GQ70" s="447"/>
      <c r="GR70" s="447"/>
      <c r="GS70" s="447"/>
      <c r="GT70" s="447"/>
      <c r="GU70" s="447"/>
      <c r="GV70" s="447"/>
      <c r="GW70" s="447"/>
      <c r="GX70" s="447"/>
      <c r="GY70" s="447"/>
      <c r="GZ70" s="447"/>
      <c r="HA70" s="447"/>
      <c r="HB70" s="447"/>
      <c r="HC70" s="447"/>
      <c r="HD70" s="447"/>
      <c r="HE70" s="447"/>
      <c r="HF70" s="447"/>
      <c r="HG70" s="447"/>
      <c r="HH70" s="447"/>
      <c r="HI70" s="447"/>
      <c r="HJ70" s="447"/>
      <c r="HK70" s="447"/>
      <c r="HL70" s="447"/>
      <c r="HM70" s="447"/>
      <c r="HN70" s="447"/>
      <c r="HO70" s="447"/>
    </row>
    <row r="71" spans="1:223" s="425" customFormat="1" ht="18" customHeight="1">
      <c r="A71" s="850"/>
      <c r="B71" s="949"/>
      <c r="C71" s="950"/>
      <c r="D71" s="853"/>
      <c r="E71" s="941"/>
      <c r="F71" s="942"/>
      <c r="G71" s="1158" t="s">
        <v>807</v>
      </c>
      <c r="H71" s="1126"/>
      <c r="I71" s="1126"/>
      <c r="J71" s="449">
        <f>11287000-473000-15000</f>
        <v>10799000</v>
      </c>
      <c r="K71" s="1116"/>
      <c r="L71" s="951"/>
      <c r="M71" s="952"/>
      <c r="N71" s="952"/>
      <c r="O71" s="952"/>
      <c r="P71" s="953"/>
      <c r="Q71" s="1185"/>
      <c r="R71" s="748"/>
      <c r="S71" s="749"/>
      <c r="T71" s="749"/>
      <c r="U71" s="749"/>
      <c r="V71" s="954"/>
      <c r="W71" s="1251"/>
      <c r="X71" s="362"/>
      <c r="Y71" s="300"/>
      <c r="Z71" s="944"/>
      <c r="AA71" s="945"/>
      <c r="AB71" s="943"/>
      <c r="AC71" s="303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H71" s="447"/>
      <c r="BI71" s="447"/>
      <c r="BJ71" s="447"/>
      <c r="BK71" s="447"/>
      <c r="BL71" s="447"/>
      <c r="BM71" s="447"/>
      <c r="BN71" s="447"/>
      <c r="BO71" s="447"/>
      <c r="BP71" s="447"/>
      <c r="BQ71" s="447"/>
      <c r="BR71" s="447"/>
      <c r="BS71" s="447"/>
      <c r="BT71" s="447"/>
      <c r="BU71" s="447"/>
      <c r="BV71" s="447"/>
      <c r="BW71" s="447"/>
      <c r="BX71" s="447"/>
      <c r="BY71" s="447"/>
      <c r="BZ71" s="447"/>
      <c r="CA71" s="447"/>
      <c r="CB71" s="447"/>
      <c r="CC71" s="447"/>
      <c r="CD71" s="447"/>
      <c r="CE71" s="447"/>
      <c r="CF71" s="447"/>
      <c r="CG71" s="447"/>
      <c r="CH71" s="447"/>
      <c r="CI71" s="447"/>
      <c r="CJ71" s="447"/>
      <c r="CK71" s="447"/>
      <c r="CL71" s="447"/>
      <c r="CM71" s="447"/>
      <c r="CN71" s="447"/>
      <c r="CO71" s="447"/>
      <c r="CP71" s="447"/>
      <c r="CQ71" s="447"/>
      <c r="CR71" s="447"/>
      <c r="CS71" s="447"/>
      <c r="CT71" s="447"/>
      <c r="CU71" s="447"/>
      <c r="CV71" s="447"/>
      <c r="CW71" s="447"/>
      <c r="CX71" s="447"/>
      <c r="CY71" s="447"/>
      <c r="CZ71" s="447"/>
      <c r="DA71" s="447"/>
      <c r="DB71" s="447"/>
      <c r="DC71" s="447"/>
      <c r="DD71" s="447"/>
      <c r="DE71" s="447"/>
      <c r="DF71" s="447"/>
      <c r="DG71" s="447"/>
      <c r="DH71" s="447"/>
      <c r="DI71" s="447"/>
      <c r="DJ71" s="447"/>
      <c r="DK71" s="447"/>
      <c r="DL71" s="447"/>
      <c r="DM71" s="447"/>
      <c r="DN71" s="447"/>
      <c r="DO71" s="447"/>
      <c r="DP71" s="447"/>
      <c r="DQ71" s="447"/>
      <c r="DR71" s="447"/>
      <c r="DS71" s="447"/>
      <c r="DT71" s="447"/>
      <c r="DU71" s="447"/>
      <c r="DV71" s="447"/>
      <c r="DW71" s="447"/>
      <c r="DX71" s="447"/>
      <c r="DY71" s="447"/>
      <c r="DZ71" s="447"/>
      <c r="EA71" s="447"/>
      <c r="EB71" s="447"/>
      <c r="EC71" s="447"/>
      <c r="ED71" s="447"/>
      <c r="EE71" s="447"/>
      <c r="EF71" s="447"/>
      <c r="EG71" s="447"/>
      <c r="EH71" s="447"/>
      <c r="EI71" s="447"/>
      <c r="EJ71" s="447"/>
      <c r="EK71" s="447"/>
      <c r="EL71" s="447"/>
      <c r="EM71" s="447"/>
      <c r="EN71" s="447"/>
      <c r="EO71" s="447"/>
      <c r="EP71" s="447"/>
      <c r="EQ71" s="447"/>
      <c r="ER71" s="447"/>
      <c r="ES71" s="447"/>
      <c r="ET71" s="447"/>
      <c r="EU71" s="447"/>
      <c r="EV71" s="447"/>
      <c r="EW71" s="447"/>
      <c r="EX71" s="447"/>
      <c r="EY71" s="447"/>
      <c r="EZ71" s="447"/>
      <c r="FA71" s="447"/>
      <c r="FB71" s="447"/>
      <c r="FC71" s="447"/>
      <c r="FD71" s="447"/>
      <c r="FE71" s="447"/>
      <c r="FF71" s="447"/>
      <c r="FG71" s="447"/>
      <c r="FH71" s="447"/>
      <c r="FI71" s="447"/>
      <c r="FJ71" s="447"/>
      <c r="FK71" s="447"/>
      <c r="FL71" s="447"/>
      <c r="FM71" s="447"/>
      <c r="FN71" s="447"/>
      <c r="FO71" s="447"/>
      <c r="FP71" s="447"/>
      <c r="FQ71" s="447"/>
      <c r="FR71" s="447"/>
      <c r="FS71" s="447"/>
      <c r="FT71" s="447"/>
      <c r="FU71" s="447"/>
      <c r="FV71" s="447"/>
      <c r="FW71" s="447"/>
      <c r="FX71" s="447"/>
      <c r="FY71" s="447"/>
      <c r="FZ71" s="447"/>
      <c r="GA71" s="447"/>
      <c r="GB71" s="447"/>
      <c r="GC71" s="447"/>
      <c r="GD71" s="447"/>
      <c r="GE71" s="447"/>
      <c r="GF71" s="447"/>
      <c r="GG71" s="447"/>
      <c r="GH71" s="447"/>
      <c r="GI71" s="447"/>
      <c r="GJ71" s="447"/>
      <c r="GK71" s="447"/>
      <c r="GL71" s="447"/>
      <c r="GM71" s="447"/>
      <c r="GN71" s="447"/>
      <c r="GO71" s="447"/>
      <c r="GP71" s="447"/>
      <c r="GQ71" s="447"/>
      <c r="GR71" s="447"/>
      <c r="GS71" s="447"/>
      <c r="GT71" s="447"/>
      <c r="GU71" s="447"/>
      <c r="GV71" s="447"/>
      <c r="GW71" s="447"/>
      <c r="GX71" s="447"/>
      <c r="GY71" s="447"/>
      <c r="GZ71" s="447"/>
      <c r="HA71" s="447"/>
      <c r="HB71" s="447"/>
      <c r="HC71" s="447"/>
      <c r="HD71" s="447"/>
      <c r="HE71" s="447"/>
      <c r="HF71" s="447"/>
      <c r="HG71" s="447"/>
      <c r="HH71" s="447"/>
      <c r="HI71" s="447"/>
      <c r="HJ71" s="447"/>
      <c r="HK71" s="447"/>
      <c r="HL71" s="447"/>
      <c r="HM71" s="447"/>
      <c r="HN71" s="447"/>
      <c r="HO71" s="447"/>
    </row>
    <row r="72" spans="1:223" s="425" customFormat="1" ht="18" customHeight="1">
      <c r="A72" s="850"/>
      <c r="B72" s="949"/>
      <c r="C72" s="950"/>
      <c r="D72" s="853"/>
      <c r="E72" s="941"/>
      <c r="F72" s="942"/>
      <c r="G72" s="1181" t="s">
        <v>900</v>
      </c>
      <c r="H72" s="1157"/>
      <c r="I72" s="1157"/>
      <c r="J72" s="453">
        <f>195364-195364</f>
        <v>0</v>
      </c>
      <c r="K72" s="1116"/>
      <c r="L72" s="951"/>
      <c r="M72" s="952"/>
      <c r="N72" s="952"/>
      <c r="O72" s="952"/>
      <c r="P72" s="953"/>
      <c r="Q72" s="1185"/>
      <c r="R72" s="748"/>
      <c r="S72" s="749"/>
      <c r="T72" s="749"/>
      <c r="U72" s="749"/>
      <c r="V72" s="954"/>
      <c r="W72" s="1251"/>
      <c r="X72" s="362"/>
      <c r="Y72" s="300"/>
      <c r="Z72" s="944"/>
      <c r="AA72" s="945"/>
      <c r="AB72" s="943"/>
      <c r="AC72" s="303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447"/>
      <c r="AQ72" s="447"/>
      <c r="AR72" s="447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7"/>
      <c r="BD72" s="447"/>
      <c r="BE72" s="447"/>
      <c r="BF72" s="447"/>
      <c r="BG72" s="447"/>
      <c r="BH72" s="447"/>
      <c r="BI72" s="447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7"/>
      <c r="BV72" s="447"/>
      <c r="BW72" s="447"/>
      <c r="BX72" s="447"/>
      <c r="BY72" s="447"/>
      <c r="BZ72" s="447"/>
      <c r="CA72" s="447"/>
      <c r="CB72" s="447"/>
      <c r="CC72" s="447"/>
      <c r="CD72" s="447"/>
      <c r="CE72" s="447"/>
      <c r="CF72" s="447"/>
      <c r="CG72" s="447"/>
      <c r="CH72" s="447"/>
      <c r="CI72" s="447"/>
      <c r="CJ72" s="447"/>
      <c r="CK72" s="447"/>
      <c r="CL72" s="447"/>
      <c r="CM72" s="447"/>
      <c r="CN72" s="447"/>
      <c r="CO72" s="447"/>
      <c r="CP72" s="447"/>
      <c r="CQ72" s="447"/>
      <c r="CR72" s="447"/>
      <c r="CS72" s="447"/>
      <c r="CT72" s="447"/>
      <c r="CU72" s="447"/>
      <c r="CV72" s="447"/>
      <c r="CW72" s="447"/>
      <c r="CX72" s="447"/>
      <c r="CY72" s="447"/>
      <c r="CZ72" s="447"/>
      <c r="DA72" s="447"/>
      <c r="DB72" s="447"/>
      <c r="DC72" s="447"/>
      <c r="DD72" s="447"/>
      <c r="DE72" s="447"/>
      <c r="DF72" s="447"/>
      <c r="DG72" s="447"/>
      <c r="DH72" s="447"/>
      <c r="DI72" s="447"/>
      <c r="DJ72" s="447"/>
      <c r="DK72" s="447"/>
      <c r="DL72" s="447"/>
      <c r="DM72" s="447"/>
      <c r="DN72" s="447"/>
      <c r="DO72" s="447"/>
      <c r="DP72" s="447"/>
      <c r="DQ72" s="447"/>
      <c r="DR72" s="447"/>
      <c r="DS72" s="447"/>
      <c r="DT72" s="447"/>
      <c r="DU72" s="447"/>
      <c r="DV72" s="447"/>
      <c r="DW72" s="447"/>
      <c r="DX72" s="447"/>
      <c r="DY72" s="447"/>
      <c r="DZ72" s="447"/>
      <c r="EA72" s="447"/>
      <c r="EB72" s="447"/>
      <c r="EC72" s="447"/>
      <c r="ED72" s="447"/>
      <c r="EE72" s="447"/>
      <c r="EF72" s="447"/>
      <c r="EG72" s="447"/>
      <c r="EH72" s="447"/>
      <c r="EI72" s="447"/>
      <c r="EJ72" s="447"/>
      <c r="EK72" s="447"/>
      <c r="EL72" s="447"/>
      <c r="EM72" s="447"/>
      <c r="EN72" s="447"/>
      <c r="EO72" s="447"/>
      <c r="EP72" s="447"/>
      <c r="EQ72" s="447"/>
      <c r="ER72" s="447"/>
      <c r="ES72" s="447"/>
      <c r="ET72" s="447"/>
      <c r="EU72" s="447"/>
      <c r="EV72" s="447"/>
      <c r="EW72" s="447"/>
      <c r="EX72" s="447"/>
      <c r="EY72" s="447"/>
      <c r="EZ72" s="447"/>
      <c r="FA72" s="447"/>
      <c r="FB72" s="447"/>
      <c r="FC72" s="447"/>
      <c r="FD72" s="447"/>
      <c r="FE72" s="447"/>
      <c r="FF72" s="447"/>
      <c r="FG72" s="447"/>
      <c r="FH72" s="447"/>
      <c r="FI72" s="447"/>
      <c r="FJ72" s="447"/>
      <c r="FK72" s="447"/>
      <c r="FL72" s="447"/>
      <c r="FM72" s="447"/>
      <c r="FN72" s="447"/>
      <c r="FO72" s="447"/>
      <c r="FP72" s="447"/>
      <c r="FQ72" s="447"/>
      <c r="FR72" s="447"/>
      <c r="FS72" s="447"/>
      <c r="FT72" s="447"/>
      <c r="FU72" s="447"/>
      <c r="FV72" s="447"/>
      <c r="FW72" s="447"/>
      <c r="FX72" s="447"/>
      <c r="FY72" s="447"/>
      <c r="FZ72" s="447"/>
      <c r="GA72" s="447"/>
      <c r="GB72" s="447"/>
      <c r="GC72" s="447"/>
      <c r="GD72" s="447"/>
      <c r="GE72" s="447"/>
      <c r="GF72" s="447"/>
      <c r="GG72" s="447"/>
      <c r="GH72" s="447"/>
      <c r="GI72" s="447"/>
      <c r="GJ72" s="447"/>
      <c r="GK72" s="447"/>
      <c r="GL72" s="447"/>
      <c r="GM72" s="447"/>
      <c r="GN72" s="447"/>
      <c r="GO72" s="447"/>
      <c r="GP72" s="447"/>
      <c r="GQ72" s="447"/>
      <c r="GR72" s="447"/>
      <c r="GS72" s="447"/>
      <c r="GT72" s="447"/>
      <c r="GU72" s="447"/>
      <c r="GV72" s="447"/>
      <c r="GW72" s="447"/>
      <c r="GX72" s="447"/>
      <c r="GY72" s="447"/>
      <c r="GZ72" s="447"/>
      <c r="HA72" s="447"/>
      <c r="HB72" s="447"/>
      <c r="HC72" s="447"/>
      <c r="HD72" s="447"/>
      <c r="HE72" s="447"/>
      <c r="HF72" s="447"/>
      <c r="HG72" s="447"/>
      <c r="HH72" s="447"/>
      <c r="HI72" s="447"/>
      <c r="HJ72" s="447"/>
      <c r="HK72" s="447"/>
      <c r="HL72" s="447"/>
      <c r="HM72" s="447"/>
      <c r="HN72" s="447"/>
      <c r="HO72" s="447"/>
    </row>
    <row r="73" spans="1:29" ht="30.75" customHeight="1" thickBot="1">
      <c r="A73" s="293"/>
      <c r="B73" s="383"/>
      <c r="C73" s="582"/>
      <c r="D73" s="347"/>
      <c r="E73" s="297"/>
      <c r="F73" s="298"/>
      <c r="G73" s="1194" t="s">
        <v>902</v>
      </c>
      <c r="H73" s="1128"/>
      <c r="I73" s="1128"/>
      <c r="J73" s="761">
        <v>87654</v>
      </c>
      <c r="K73" s="1116"/>
      <c r="L73" s="340"/>
      <c r="M73" s="317"/>
      <c r="N73" s="317"/>
      <c r="O73" s="317"/>
      <c r="P73" s="384"/>
      <c r="Q73" s="1185"/>
      <c r="R73" s="280"/>
      <c r="S73" s="281"/>
      <c r="T73" s="281"/>
      <c r="U73" s="281"/>
      <c r="V73" s="380"/>
      <c r="W73" s="1165"/>
      <c r="X73" s="362"/>
      <c r="Y73" s="300"/>
      <c r="Z73" s="312"/>
      <c r="AA73" s="310"/>
      <c r="AB73" s="311"/>
      <c r="AC73" s="303"/>
    </row>
    <row r="74" spans="1:29" ht="15.75" customHeight="1">
      <c r="A74" s="1213" t="s">
        <v>483</v>
      </c>
      <c r="B74" s="1214"/>
      <c r="C74" s="1215"/>
      <c r="D74" s="1190">
        <f>'6. kiadások megbontása'!G90</f>
        <v>82652703</v>
      </c>
      <c r="E74" s="1190">
        <f>SUM('6. kiadások megbontása'!H90)</f>
        <v>5132262</v>
      </c>
      <c r="F74" s="1198">
        <f>SUM(D74:E74)</f>
        <v>87784965</v>
      </c>
      <c r="G74" s="1209"/>
      <c r="H74" s="1124"/>
      <c r="I74" s="1124"/>
      <c r="J74" s="705"/>
      <c r="K74" s="1175">
        <f>SUM(J74:J79)</f>
        <v>0</v>
      </c>
      <c r="L74" s="1166" t="s">
        <v>855</v>
      </c>
      <c r="M74" s="1167"/>
      <c r="N74" s="1167"/>
      <c r="O74" s="1167"/>
      <c r="P74" s="390">
        <v>6245115</v>
      </c>
      <c r="Q74" s="1115">
        <f>SUM(P74:P76)</f>
        <v>50394474</v>
      </c>
      <c r="R74" s="1123" t="s">
        <v>897</v>
      </c>
      <c r="S74" s="1124"/>
      <c r="T74" s="1124"/>
      <c r="U74" s="1124"/>
      <c r="V74" s="1135">
        <v>31099867</v>
      </c>
      <c r="W74" s="1164">
        <f>SUM(V74:V76)</f>
        <v>31169867</v>
      </c>
      <c r="X74" s="1288">
        <f>SUM(K74+Q74+W74)</f>
        <v>81564341</v>
      </c>
      <c r="Y74" s="1172">
        <f>Q77+W77</f>
        <v>4940977</v>
      </c>
      <c r="Z74" s="1285">
        <f>SUM(X74:Y76)</f>
        <v>86505318</v>
      </c>
      <c r="AA74" s="1288">
        <f>X74-D74</f>
        <v>-1088362</v>
      </c>
      <c r="AB74" s="1172">
        <f>Y74-E74</f>
        <v>-191285</v>
      </c>
      <c r="AC74" s="1285">
        <f>SUM(AA74:AB74)</f>
        <v>-1279647</v>
      </c>
    </row>
    <row r="75" spans="1:29" ht="15.75" customHeight="1">
      <c r="A75" s="1216"/>
      <c r="B75" s="1217"/>
      <c r="C75" s="1218"/>
      <c r="D75" s="1191"/>
      <c r="E75" s="1191"/>
      <c r="F75" s="1199"/>
      <c r="G75" s="890"/>
      <c r="H75" s="749"/>
      <c r="I75" s="749"/>
      <c r="J75" s="453"/>
      <c r="K75" s="1176"/>
      <c r="L75" s="1147" t="s">
        <v>1116</v>
      </c>
      <c r="M75" s="1148"/>
      <c r="N75" s="1148"/>
      <c r="O75" s="1148"/>
      <c r="P75" s="895">
        <v>742100</v>
      </c>
      <c r="Q75" s="1116"/>
      <c r="R75" s="1125"/>
      <c r="S75" s="1126"/>
      <c r="T75" s="1126"/>
      <c r="U75" s="1126"/>
      <c r="V75" s="1136"/>
      <c r="W75" s="1251"/>
      <c r="X75" s="1289"/>
      <c r="Y75" s="1173"/>
      <c r="Z75" s="1286"/>
      <c r="AA75" s="1289"/>
      <c r="AB75" s="1173"/>
      <c r="AC75" s="1286"/>
    </row>
    <row r="76" spans="1:29" ht="24.75" customHeight="1" thickBot="1">
      <c r="A76" s="1216"/>
      <c r="B76" s="1217"/>
      <c r="C76" s="1218"/>
      <c r="D76" s="1191"/>
      <c r="E76" s="1191"/>
      <c r="F76" s="1199"/>
      <c r="G76" s="1181"/>
      <c r="H76" s="1157"/>
      <c r="I76" s="1157"/>
      <c r="J76" s="453"/>
      <c r="K76" s="1176"/>
      <c r="L76" s="1127" t="s">
        <v>893</v>
      </c>
      <c r="M76" s="1128"/>
      <c r="N76" s="1128"/>
      <c r="O76" s="1128"/>
      <c r="P76" s="278">
        <v>43407259</v>
      </c>
      <c r="Q76" s="1116"/>
      <c r="R76" s="1200" t="s">
        <v>1179</v>
      </c>
      <c r="S76" s="1201"/>
      <c r="T76" s="1201"/>
      <c r="U76" s="1201"/>
      <c r="V76" s="916">
        <v>70000</v>
      </c>
      <c r="W76" s="1165"/>
      <c r="X76" s="1289"/>
      <c r="Y76" s="1173"/>
      <c r="Z76" s="1286"/>
      <c r="AA76" s="1289"/>
      <c r="AB76" s="1173"/>
      <c r="AC76" s="1286"/>
    </row>
    <row r="77" spans="1:29" ht="16.5" customHeight="1">
      <c r="A77" s="850"/>
      <c r="B77" s="851"/>
      <c r="C77" s="852"/>
      <c r="D77" s="853"/>
      <c r="E77" s="855"/>
      <c r="F77" s="854"/>
      <c r="G77" s="849"/>
      <c r="H77" s="747"/>
      <c r="I77" s="747"/>
      <c r="J77" s="453"/>
      <c r="K77" s="1176"/>
      <c r="L77" s="1166" t="s">
        <v>984</v>
      </c>
      <c r="M77" s="1167"/>
      <c r="N77" s="1167"/>
      <c r="O77" s="1167"/>
      <c r="P77" s="390">
        <v>841234</v>
      </c>
      <c r="Q77" s="1115">
        <f>SUM(P77:P78)</f>
        <v>2528424</v>
      </c>
      <c r="R77" s="1123" t="s">
        <v>898</v>
      </c>
      <c r="S77" s="1124"/>
      <c r="T77" s="1124"/>
      <c r="U77" s="1124"/>
      <c r="V77" s="1135">
        <v>2412553</v>
      </c>
      <c r="W77" s="1164">
        <f>SUM(V77)</f>
        <v>2412553</v>
      </c>
      <c r="X77" s="1289"/>
      <c r="Y77" s="1173"/>
      <c r="Z77" s="1286"/>
      <c r="AA77" s="1289"/>
      <c r="AB77" s="1173"/>
      <c r="AC77" s="1286"/>
    </row>
    <row r="78" spans="1:29" ht="16.5" customHeight="1">
      <c r="A78" s="850"/>
      <c r="B78" s="851"/>
      <c r="C78" s="852"/>
      <c r="D78" s="853"/>
      <c r="E78" s="855"/>
      <c r="F78" s="854"/>
      <c r="G78" s="849"/>
      <c r="H78" s="747"/>
      <c r="I78" s="747"/>
      <c r="J78" s="453"/>
      <c r="K78" s="1176"/>
      <c r="L78" s="1125" t="s">
        <v>896</v>
      </c>
      <c r="M78" s="1126"/>
      <c r="N78" s="1126"/>
      <c r="O78" s="1126"/>
      <c r="P78" s="1136">
        <v>1687190</v>
      </c>
      <c r="Q78" s="1116"/>
      <c r="R78" s="1125"/>
      <c r="S78" s="1126"/>
      <c r="T78" s="1126"/>
      <c r="U78" s="1126"/>
      <c r="V78" s="1136"/>
      <c r="W78" s="1251"/>
      <c r="X78" s="1289"/>
      <c r="Y78" s="1173"/>
      <c r="Z78" s="1286"/>
      <c r="AA78" s="1289"/>
      <c r="AB78" s="1173"/>
      <c r="AC78" s="1286"/>
    </row>
    <row r="79" spans="1:29" ht="23.25" customHeight="1" thickBot="1">
      <c r="A79" s="750"/>
      <c r="B79" s="751"/>
      <c r="C79" s="752"/>
      <c r="D79" s="753"/>
      <c r="E79" s="758"/>
      <c r="F79" s="754"/>
      <c r="G79" s="1194"/>
      <c r="H79" s="1128"/>
      <c r="I79" s="1128"/>
      <c r="J79" s="761"/>
      <c r="K79" s="1177"/>
      <c r="L79" s="1200"/>
      <c r="M79" s="1201"/>
      <c r="N79" s="1201"/>
      <c r="O79" s="1201"/>
      <c r="P79" s="1171"/>
      <c r="Q79" s="1202"/>
      <c r="R79" s="1200"/>
      <c r="S79" s="1201"/>
      <c r="T79" s="1201"/>
      <c r="U79" s="1201"/>
      <c r="V79" s="1171"/>
      <c r="W79" s="1165"/>
      <c r="X79" s="1290"/>
      <c r="Y79" s="1174"/>
      <c r="Z79" s="1287"/>
      <c r="AA79" s="1290"/>
      <c r="AB79" s="1174"/>
      <c r="AC79" s="1287"/>
    </row>
    <row r="80" spans="1:223" s="425" customFormat="1" ht="44.25" customHeight="1" thickBot="1" thickTop="1">
      <c r="A80" s="1206" t="s">
        <v>856</v>
      </c>
      <c r="B80" s="1207"/>
      <c r="C80" s="1208"/>
      <c r="D80" s="631">
        <f>SUM(D64:D76)</f>
        <v>283897523</v>
      </c>
      <c r="E80" s="632">
        <f>SUM(E64:E76)</f>
        <v>7072328</v>
      </c>
      <c r="F80" s="711">
        <f>SUM(D80:E80)</f>
        <v>290969851</v>
      </c>
      <c r="G80" s="759"/>
      <c r="H80" s="1187" t="s">
        <v>97</v>
      </c>
      <c r="I80" s="1188"/>
      <c r="J80" s="1189"/>
      <c r="K80" s="440">
        <f>SUM(K63:K76)</f>
        <v>179687289</v>
      </c>
      <c r="L80" s="439"/>
      <c r="M80" s="1117" t="s">
        <v>98</v>
      </c>
      <c r="N80" s="1117"/>
      <c r="O80" s="1117"/>
      <c r="P80" s="1118"/>
      <c r="Q80" s="440">
        <f>SUM(Q63:Q78)</f>
        <v>56415625</v>
      </c>
      <c r="R80" s="441"/>
      <c r="S80" s="1117" t="s">
        <v>99</v>
      </c>
      <c r="T80" s="1117"/>
      <c r="U80" s="1117"/>
      <c r="V80" s="1118"/>
      <c r="W80" s="442">
        <f>SUM(W63:W78)</f>
        <v>37835232</v>
      </c>
      <c r="X80" s="443">
        <f>SUM(X62:X74)</f>
        <v>268997169</v>
      </c>
      <c r="Y80" s="444">
        <f>SUM(Y62:Y74)</f>
        <v>4940977</v>
      </c>
      <c r="Z80" s="445">
        <f>SUM(X80:Y80)</f>
        <v>273938146</v>
      </c>
      <c r="AA80" s="443">
        <f>X80-D80</f>
        <v>-14900354</v>
      </c>
      <c r="AB80" s="446">
        <f>Y80-E80</f>
        <v>-2131351</v>
      </c>
      <c r="AC80" s="445">
        <f>SUM(AA80:AB80)</f>
        <v>-17031705</v>
      </c>
      <c r="AD80" s="447"/>
      <c r="AE80" s="447"/>
      <c r="AF80" s="447"/>
      <c r="AG80" s="447"/>
      <c r="AH80" s="447"/>
      <c r="AI80" s="447"/>
      <c r="AJ80" s="447"/>
      <c r="AK80" s="447"/>
      <c r="AL80" s="447"/>
      <c r="AM80" s="447"/>
      <c r="AN80" s="447"/>
      <c r="AO80" s="447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H80" s="447"/>
      <c r="BI80" s="447"/>
      <c r="BJ80" s="447"/>
      <c r="BK80" s="447"/>
      <c r="BL80" s="447"/>
      <c r="BM80" s="447"/>
      <c r="BN80" s="447"/>
      <c r="BO80" s="447"/>
      <c r="BP80" s="447"/>
      <c r="BQ80" s="447"/>
      <c r="BR80" s="447"/>
      <c r="BS80" s="447"/>
      <c r="BT80" s="447"/>
      <c r="BU80" s="447"/>
      <c r="BV80" s="447"/>
      <c r="BW80" s="447"/>
      <c r="BX80" s="447"/>
      <c r="BY80" s="447"/>
      <c r="BZ80" s="447"/>
      <c r="CA80" s="447"/>
      <c r="CB80" s="447"/>
      <c r="CC80" s="447"/>
      <c r="CD80" s="447"/>
      <c r="CE80" s="447"/>
      <c r="CF80" s="447"/>
      <c r="CG80" s="447"/>
      <c r="CH80" s="447"/>
      <c r="CI80" s="447"/>
      <c r="CJ80" s="447"/>
      <c r="CK80" s="447"/>
      <c r="CL80" s="447"/>
      <c r="CM80" s="447"/>
      <c r="CN80" s="447"/>
      <c r="CO80" s="447"/>
      <c r="CP80" s="447"/>
      <c r="CQ80" s="447"/>
      <c r="CR80" s="447"/>
      <c r="CS80" s="447"/>
      <c r="CT80" s="447"/>
      <c r="CU80" s="447"/>
      <c r="CV80" s="447"/>
      <c r="CW80" s="447"/>
      <c r="CX80" s="447"/>
      <c r="CY80" s="447"/>
      <c r="CZ80" s="447"/>
      <c r="DA80" s="447"/>
      <c r="DB80" s="447"/>
      <c r="DC80" s="447"/>
      <c r="DD80" s="447"/>
      <c r="DE80" s="447"/>
      <c r="DF80" s="447"/>
      <c r="DG80" s="447"/>
      <c r="DH80" s="447"/>
      <c r="DI80" s="447"/>
      <c r="DJ80" s="447"/>
      <c r="DK80" s="447"/>
      <c r="DL80" s="447"/>
      <c r="DM80" s="447"/>
      <c r="DN80" s="447"/>
      <c r="DO80" s="447"/>
      <c r="DP80" s="447"/>
      <c r="DQ80" s="447"/>
      <c r="DR80" s="447"/>
      <c r="DS80" s="447"/>
      <c r="DT80" s="447"/>
      <c r="DU80" s="447"/>
      <c r="DV80" s="447"/>
      <c r="DW80" s="447"/>
      <c r="DX80" s="447"/>
      <c r="DY80" s="447"/>
      <c r="DZ80" s="447"/>
      <c r="EA80" s="447"/>
      <c r="EB80" s="447"/>
      <c r="EC80" s="447"/>
      <c r="ED80" s="447"/>
      <c r="EE80" s="447"/>
      <c r="EF80" s="447"/>
      <c r="EG80" s="447"/>
      <c r="EH80" s="447"/>
      <c r="EI80" s="447"/>
      <c r="EJ80" s="447"/>
      <c r="EK80" s="447"/>
      <c r="EL80" s="447"/>
      <c r="EM80" s="447"/>
      <c r="EN80" s="447"/>
      <c r="EO80" s="447"/>
      <c r="EP80" s="447"/>
      <c r="EQ80" s="447"/>
      <c r="ER80" s="447"/>
      <c r="ES80" s="447"/>
      <c r="ET80" s="447"/>
      <c r="EU80" s="447"/>
      <c r="EV80" s="447"/>
      <c r="EW80" s="447"/>
      <c r="EX80" s="447"/>
      <c r="EY80" s="447"/>
      <c r="EZ80" s="447"/>
      <c r="FA80" s="447"/>
      <c r="FB80" s="447"/>
      <c r="FC80" s="447"/>
      <c r="FD80" s="447"/>
      <c r="FE80" s="447"/>
      <c r="FF80" s="447"/>
      <c r="FG80" s="447"/>
      <c r="FH80" s="447"/>
      <c r="FI80" s="447"/>
      <c r="FJ80" s="447"/>
      <c r="FK80" s="447"/>
      <c r="FL80" s="447"/>
      <c r="FM80" s="447"/>
      <c r="FN80" s="447"/>
      <c r="FO80" s="447"/>
      <c r="FP80" s="447"/>
      <c r="FQ80" s="447"/>
      <c r="FR80" s="447"/>
      <c r="FS80" s="447"/>
      <c r="FT80" s="447"/>
      <c r="FU80" s="447"/>
      <c r="FV80" s="447"/>
      <c r="FW80" s="447"/>
      <c r="FX80" s="447"/>
      <c r="FY80" s="447"/>
      <c r="FZ80" s="447"/>
      <c r="GA80" s="447"/>
      <c r="GB80" s="447"/>
      <c r="GC80" s="447"/>
      <c r="GD80" s="447"/>
      <c r="GE80" s="447"/>
      <c r="GF80" s="447"/>
      <c r="GG80" s="447"/>
      <c r="GH80" s="447"/>
      <c r="GI80" s="447"/>
      <c r="GJ80" s="447"/>
      <c r="GK80" s="447"/>
      <c r="GL80" s="447"/>
      <c r="GM80" s="447"/>
      <c r="GN80" s="447"/>
      <c r="GO80" s="447"/>
      <c r="GP80" s="447"/>
      <c r="GQ80" s="447"/>
      <c r="GR80" s="447"/>
      <c r="GS80" s="447"/>
      <c r="GT80" s="447"/>
      <c r="GU80" s="447"/>
      <c r="GV80" s="447"/>
      <c r="GW80" s="447"/>
      <c r="GX80" s="447"/>
      <c r="GY80" s="447"/>
      <c r="GZ80" s="447"/>
      <c r="HA80" s="447"/>
      <c r="HB80" s="447"/>
      <c r="HC80" s="447"/>
      <c r="HD80" s="447"/>
      <c r="HE80" s="447"/>
      <c r="HF80" s="447"/>
      <c r="HG80" s="447"/>
      <c r="HH80" s="447"/>
      <c r="HI80" s="447"/>
      <c r="HJ80" s="447"/>
      <c r="HK80" s="447"/>
      <c r="HL80" s="447"/>
      <c r="HM80" s="447"/>
      <c r="HN80" s="447"/>
      <c r="HO80" s="447"/>
    </row>
    <row r="81" spans="1:29" ht="21" customHeight="1" thickBot="1" thickTop="1">
      <c r="A81" s="1210" t="s">
        <v>361</v>
      </c>
      <c r="B81" s="1211"/>
      <c r="C81" s="1212"/>
      <c r="D81" s="401">
        <f>SUM(D80,D51,D42,D59)</f>
        <v>1440441558</v>
      </c>
      <c r="E81" s="401">
        <f>SUM(E80,E51,E42,E59)</f>
        <v>1338088688</v>
      </c>
      <c r="F81" s="633">
        <f>SUM(D81:E81)</f>
        <v>2778530246</v>
      </c>
      <c r="G81" s="760"/>
      <c r="H81" s="1195" t="s">
        <v>102</v>
      </c>
      <c r="I81" s="1196"/>
      <c r="J81" s="1197"/>
      <c r="K81" s="403">
        <f>SUM(K80,K51,K42,K59)</f>
        <v>594687594</v>
      </c>
      <c r="L81" s="402"/>
      <c r="M81" s="1179" t="s">
        <v>103</v>
      </c>
      <c r="N81" s="1179"/>
      <c r="O81" s="1179"/>
      <c r="P81" s="1180"/>
      <c r="Q81" s="403">
        <f>SUM(Q80,Q51,Q42,Q59)</f>
        <v>1459354707</v>
      </c>
      <c r="R81" s="404"/>
      <c r="S81" s="1179" t="s">
        <v>104</v>
      </c>
      <c r="T81" s="1179"/>
      <c r="U81" s="1179"/>
      <c r="V81" s="1180"/>
      <c r="W81" s="722">
        <f>SUM(W80,W51,W42,W59)</f>
        <v>724487945</v>
      </c>
      <c r="X81" s="723">
        <f>SUM(X80,X51,X42,X59)</f>
        <v>1431110756</v>
      </c>
      <c r="Y81" s="405">
        <f>SUM(Y80,Y51,Y42,Y59)</f>
        <v>1347419490</v>
      </c>
      <c r="Z81" s="406">
        <f>SUM(W81+Q81+K81)</f>
        <v>2778530246</v>
      </c>
      <c r="AA81" s="405">
        <f>SUM(AA80,AA51,AA42,AA59)</f>
        <v>-9330802</v>
      </c>
      <c r="AB81" s="405">
        <f>SUM(AB80,AB51,AB42,AB59)</f>
        <v>9330802</v>
      </c>
      <c r="AC81" s="633">
        <f>SUM(AC80,AC51,AC42,AC59)</f>
        <v>0</v>
      </c>
    </row>
    <row r="82" spans="1:29" ht="19.5" thickTop="1">
      <c r="A82" s="1192"/>
      <c r="B82" s="1193"/>
      <c r="C82" s="1193"/>
      <c r="D82" s="378"/>
      <c r="E82" s="378"/>
      <c r="F82" s="378"/>
      <c r="G82" s="328"/>
      <c r="H82" s="328"/>
      <c r="I82" s="328"/>
      <c r="J82" s="407"/>
      <c r="K82" s="357"/>
      <c r="L82" s="326"/>
      <c r="M82" s="317"/>
      <c r="N82" s="317"/>
      <c r="O82" s="317"/>
      <c r="P82" s="317"/>
      <c r="Q82" s="317"/>
      <c r="R82" s="326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26"/>
    </row>
    <row r="83" spans="1:29" ht="15.75">
      <c r="A83" s="378"/>
      <c r="B83" s="378"/>
      <c r="C83" s="378"/>
      <c r="D83" s="1182" t="s">
        <v>480</v>
      </c>
      <c r="E83" s="1183"/>
      <c r="F83" s="1183"/>
      <c r="G83" s="281"/>
      <c r="H83" s="281"/>
      <c r="I83" s="281"/>
      <c r="J83" s="274"/>
      <c r="K83" s="357"/>
      <c r="L83" s="317"/>
      <c r="M83" s="317"/>
      <c r="N83" s="317"/>
      <c r="O83" s="317"/>
      <c r="P83" s="317"/>
      <c r="Q83" s="317"/>
      <c r="R83" s="317"/>
      <c r="S83" s="378"/>
      <c r="T83" s="378"/>
      <c r="U83" s="378"/>
      <c r="V83" s="378"/>
      <c r="W83" s="1182" t="s">
        <v>105</v>
      </c>
      <c r="X83" s="1183"/>
      <c r="Y83" s="1183"/>
      <c r="Z83" s="408"/>
      <c r="AA83" s="1182" t="s">
        <v>90</v>
      </c>
      <c r="AB83" s="1183"/>
      <c r="AC83" s="1183"/>
    </row>
    <row r="84" spans="1:29" ht="15.75">
      <c r="A84" s="378"/>
      <c r="B84" s="378"/>
      <c r="C84" s="378"/>
      <c r="D84" s="409" t="s">
        <v>91</v>
      </c>
      <c r="E84" s="409" t="s">
        <v>106</v>
      </c>
      <c r="F84" s="409" t="s">
        <v>92</v>
      </c>
      <c r="G84" s="281"/>
      <c r="H84" s="281"/>
      <c r="I84" s="281"/>
      <c r="J84" s="274"/>
      <c r="K84" s="357"/>
      <c r="L84" s="317"/>
      <c r="M84" s="317"/>
      <c r="N84" s="317"/>
      <c r="O84" s="317"/>
      <c r="P84" s="317"/>
      <c r="Q84" s="317"/>
      <c r="R84" s="317"/>
      <c r="S84" s="1186"/>
      <c r="T84" s="1186"/>
      <c r="U84" s="1186"/>
      <c r="V84" s="1186"/>
      <c r="W84" s="409" t="s">
        <v>91</v>
      </c>
      <c r="X84" s="409" t="s">
        <v>106</v>
      </c>
      <c r="Y84" s="409" t="s">
        <v>92</v>
      </c>
      <c r="Z84" s="410"/>
      <c r="AA84" s="409" t="s">
        <v>91</v>
      </c>
      <c r="AB84" s="409" t="s">
        <v>106</v>
      </c>
      <c r="AC84" s="409" t="s">
        <v>92</v>
      </c>
    </row>
    <row r="85" spans="1:29" ht="15.75">
      <c r="A85" s="378"/>
      <c r="B85" s="378"/>
      <c r="C85" s="411" t="s">
        <v>107</v>
      </c>
      <c r="D85" s="378"/>
      <c r="E85" s="378"/>
      <c r="F85" s="378"/>
      <c r="G85" s="281"/>
      <c r="H85" s="281"/>
      <c r="I85" s="281"/>
      <c r="J85" s="274"/>
      <c r="K85" s="357"/>
      <c r="L85" s="317"/>
      <c r="M85" s="317"/>
      <c r="N85" s="317"/>
      <c r="O85" s="317"/>
      <c r="P85" s="317"/>
      <c r="Q85" s="317"/>
      <c r="R85" s="317"/>
      <c r="S85" s="378"/>
      <c r="T85" s="411" t="s">
        <v>107</v>
      </c>
      <c r="U85" s="378"/>
      <c r="V85" s="1182"/>
      <c r="W85" s="1183"/>
      <c r="X85" s="378"/>
      <c r="Y85" s="378"/>
      <c r="Z85" s="378"/>
      <c r="AA85" s="378"/>
      <c r="AB85" s="378"/>
      <c r="AC85" s="317"/>
    </row>
    <row r="86" spans="1:29" ht="15.75">
      <c r="A86" s="378"/>
      <c r="B86" s="378"/>
      <c r="C86" s="378" t="s">
        <v>108</v>
      </c>
      <c r="D86" s="412">
        <f>SUM(D10)</f>
        <v>690507069</v>
      </c>
      <c r="E86" s="412">
        <f>SUM(E10)</f>
        <v>256563725</v>
      </c>
      <c r="F86" s="412">
        <f>SUM(D86:E86)</f>
        <v>947070794</v>
      </c>
      <c r="G86" s="281"/>
      <c r="H86" s="281"/>
      <c r="I86" s="281"/>
      <c r="J86" s="274"/>
      <c r="K86" s="357"/>
      <c r="L86" s="317"/>
      <c r="M86" s="317"/>
      <c r="N86" s="317"/>
      <c r="O86" s="317"/>
      <c r="P86" s="317"/>
      <c r="Q86" s="317"/>
      <c r="R86" s="317"/>
      <c r="S86" s="378"/>
      <c r="T86" s="378" t="s">
        <v>108</v>
      </c>
      <c r="U86" s="378"/>
      <c r="V86" s="378"/>
      <c r="W86" s="412">
        <f>SUM(X14)</f>
        <v>751499949</v>
      </c>
      <c r="X86" s="412">
        <f>Y14</f>
        <v>248520491</v>
      </c>
      <c r="Y86" s="412">
        <f>SUM(W86:X86)</f>
        <v>1000020440</v>
      </c>
      <c r="Z86" s="363"/>
      <c r="AA86" s="412">
        <f aca="true" t="shared" si="0" ref="AA86:AB89">W86-D86</f>
        <v>60992880</v>
      </c>
      <c r="AB86" s="412">
        <f t="shared" si="0"/>
        <v>-8043234</v>
      </c>
      <c r="AC86" s="363">
        <f>SUM(AA86:AB86)</f>
        <v>52949646</v>
      </c>
    </row>
    <row r="87" spans="1:29" ht="15.75">
      <c r="A87" s="378"/>
      <c r="B87" s="378"/>
      <c r="C87" s="378" t="s">
        <v>367</v>
      </c>
      <c r="D87" s="412">
        <f>SUM(D47)</f>
        <v>128805007</v>
      </c>
      <c r="E87" s="412">
        <f>SUM(E47)</f>
        <v>8833887</v>
      </c>
      <c r="F87" s="412">
        <f>SUM(D87:E87)</f>
        <v>137638894</v>
      </c>
      <c r="G87" s="281"/>
      <c r="H87" s="281"/>
      <c r="I87" s="281"/>
      <c r="J87" s="413"/>
      <c r="K87" s="357"/>
      <c r="L87" s="317"/>
      <c r="M87" s="317"/>
      <c r="N87" s="317"/>
      <c r="O87" s="317"/>
      <c r="P87" s="317"/>
      <c r="Q87" s="317"/>
      <c r="R87" s="317"/>
      <c r="S87" s="378"/>
      <c r="T87" s="378" t="s">
        <v>367</v>
      </c>
      <c r="U87" s="378"/>
      <c r="V87" s="378"/>
      <c r="W87" s="412">
        <f>SUM(X47)</f>
        <v>138551612</v>
      </c>
      <c r="X87" s="412">
        <f>Y47</f>
        <v>0</v>
      </c>
      <c r="Y87" s="412">
        <f>SUM(W87:X87)</f>
        <v>138551612</v>
      </c>
      <c r="Z87" s="363"/>
      <c r="AA87" s="412">
        <f t="shared" si="0"/>
        <v>9746605</v>
      </c>
      <c r="AB87" s="412">
        <f t="shared" si="0"/>
        <v>-8833887</v>
      </c>
      <c r="AC87" s="363">
        <f>SUM(AA87:AB87)</f>
        <v>912718</v>
      </c>
    </row>
    <row r="88" spans="1:29" ht="15.75">
      <c r="A88" s="378"/>
      <c r="B88" s="378"/>
      <c r="C88" s="378" t="s">
        <v>803</v>
      </c>
      <c r="D88" s="412">
        <f>SUM(D56)</f>
        <v>6275437</v>
      </c>
      <c r="E88" s="412">
        <f>SUM(E56)</f>
        <v>51440</v>
      </c>
      <c r="F88" s="412">
        <f>SUM(D88:E88)</f>
        <v>6326877</v>
      </c>
      <c r="G88" s="281"/>
      <c r="H88" s="281"/>
      <c r="I88" s="281"/>
      <c r="J88" s="413"/>
      <c r="K88" s="357"/>
      <c r="L88" s="317"/>
      <c r="M88" s="317"/>
      <c r="N88" s="317"/>
      <c r="O88" s="317"/>
      <c r="P88" s="317"/>
      <c r="Q88" s="317"/>
      <c r="R88" s="317"/>
      <c r="S88" s="378"/>
      <c r="T88" s="378" t="s">
        <v>853</v>
      </c>
      <c r="U88" s="378"/>
      <c r="V88" s="378"/>
      <c r="W88" s="412">
        <f>X56</f>
        <v>13009627</v>
      </c>
      <c r="X88" s="412">
        <f>Y56</f>
        <v>0</v>
      </c>
      <c r="Y88" s="412">
        <f>SUM(W88:X88)</f>
        <v>13009627</v>
      </c>
      <c r="Z88" s="363"/>
      <c r="AA88" s="412">
        <f>W88-D88</f>
        <v>6734190</v>
      </c>
      <c r="AB88" s="412">
        <f>X88-E88</f>
        <v>-51440</v>
      </c>
      <c r="AC88" s="363">
        <f>SUM(AA88:AB88)</f>
        <v>6682750</v>
      </c>
    </row>
    <row r="89" spans="1:29" ht="12.75">
      <c r="A89" s="378"/>
      <c r="B89" s="378"/>
      <c r="C89" s="414" t="s">
        <v>109</v>
      </c>
      <c r="D89" s="415">
        <f>SUM(D66)</f>
        <v>201244820</v>
      </c>
      <c r="E89" s="415">
        <f>SUM(E66)</f>
        <v>1940066</v>
      </c>
      <c r="F89" s="415">
        <f>SUM(D89:E89)</f>
        <v>203184886</v>
      </c>
      <c r="G89" s="378"/>
      <c r="H89" s="378"/>
      <c r="I89" s="378"/>
      <c r="J89" s="378"/>
      <c r="K89" s="317"/>
      <c r="L89" s="317"/>
      <c r="M89" s="317"/>
      <c r="N89" s="317"/>
      <c r="O89" s="317"/>
      <c r="P89" s="317"/>
      <c r="Q89" s="317"/>
      <c r="R89" s="317"/>
      <c r="S89" s="378"/>
      <c r="T89" s="414" t="s">
        <v>109</v>
      </c>
      <c r="U89" s="416"/>
      <c r="V89" s="416"/>
      <c r="W89" s="415">
        <f>SUM(X66)</f>
        <v>187432828</v>
      </c>
      <c r="X89" s="415">
        <f>Y66</f>
        <v>0</v>
      </c>
      <c r="Y89" s="415">
        <f>SUM(W89:X89)</f>
        <v>187432828</v>
      </c>
      <c r="Z89" s="363"/>
      <c r="AA89" s="415">
        <f t="shared" si="0"/>
        <v>-13811992</v>
      </c>
      <c r="AB89" s="415">
        <f t="shared" si="0"/>
        <v>-1940066</v>
      </c>
      <c r="AC89" s="415">
        <f>SUM(AA89:AB89)</f>
        <v>-15752058</v>
      </c>
    </row>
    <row r="90" spans="1:29" ht="12.75">
      <c r="A90" s="378"/>
      <c r="B90" s="378"/>
      <c r="C90" s="417" t="s">
        <v>360</v>
      </c>
      <c r="D90" s="412">
        <f>SUM(D86:D89)</f>
        <v>1026832333</v>
      </c>
      <c r="E90" s="412">
        <f>SUM(E86:E89)</f>
        <v>267389118</v>
      </c>
      <c r="F90" s="412">
        <f>SUM(F86:F89)</f>
        <v>1294221451</v>
      </c>
      <c r="G90" s="378"/>
      <c r="H90" s="378"/>
      <c r="I90" s="378"/>
      <c r="J90" s="378"/>
      <c r="K90" s="317"/>
      <c r="L90" s="317"/>
      <c r="M90" s="317"/>
      <c r="N90" s="317"/>
      <c r="O90" s="317"/>
      <c r="P90" s="317"/>
      <c r="Q90" s="317"/>
      <c r="R90" s="317"/>
      <c r="S90" s="378"/>
      <c r="T90" s="417" t="s">
        <v>360</v>
      </c>
      <c r="U90" s="378"/>
      <c r="V90" s="417"/>
      <c r="W90" s="412">
        <f>SUM(W86:W89)</f>
        <v>1090494016</v>
      </c>
      <c r="X90" s="412">
        <f>SUM(X86:X89)</f>
        <v>248520491</v>
      </c>
      <c r="Y90" s="412">
        <f>SUM(Y86:Y89)</f>
        <v>1339014507</v>
      </c>
      <c r="Z90" s="363"/>
      <c r="AA90" s="412">
        <f>SUM(AA86:AA89)</f>
        <v>63661683</v>
      </c>
      <c r="AB90" s="412">
        <f>SUM(AB86:AB89)</f>
        <v>-18868627</v>
      </c>
      <c r="AC90" s="412">
        <f>SUM(AC86:AC89)</f>
        <v>44793056</v>
      </c>
    </row>
    <row r="91" spans="1:29" ht="12.75">
      <c r="A91" s="378"/>
      <c r="B91" s="378"/>
      <c r="C91" s="417"/>
      <c r="D91" s="412"/>
      <c r="E91" s="412"/>
      <c r="F91" s="412"/>
      <c r="G91" s="378"/>
      <c r="H91" s="378"/>
      <c r="I91" s="378"/>
      <c r="J91" s="378"/>
      <c r="K91" s="378"/>
      <c r="L91" s="317"/>
      <c r="M91" s="317"/>
      <c r="N91" s="317"/>
      <c r="O91" s="317"/>
      <c r="P91" s="317"/>
      <c r="Q91" s="317"/>
      <c r="R91" s="317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17"/>
    </row>
    <row r="92" spans="1:29" ht="12.75">
      <c r="A92" s="378"/>
      <c r="B92" s="378"/>
      <c r="C92" s="411" t="s">
        <v>110</v>
      </c>
      <c r="D92" s="412"/>
      <c r="E92" s="412"/>
      <c r="F92" s="412"/>
      <c r="G92" s="378"/>
      <c r="H92" s="378"/>
      <c r="I92" s="378"/>
      <c r="J92" s="378"/>
      <c r="K92" s="378"/>
      <c r="L92" s="317"/>
      <c r="M92" s="317"/>
      <c r="N92" s="317"/>
      <c r="O92" s="317"/>
      <c r="P92" s="317"/>
      <c r="Q92" s="317"/>
      <c r="R92" s="317"/>
      <c r="S92" s="378"/>
      <c r="T92" s="411" t="s">
        <v>110</v>
      </c>
      <c r="U92" s="418"/>
      <c r="V92" s="411"/>
      <c r="W92" s="419"/>
      <c r="X92" s="419"/>
      <c r="Y92" s="378"/>
      <c r="Z92" s="378"/>
      <c r="AA92" s="378"/>
      <c r="AB92" s="378"/>
      <c r="AC92" s="317"/>
    </row>
    <row r="93" spans="1:29" ht="12.75">
      <c r="A93" s="378"/>
      <c r="B93" s="378"/>
      <c r="C93" s="378" t="s">
        <v>108</v>
      </c>
      <c r="D93" s="412">
        <f>SUM(D34)</f>
        <v>277828159</v>
      </c>
      <c r="E93" s="412">
        <f>SUM(E34)</f>
        <v>1064352251</v>
      </c>
      <c r="F93" s="412">
        <f>SUM(D93:E93)</f>
        <v>1342180410</v>
      </c>
      <c r="G93" s="378"/>
      <c r="H93" s="378"/>
      <c r="I93" s="378"/>
      <c r="J93" s="378"/>
      <c r="K93" s="378"/>
      <c r="L93" s="317"/>
      <c r="M93" s="317"/>
      <c r="N93" s="317"/>
      <c r="O93" s="317"/>
      <c r="P93" s="317"/>
      <c r="Q93" s="317"/>
      <c r="R93" s="317"/>
      <c r="S93" s="378"/>
      <c r="T93" s="378" t="s">
        <v>108</v>
      </c>
      <c r="U93" s="378"/>
      <c r="V93" s="378"/>
      <c r="W93" s="412">
        <f>SUM(X34)</f>
        <v>220086342</v>
      </c>
      <c r="X93" s="412">
        <f>Y34</f>
        <v>1093958022</v>
      </c>
      <c r="Y93" s="412">
        <f>SUM(W93:X93)</f>
        <v>1314044364</v>
      </c>
      <c r="Z93" s="363"/>
      <c r="AA93" s="412">
        <f aca="true" t="shared" si="1" ref="AA93:AB96">W93-D93</f>
        <v>-57741817</v>
      </c>
      <c r="AB93" s="412">
        <f t="shared" si="1"/>
        <v>29605771</v>
      </c>
      <c r="AC93" s="363">
        <f>SUM(AA93:AB93)</f>
        <v>-28136046</v>
      </c>
    </row>
    <row r="94" spans="1:29" ht="12.75">
      <c r="A94" s="378"/>
      <c r="B94" s="378"/>
      <c r="C94" s="378" t="s">
        <v>367</v>
      </c>
      <c r="D94" s="412">
        <f>D50</f>
        <v>3346000</v>
      </c>
      <c r="E94" s="412">
        <v>0</v>
      </c>
      <c r="F94" s="412">
        <f>SUM(D94:E94)</f>
        <v>3346000</v>
      </c>
      <c r="G94" s="378"/>
      <c r="H94" s="378"/>
      <c r="I94" s="378"/>
      <c r="J94" s="378"/>
      <c r="K94" s="378"/>
      <c r="L94" s="317"/>
      <c r="M94" s="317"/>
      <c r="N94" s="317"/>
      <c r="O94" s="317"/>
      <c r="P94" s="317"/>
      <c r="Q94" s="317"/>
      <c r="R94" s="317"/>
      <c r="S94" s="378"/>
      <c r="T94" s="378" t="s">
        <v>367</v>
      </c>
      <c r="U94" s="378"/>
      <c r="V94" s="378"/>
      <c r="W94" s="412">
        <v>0</v>
      </c>
      <c r="X94" s="412">
        <v>0</v>
      </c>
      <c r="Y94" s="412">
        <f>SUM(W94:X94)</f>
        <v>0</v>
      </c>
      <c r="Z94" s="363"/>
      <c r="AA94" s="412">
        <f t="shared" si="1"/>
        <v>-3346000</v>
      </c>
      <c r="AB94" s="412">
        <f t="shared" si="1"/>
        <v>0</v>
      </c>
      <c r="AC94" s="363">
        <f>SUM(AA94:AB94)</f>
        <v>-3346000</v>
      </c>
    </row>
    <row r="95" spans="1:29" ht="12.75">
      <c r="A95" s="378"/>
      <c r="B95" s="378"/>
      <c r="C95" s="378" t="s">
        <v>803</v>
      </c>
      <c r="D95" s="412">
        <f>SUM(D58)</f>
        <v>0</v>
      </c>
      <c r="E95" s="412">
        <f>SUM(E58)</f>
        <v>0</v>
      </c>
      <c r="F95" s="412">
        <f>SUM(D95:E95)</f>
        <v>0</v>
      </c>
      <c r="G95" s="378"/>
      <c r="H95" s="378"/>
      <c r="I95" s="378"/>
      <c r="J95" s="378"/>
      <c r="K95" s="378"/>
      <c r="L95" s="317"/>
      <c r="M95" s="317"/>
      <c r="N95" s="317"/>
      <c r="O95" s="317"/>
      <c r="P95" s="317"/>
      <c r="Q95" s="317"/>
      <c r="R95" s="317"/>
      <c r="S95" s="378"/>
      <c r="T95" s="378" t="s">
        <v>853</v>
      </c>
      <c r="U95" s="378"/>
      <c r="V95" s="378"/>
      <c r="W95" s="412">
        <f>X57</f>
        <v>0</v>
      </c>
      <c r="X95" s="412">
        <f>Y58</f>
        <v>0</v>
      </c>
      <c r="Y95" s="412">
        <f>SUM(W95:X95)</f>
        <v>0</v>
      </c>
      <c r="Z95" s="363"/>
      <c r="AA95" s="412">
        <f>W95-D95</f>
        <v>0</v>
      </c>
      <c r="AB95" s="412">
        <f>X95-E95</f>
        <v>0</v>
      </c>
      <c r="AC95" s="363">
        <f>SUM(AA95:AB95)</f>
        <v>0</v>
      </c>
    </row>
    <row r="96" spans="1:29" ht="12.75">
      <c r="A96" s="378"/>
      <c r="B96" s="378"/>
      <c r="C96" s="414" t="s">
        <v>109</v>
      </c>
      <c r="D96" s="415">
        <f>SUM(D74)</f>
        <v>82652703</v>
      </c>
      <c r="E96" s="415">
        <f>SUM(E74)</f>
        <v>5132262</v>
      </c>
      <c r="F96" s="415">
        <f>SUM(D96:E96)</f>
        <v>87784965</v>
      </c>
      <c r="G96" s="378"/>
      <c r="H96" s="378"/>
      <c r="I96" s="378"/>
      <c r="J96" s="378"/>
      <c r="K96" s="378"/>
      <c r="L96" s="317"/>
      <c r="M96" s="317"/>
      <c r="N96" s="317"/>
      <c r="O96" s="317"/>
      <c r="P96" s="317"/>
      <c r="Q96" s="317"/>
      <c r="R96" s="317"/>
      <c r="S96" s="378"/>
      <c r="T96" s="414" t="s">
        <v>109</v>
      </c>
      <c r="U96" s="416"/>
      <c r="V96" s="416"/>
      <c r="W96" s="415">
        <f>SUM(X74)</f>
        <v>81564341</v>
      </c>
      <c r="X96" s="415">
        <f>Y74</f>
        <v>4940977</v>
      </c>
      <c r="Y96" s="415">
        <f>SUM(W96:X96)</f>
        <v>86505318</v>
      </c>
      <c r="Z96" s="363"/>
      <c r="AA96" s="415">
        <f t="shared" si="1"/>
        <v>-1088362</v>
      </c>
      <c r="AB96" s="415">
        <f t="shared" si="1"/>
        <v>-191285</v>
      </c>
      <c r="AC96" s="415">
        <f>SUM(AA96:AB96)</f>
        <v>-1279647</v>
      </c>
    </row>
    <row r="97" spans="1:29" ht="12.75">
      <c r="A97" s="378"/>
      <c r="B97" s="378"/>
      <c r="C97" s="417" t="s">
        <v>360</v>
      </c>
      <c r="D97" s="412">
        <f>SUM(D93:D96)</f>
        <v>363826862</v>
      </c>
      <c r="E97" s="412">
        <f>SUM(E93:E96)</f>
        <v>1069484513</v>
      </c>
      <c r="F97" s="412">
        <f>SUM(F93:F96)</f>
        <v>1433311375</v>
      </c>
      <c r="G97" s="378"/>
      <c r="H97" s="378"/>
      <c r="I97" s="378"/>
      <c r="J97" s="378"/>
      <c r="K97" s="378"/>
      <c r="L97" s="317"/>
      <c r="M97" s="317"/>
      <c r="N97" s="317"/>
      <c r="O97" s="317"/>
      <c r="P97" s="317"/>
      <c r="Q97" s="317"/>
      <c r="R97" s="317"/>
      <c r="S97" s="378"/>
      <c r="T97" s="417" t="s">
        <v>360</v>
      </c>
      <c r="U97" s="378"/>
      <c r="V97" s="417"/>
      <c r="W97" s="412">
        <f>SUM(W93:W96)</f>
        <v>301650683</v>
      </c>
      <c r="X97" s="412">
        <f>SUM(X93:X96)</f>
        <v>1098898999</v>
      </c>
      <c r="Y97" s="412">
        <f>SUM(Y93:Y96)</f>
        <v>1400549682</v>
      </c>
      <c r="Z97" s="363"/>
      <c r="AA97" s="412">
        <f>SUM(AA93:AA96)</f>
        <v>-62176179</v>
      </c>
      <c r="AB97" s="412">
        <f>SUM(AB93:AB96)</f>
        <v>29414486</v>
      </c>
      <c r="AC97" s="412">
        <f>SUM(AC93:AC96)</f>
        <v>-32761693</v>
      </c>
    </row>
    <row r="98" spans="1:29" ht="12.75">
      <c r="A98" s="378"/>
      <c r="B98" s="378"/>
      <c r="C98" s="417"/>
      <c r="D98" s="412"/>
      <c r="E98" s="412"/>
      <c r="F98" s="412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17"/>
      <c r="AA98" s="412"/>
      <c r="AB98" s="412"/>
      <c r="AC98" s="317"/>
    </row>
    <row r="99" spans="1:29" ht="12.75">
      <c r="A99" s="378"/>
      <c r="B99" s="378"/>
      <c r="C99" s="411" t="s">
        <v>111</v>
      </c>
      <c r="D99" s="412"/>
      <c r="E99" s="412"/>
      <c r="F99" s="412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411" t="s">
        <v>111</v>
      </c>
      <c r="U99" s="378"/>
      <c r="V99" s="411"/>
      <c r="W99" s="378"/>
      <c r="X99" s="378"/>
      <c r="Y99" s="378"/>
      <c r="Z99" s="317"/>
      <c r="AA99" s="412"/>
      <c r="AB99" s="412"/>
      <c r="AC99" s="317"/>
    </row>
    <row r="100" spans="1:29" ht="12.75">
      <c r="A100" s="378"/>
      <c r="B100" s="378"/>
      <c r="C100" s="378" t="s">
        <v>108</v>
      </c>
      <c r="D100" s="412">
        <f>SUM(D26)</f>
        <v>49782363</v>
      </c>
      <c r="E100" s="412">
        <f>SUM(E26)</f>
        <v>1215057</v>
      </c>
      <c r="F100" s="412">
        <f>SUM(D100:E100)</f>
        <v>50997420</v>
      </c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 t="s">
        <v>108</v>
      </c>
      <c r="U100" s="378"/>
      <c r="V100" s="378"/>
      <c r="W100" s="412">
        <f>SUM(X26)</f>
        <v>38966057</v>
      </c>
      <c r="X100" s="412">
        <v>0</v>
      </c>
      <c r="Y100" s="412">
        <f>SUM(W100:X100)</f>
        <v>38966057</v>
      </c>
      <c r="Z100" s="363"/>
      <c r="AA100" s="412">
        <f aca="true" t="shared" si="2" ref="AA100:AB103">W100-D100</f>
        <v>-10816306</v>
      </c>
      <c r="AB100" s="412">
        <f t="shared" si="2"/>
        <v>-1215057</v>
      </c>
      <c r="AC100" s="363">
        <f>SUM(AA100:AB100)</f>
        <v>-12031363</v>
      </c>
    </row>
    <row r="101" spans="1:29" ht="12.75">
      <c r="A101" s="378"/>
      <c r="B101" s="378"/>
      <c r="C101" s="378" t="s">
        <v>367</v>
      </c>
      <c r="D101" s="412">
        <v>0</v>
      </c>
      <c r="E101" s="412">
        <v>0</v>
      </c>
      <c r="F101" s="412">
        <f>SUM(D101:E101)</f>
        <v>0</v>
      </c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 t="s">
        <v>367</v>
      </c>
      <c r="U101" s="378"/>
      <c r="V101" s="378"/>
      <c r="W101" s="412">
        <v>0</v>
      </c>
      <c r="X101" s="412">
        <v>0</v>
      </c>
      <c r="Y101" s="412">
        <f>SUM(W101:X101)</f>
        <v>0</v>
      </c>
      <c r="Z101" s="363"/>
      <c r="AA101" s="412">
        <f t="shared" si="2"/>
        <v>0</v>
      </c>
      <c r="AB101" s="412">
        <f t="shared" si="2"/>
        <v>0</v>
      </c>
      <c r="AC101" s="363">
        <f>SUM(AA101:AB101)</f>
        <v>0</v>
      </c>
    </row>
    <row r="102" spans="1:29" ht="12.75">
      <c r="A102" s="378"/>
      <c r="B102" s="378"/>
      <c r="C102" s="378" t="s">
        <v>803</v>
      </c>
      <c r="D102" s="412">
        <v>0</v>
      </c>
      <c r="E102" s="412">
        <v>0</v>
      </c>
      <c r="F102" s="412">
        <f>SUM(D102:E102)</f>
        <v>0</v>
      </c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 t="s">
        <v>853</v>
      </c>
      <c r="U102" s="378"/>
      <c r="V102" s="378"/>
      <c r="W102" s="412">
        <v>0</v>
      </c>
      <c r="X102" s="412">
        <v>0</v>
      </c>
      <c r="Y102" s="412">
        <f>SUM(W102:X102)</f>
        <v>0</v>
      </c>
      <c r="Z102" s="363"/>
      <c r="AA102" s="412">
        <f>W102-D102</f>
        <v>0</v>
      </c>
      <c r="AB102" s="412">
        <f>X102-E102</f>
        <v>0</v>
      </c>
      <c r="AC102" s="363">
        <f>SUM(AA102:AB102)</f>
        <v>0</v>
      </c>
    </row>
    <row r="103" spans="1:29" ht="12.75">
      <c r="A103" s="378"/>
      <c r="B103" s="378"/>
      <c r="C103" s="414" t="s">
        <v>109</v>
      </c>
      <c r="D103" s="415">
        <v>0</v>
      </c>
      <c r="E103" s="415">
        <v>0</v>
      </c>
      <c r="F103" s="415">
        <f>SUM(D103:E103)</f>
        <v>0</v>
      </c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414" t="s">
        <v>109</v>
      </c>
      <c r="U103" s="416"/>
      <c r="V103" s="416"/>
      <c r="W103" s="415">
        <v>0</v>
      </c>
      <c r="X103" s="415">
        <v>0</v>
      </c>
      <c r="Y103" s="415">
        <f>SUM(W103:X103)</f>
        <v>0</v>
      </c>
      <c r="Z103" s="363"/>
      <c r="AA103" s="415">
        <f t="shared" si="2"/>
        <v>0</v>
      </c>
      <c r="AB103" s="415">
        <f t="shared" si="2"/>
        <v>0</v>
      </c>
      <c r="AC103" s="415">
        <f>SUM(AA103:AB103)</f>
        <v>0</v>
      </c>
    </row>
    <row r="104" spans="1:29" ht="12.75">
      <c r="A104" s="378"/>
      <c r="B104" s="378"/>
      <c r="C104" s="417" t="s">
        <v>360</v>
      </c>
      <c r="D104" s="412">
        <f>SUM(D100:D103)</f>
        <v>49782363</v>
      </c>
      <c r="E104" s="412">
        <f>SUM(E100:E103)</f>
        <v>1215057</v>
      </c>
      <c r="F104" s="412">
        <f>SUM(F100:F103)</f>
        <v>50997420</v>
      </c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417" t="s">
        <v>360</v>
      </c>
      <c r="U104" s="378"/>
      <c r="V104" s="417"/>
      <c r="W104" s="412">
        <f>SUM(W100:W103)</f>
        <v>38966057</v>
      </c>
      <c r="X104" s="412">
        <f>SUM(X100:X103)</f>
        <v>0</v>
      </c>
      <c r="Y104" s="412">
        <f>SUM(Y100:Y103)</f>
        <v>38966057</v>
      </c>
      <c r="Z104" s="363"/>
      <c r="AA104" s="412">
        <f>SUM(AA100:AA103)</f>
        <v>-10816306</v>
      </c>
      <c r="AB104" s="412">
        <f>SUM(AB100:AB103)</f>
        <v>-1215057</v>
      </c>
      <c r="AC104" s="412">
        <f>SUM(AC100:AC103)</f>
        <v>-12031363</v>
      </c>
    </row>
    <row r="105" spans="1:29" ht="12.75">
      <c r="A105" s="378"/>
      <c r="B105" s="378"/>
      <c r="C105" s="417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17"/>
      <c r="AA105" s="412"/>
      <c r="AB105" s="412"/>
      <c r="AC105" s="317"/>
    </row>
    <row r="106" spans="1:29" ht="12.75">
      <c r="A106" s="378"/>
      <c r="B106" s="378"/>
      <c r="C106" s="420" t="s">
        <v>112</v>
      </c>
      <c r="D106" s="421">
        <f>SUM(D104,D97,D90)</f>
        <v>1440441558</v>
      </c>
      <c r="E106" s="421">
        <f>SUM(E104,E97,E90)</f>
        <v>1338088688</v>
      </c>
      <c r="F106" s="421">
        <f>SUM(F104,F97,F90)</f>
        <v>2778530246</v>
      </c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 t="s">
        <v>112</v>
      </c>
      <c r="U106" s="420"/>
      <c r="V106" s="420"/>
      <c r="W106" s="421">
        <f>SUM(W104,W97,W90)</f>
        <v>1431110756</v>
      </c>
      <c r="X106" s="421">
        <f>SUM(X104,X97,X90)</f>
        <v>1347419490</v>
      </c>
      <c r="Y106" s="421">
        <f>SUM(Y104,Y97,Y90)</f>
        <v>2778530246</v>
      </c>
      <c r="Z106" s="297"/>
      <c r="AA106" s="421">
        <f>SUM(AA104,AA97,AA90)</f>
        <v>-9330802</v>
      </c>
      <c r="AB106" s="421">
        <f>SUM(AB104,AB97,AB90)</f>
        <v>9330802</v>
      </c>
      <c r="AC106" s="421">
        <f>SUM(AC104,AC97,AC90)</f>
        <v>0</v>
      </c>
    </row>
    <row r="107" spans="1:29" ht="12.75">
      <c r="A107" s="420"/>
      <c r="B107" s="420"/>
      <c r="D107" s="378"/>
      <c r="E107" s="378"/>
      <c r="F107" s="378"/>
      <c r="G107" s="412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17"/>
    </row>
    <row r="108" spans="1:29" ht="12.75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17"/>
    </row>
    <row r="109" spans="1:3" ht="12.75">
      <c r="A109" s="378"/>
      <c r="B109" s="378"/>
      <c r="C109" s="378"/>
    </row>
  </sheetData>
  <sheetProtection/>
  <mergeCells count="234">
    <mergeCell ref="W45:W49"/>
    <mergeCell ref="A50:C50"/>
    <mergeCell ref="L21:O21"/>
    <mergeCell ref="L22:O22"/>
    <mergeCell ref="L49:O49"/>
    <mergeCell ref="R49:U49"/>
    <mergeCell ref="K45:K49"/>
    <mergeCell ref="Q45:Q49"/>
    <mergeCell ref="K25:K26"/>
    <mergeCell ref="R26:U26"/>
    <mergeCell ref="G71:I71"/>
    <mergeCell ref="G70:I70"/>
    <mergeCell ref="G72:I72"/>
    <mergeCell ref="R32:U32"/>
    <mergeCell ref="R33:U33"/>
    <mergeCell ref="L29:O29"/>
    <mergeCell ref="G69:I69"/>
    <mergeCell ref="K57:K58"/>
    <mergeCell ref="R30:U30"/>
    <mergeCell ref="L41:O41"/>
    <mergeCell ref="R15:U15"/>
    <mergeCell ref="L37:O37"/>
    <mergeCell ref="L33:O33"/>
    <mergeCell ref="R74:U75"/>
    <mergeCell ref="L36:O36"/>
    <mergeCell ref="L23:O23"/>
    <mergeCell ref="Q19:Q24"/>
    <mergeCell ref="L43:Q44"/>
    <mergeCell ref="L39:O39"/>
    <mergeCell ref="L19:N19"/>
    <mergeCell ref="W35:W41"/>
    <mergeCell ref="AC74:AC79"/>
    <mergeCell ref="R79:U79"/>
    <mergeCell ref="W74:W76"/>
    <mergeCell ref="X74:X79"/>
    <mergeCell ref="Z74:Z79"/>
    <mergeCell ref="AA74:AA79"/>
    <mergeCell ref="Y74:Y79"/>
    <mergeCell ref="W77:W79"/>
    <mergeCell ref="V74:V75"/>
    <mergeCell ref="G26:I26"/>
    <mergeCell ref="W63:W73"/>
    <mergeCell ref="L64:O64"/>
    <mergeCell ref="R58:U58"/>
    <mergeCell ref="R61:W62"/>
    <mergeCell ref="L54:O55"/>
    <mergeCell ref="L28:O28"/>
    <mergeCell ref="L38:O38"/>
    <mergeCell ref="R52:W53"/>
    <mergeCell ref="R48:U48"/>
    <mergeCell ref="L13:O13"/>
    <mergeCell ref="G18:I18"/>
    <mergeCell ref="K27:K34"/>
    <mergeCell ref="L31:O31"/>
    <mergeCell ref="L32:O32"/>
    <mergeCell ref="L30:O30"/>
    <mergeCell ref="L26:O26"/>
    <mergeCell ref="L27:O27"/>
    <mergeCell ref="L34:O34"/>
    <mergeCell ref="G25:I25"/>
    <mergeCell ref="W27:W34"/>
    <mergeCell ref="G11:I11"/>
    <mergeCell ref="G17:I17"/>
    <mergeCell ref="G16:I16"/>
    <mergeCell ref="L24:O24"/>
    <mergeCell ref="G14:I14"/>
    <mergeCell ref="G24:I24"/>
    <mergeCell ref="L18:O18"/>
    <mergeCell ref="K19:K24"/>
    <mergeCell ref="L14:O14"/>
    <mergeCell ref="Q8:Q18"/>
    <mergeCell ref="L10:O10"/>
    <mergeCell ref="R10:U10"/>
    <mergeCell ref="X61:Z61"/>
    <mergeCell ref="L61:Q62"/>
    <mergeCell ref="R54:U54"/>
    <mergeCell ref="Q54:Q56"/>
    <mergeCell ref="R24:U24"/>
    <mergeCell ref="Q25:Q26"/>
    <mergeCell ref="Q27:Q34"/>
    <mergeCell ref="R14:U14"/>
    <mergeCell ref="G6:K7"/>
    <mergeCell ref="A3:AC3"/>
    <mergeCell ref="G8:I8"/>
    <mergeCell ref="G12:I12"/>
    <mergeCell ref="R8:U8"/>
    <mergeCell ref="L11:O11"/>
    <mergeCell ref="R9:U9"/>
    <mergeCell ref="G10:I10"/>
    <mergeCell ref="L9:O9"/>
    <mergeCell ref="G19:I19"/>
    <mergeCell ref="R27:U27"/>
    <mergeCell ref="G13:I13"/>
    <mergeCell ref="L17:O17"/>
    <mergeCell ref="R16:U16"/>
    <mergeCell ref="L12:O12"/>
    <mergeCell ref="R17:U17"/>
    <mergeCell ref="R19:U19"/>
    <mergeCell ref="L16:O16"/>
    <mergeCell ref="L25:O25"/>
    <mergeCell ref="T1:AB1"/>
    <mergeCell ref="X6:Z6"/>
    <mergeCell ref="AA6:AC6"/>
    <mergeCell ref="R20:U20"/>
    <mergeCell ref="B26:C26"/>
    <mergeCell ref="A34:C34"/>
    <mergeCell ref="L8:O8"/>
    <mergeCell ref="R11:U11"/>
    <mergeCell ref="R12:U12"/>
    <mergeCell ref="G9:I9"/>
    <mergeCell ref="AA43:AC43"/>
    <mergeCell ref="R43:W44"/>
    <mergeCell ref="X43:Z43"/>
    <mergeCell ref="W8:W18"/>
    <mergeCell ref="R18:U18"/>
    <mergeCell ref="R34:U34"/>
    <mergeCell ref="R35:U35"/>
    <mergeCell ref="R28:U28"/>
    <mergeCell ref="W19:W24"/>
    <mergeCell ref="R13:U13"/>
    <mergeCell ref="S59:V59"/>
    <mergeCell ref="Q57:Q58"/>
    <mergeCell ref="R56:U56"/>
    <mergeCell ref="P54:P55"/>
    <mergeCell ref="V45:V46"/>
    <mergeCell ref="A6:C7"/>
    <mergeCell ref="L6:Q7"/>
    <mergeCell ref="R6:W7"/>
    <mergeCell ref="D6:F6"/>
    <mergeCell ref="K8:K18"/>
    <mergeCell ref="H59:J59"/>
    <mergeCell ref="G61:K62"/>
    <mergeCell ref="A51:C51"/>
    <mergeCell ref="A58:C58"/>
    <mergeCell ref="A42:C42"/>
    <mergeCell ref="H42:J42"/>
    <mergeCell ref="D43:F43"/>
    <mergeCell ref="G43:K44"/>
    <mergeCell ref="A43:C44"/>
    <mergeCell ref="G45:I46"/>
    <mergeCell ref="G65:I65"/>
    <mergeCell ref="D61:F61"/>
    <mergeCell ref="G64:I64"/>
    <mergeCell ref="H51:J51"/>
    <mergeCell ref="G57:I57"/>
    <mergeCell ref="B56:C56"/>
    <mergeCell ref="G54:I54"/>
    <mergeCell ref="D52:F52"/>
    <mergeCell ref="A61:C62"/>
    <mergeCell ref="A59:C59"/>
    <mergeCell ref="G68:I68"/>
    <mergeCell ref="A66:C66"/>
    <mergeCell ref="D83:F83"/>
    <mergeCell ref="A80:C80"/>
    <mergeCell ref="G74:I74"/>
    <mergeCell ref="A81:C81"/>
    <mergeCell ref="A74:C76"/>
    <mergeCell ref="G76:I76"/>
    <mergeCell ref="G79:I79"/>
    <mergeCell ref="D74:D76"/>
    <mergeCell ref="R66:U66"/>
    <mergeCell ref="L78:O79"/>
    <mergeCell ref="P78:P79"/>
    <mergeCell ref="Q74:Q76"/>
    <mergeCell ref="Q77:Q79"/>
    <mergeCell ref="L75:O75"/>
    <mergeCell ref="L76:O76"/>
    <mergeCell ref="R76:U76"/>
    <mergeCell ref="E74:E76"/>
    <mergeCell ref="A82:C82"/>
    <mergeCell ref="AA83:AC83"/>
    <mergeCell ref="G67:I67"/>
    <mergeCell ref="G66:I66"/>
    <mergeCell ref="G73:I73"/>
    <mergeCell ref="H81:J81"/>
    <mergeCell ref="F74:F76"/>
    <mergeCell ref="S81:V81"/>
    <mergeCell ref="W83:Y83"/>
    <mergeCell ref="M81:P81"/>
    <mergeCell ref="G63:I63"/>
    <mergeCell ref="R67:U67"/>
    <mergeCell ref="V85:W85"/>
    <mergeCell ref="Q63:Q73"/>
    <mergeCell ref="R63:U63"/>
    <mergeCell ref="R64:U64"/>
    <mergeCell ref="S84:V84"/>
    <mergeCell ref="H80:J80"/>
    <mergeCell ref="M80:P80"/>
    <mergeCell ref="W54:W56"/>
    <mergeCell ref="K74:K79"/>
    <mergeCell ref="S80:V80"/>
    <mergeCell ref="M59:P59"/>
    <mergeCell ref="R65:U65"/>
    <mergeCell ref="K63:K73"/>
    <mergeCell ref="L63:O63"/>
    <mergeCell ref="L58:O58"/>
    <mergeCell ref="R77:U78"/>
    <mergeCell ref="L74:O74"/>
    <mergeCell ref="AA52:AC52"/>
    <mergeCell ref="W57:W58"/>
    <mergeCell ref="L77:O77"/>
    <mergeCell ref="L56:O56"/>
    <mergeCell ref="L57:O57"/>
    <mergeCell ref="AA61:AC61"/>
    <mergeCell ref="X52:Z52"/>
    <mergeCell ref="V77:V79"/>
    <mergeCell ref="AB74:AB79"/>
    <mergeCell ref="R55:U55"/>
    <mergeCell ref="R50:U50"/>
    <mergeCell ref="R45:U46"/>
    <mergeCell ref="G48:I48"/>
    <mergeCell ref="R47:U47"/>
    <mergeCell ref="G47:I47"/>
    <mergeCell ref="L50:O50"/>
    <mergeCell ref="L52:Q53"/>
    <mergeCell ref="P45:P46"/>
    <mergeCell ref="B47:C47"/>
    <mergeCell ref="K54:K56"/>
    <mergeCell ref="L47:O47"/>
    <mergeCell ref="J45:J46"/>
    <mergeCell ref="A52:C53"/>
    <mergeCell ref="G55:I55"/>
    <mergeCell ref="G52:K53"/>
    <mergeCell ref="M51:P51"/>
    <mergeCell ref="S51:V51"/>
    <mergeCell ref="K35:K41"/>
    <mergeCell ref="M42:P42"/>
    <mergeCell ref="L35:O35"/>
    <mergeCell ref="R31:U31"/>
    <mergeCell ref="L45:O46"/>
    <mergeCell ref="S42:V42"/>
    <mergeCell ref="L40:O40"/>
    <mergeCell ref="Q35:Q41"/>
    <mergeCell ref="L48:O4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5" r:id="rId1"/>
  <rowBreaks count="1" manualBreakCount="1">
    <brk id="59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20"/>
  <sheetViews>
    <sheetView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" sqref="M2"/>
    </sheetView>
  </sheetViews>
  <sheetFormatPr defaultColWidth="9.00390625" defaultRowHeight="12.75"/>
  <cols>
    <col min="1" max="1" width="50.875" style="0" customWidth="1"/>
  </cols>
  <sheetData>
    <row r="1" spans="8:13" ht="15">
      <c r="H1" s="866"/>
      <c r="I1" s="866"/>
      <c r="J1" s="866"/>
      <c r="K1" s="866"/>
      <c r="L1" s="866"/>
      <c r="M1" s="5" t="s">
        <v>1256</v>
      </c>
    </row>
    <row r="2" spans="8:13" ht="12.75">
      <c r="H2" s="866"/>
      <c r="I2" s="866"/>
      <c r="J2" s="866"/>
      <c r="K2" s="866"/>
      <c r="L2" s="866"/>
      <c r="M2" s="1"/>
    </row>
    <row r="3" spans="1:13" ht="12.75">
      <c r="A3" s="1293" t="s">
        <v>1011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</row>
    <row r="4" spans="1:13" ht="12.75">
      <c r="A4" s="1293" t="s">
        <v>437</v>
      </c>
      <c r="B4" s="1293"/>
      <c r="C4" s="1293"/>
      <c r="D4" s="1293"/>
      <c r="E4" s="1293"/>
      <c r="F4" s="1293"/>
      <c r="G4" s="1293"/>
      <c r="H4" s="1293"/>
      <c r="I4" s="1293"/>
      <c r="J4" s="1293"/>
      <c r="K4" s="1293"/>
      <c r="L4" s="1293"/>
      <c r="M4" s="1293"/>
    </row>
    <row r="5" spans="1:13" ht="12.75">
      <c r="A5" s="1293"/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1293"/>
    </row>
    <row r="6" spans="1:13" ht="12.75">
      <c r="A6" s="867" t="s">
        <v>357</v>
      </c>
      <c r="B6" s="868" t="s">
        <v>1012</v>
      </c>
      <c r="C6" s="868" t="s">
        <v>1013</v>
      </c>
      <c r="D6" s="868" t="s">
        <v>1014</v>
      </c>
      <c r="E6" s="868" t="s">
        <v>1015</v>
      </c>
      <c r="F6" s="868" t="s">
        <v>1016</v>
      </c>
      <c r="G6" s="868" t="s">
        <v>1017</v>
      </c>
      <c r="H6" s="868" t="s">
        <v>1018</v>
      </c>
      <c r="I6" s="868" t="s">
        <v>1019</v>
      </c>
      <c r="J6" s="868" t="s">
        <v>1020</v>
      </c>
      <c r="K6" s="868" t="s">
        <v>1021</v>
      </c>
      <c r="L6" s="868" t="s">
        <v>1022</v>
      </c>
      <c r="M6" s="868" t="s">
        <v>1023</v>
      </c>
    </row>
    <row r="7" spans="1:13" ht="12.75">
      <c r="A7" s="869" t="s">
        <v>769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870"/>
    </row>
    <row r="8" spans="1:13" ht="12.75">
      <c r="A8" s="871" t="s">
        <v>1024</v>
      </c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</row>
    <row r="9" spans="1:13" ht="12.75">
      <c r="A9" s="873" t="s">
        <v>1025</v>
      </c>
      <c r="B9" s="874">
        <v>14</v>
      </c>
      <c r="C9" s="874">
        <v>14</v>
      </c>
      <c r="D9" s="874">
        <v>14</v>
      </c>
      <c r="E9" s="874">
        <v>14</v>
      </c>
      <c r="F9" s="874">
        <v>14</v>
      </c>
      <c r="G9" s="874">
        <v>14</v>
      </c>
      <c r="H9" s="874">
        <v>14</v>
      </c>
      <c r="I9" s="874">
        <v>14</v>
      </c>
      <c r="J9" s="874">
        <v>15</v>
      </c>
      <c r="K9" s="874">
        <v>15</v>
      </c>
      <c r="L9" s="874">
        <v>15</v>
      </c>
      <c r="M9" s="874">
        <v>15</v>
      </c>
    </row>
    <row r="10" spans="1:13" ht="12.75">
      <c r="A10" s="873" t="s">
        <v>1026</v>
      </c>
      <c r="B10" s="874">
        <v>2</v>
      </c>
      <c r="C10" s="874">
        <v>2</v>
      </c>
      <c r="D10" s="874">
        <v>2</v>
      </c>
      <c r="E10" s="874">
        <v>2</v>
      </c>
      <c r="F10" s="874">
        <v>2</v>
      </c>
      <c r="G10" s="874">
        <v>2</v>
      </c>
      <c r="H10" s="874">
        <v>2</v>
      </c>
      <c r="I10" s="874">
        <v>2</v>
      </c>
      <c r="J10" s="874">
        <v>2</v>
      </c>
      <c r="K10" s="874">
        <v>2</v>
      </c>
      <c r="L10" s="874">
        <v>2</v>
      </c>
      <c r="M10" s="874">
        <v>2</v>
      </c>
    </row>
    <row r="11" spans="1:13" ht="12.75">
      <c r="A11" s="875" t="s">
        <v>1027</v>
      </c>
      <c r="B11" s="874">
        <v>7</v>
      </c>
      <c r="C11" s="874">
        <v>7</v>
      </c>
      <c r="D11" s="874">
        <v>7</v>
      </c>
      <c r="E11" s="874">
        <v>7</v>
      </c>
      <c r="F11" s="874">
        <v>7</v>
      </c>
      <c r="G11" s="874">
        <v>7</v>
      </c>
      <c r="H11" s="874">
        <v>8</v>
      </c>
      <c r="I11" s="874">
        <v>8</v>
      </c>
      <c r="J11" s="874">
        <v>8</v>
      </c>
      <c r="K11" s="874">
        <v>8</v>
      </c>
      <c r="L11" s="874">
        <v>8</v>
      </c>
      <c r="M11" s="874">
        <v>8</v>
      </c>
    </row>
    <row r="12" spans="1:13" ht="12.75">
      <c r="A12" s="873" t="s">
        <v>1028</v>
      </c>
      <c r="B12" s="874">
        <v>1</v>
      </c>
      <c r="C12" s="874">
        <v>1</v>
      </c>
      <c r="D12" s="874">
        <v>1</v>
      </c>
      <c r="E12" s="874">
        <v>1</v>
      </c>
      <c r="F12" s="874">
        <v>1</v>
      </c>
      <c r="G12" s="874">
        <v>1</v>
      </c>
      <c r="H12" s="874">
        <v>1</v>
      </c>
      <c r="I12" s="874">
        <v>1</v>
      </c>
      <c r="J12" s="874">
        <v>1</v>
      </c>
      <c r="K12" s="874">
        <v>1</v>
      </c>
      <c r="L12" s="874">
        <v>1</v>
      </c>
      <c r="M12" s="874">
        <v>1</v>
      </c>
    </row>
    <row r="13" spans="1:13" ht="12.75">
      <c r="A13" s="873" t="s">
        <v>1029</v>
      </c>
      <c r="B13" s="874">
        <v>1</v>
      </c>
      <c r="C13" s="874">
        <v>1</v>
      </c>
      <c r="D13" s="874">
        <v>1</v>
      </c>
      <c r="E13" s="874">
        <v>1</v>
      </c>
      <c r="F13" s="874">
        <v>1</v>
      </c>
      <c r="G13" s="874">
        <v>1</v>
      </c>
      <c r="H13" s="874">
        <v>1</v>
      </c>
      <c r="I13" s="874">
        <v>1</v>
      </c>
      <c r="J13" s="874">
        <v>1</v>
      </c>
      <c r="K13" s="874">
        <v>1</v>
      </c>
      <c r="L13" s="874">
        <v>1</v>
      </c>
      <c r="M13" s="874">
        <v>1</v>
      </c>
    </row>
    <row r="14" spans="1:13" ht="12.75">
      <c r="A14" s="871" t="s">
        <v>1030</v>
      </c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</row>
    <row r="15" spans="1:13" ht="12.75">
      <c r="A15" s="873" t="s">
        <v>1031</v>
      </c>
      <c r="B15" s="874">
        <v>1</v>
      </c>
      <c r="C15" s="874">
        <v>1</v>
      </c>
      <c r="D15" s="874">
        <v>1</v>
      </c>
      <c r="E15" s="874">
        <v>1</v>
      </c>
      <c r="F15" s="874">
        <v>1</v>
      </c>
      <c r="G15" s="874">
        <v>1</v>
      </c>
      <c r="H15" s="874">
        <v>1</v>
      </c>
      <c r="I15" s="874">
        <v>1</v>
      </c>
      <c r="J15" s="874">
        <v>1</v>
      </c>
      <c r="K15" s="874">
        <v>1</v>
      </c>
      <c r="L15" s="874">
        <v>1</v>
      </c>
      <c r="M15" s="874">
        <v>1</v>
      </c>
    </row>
    <row r="16" spans="1:13" ht="12.75">
      <c r="A16" s="873" t="s">
        <v>1032</v>
      </c>
      <c r="B16" s="874">
        <v>1</v>
      </c>
      <c r="C16" s="874">
        <v>1</v>
      </c>
      <c r="D16" s="874">
        <v>1</v>
      </c>
      <c r="E16" s="874">
        <v>1</v>
      </c>
      <c r="F16" s="874">
        <v>1</v>
      </c>
      <c r="G16" s="874">
        <v>1</v>
      </c>
      <c r="H16" s="874">
        <v>1</v>
      </c>
      <c r="I16" s="874">
        <v>1</v>
      </c>
      <c r="J16" s="874">
        <v>1</v>
      </c>
      <c r="K16" s="874">
        <v>1</v>
      </c>
      <c r="L16" s="874">
        <v>1</v>
      </c>
      <c r="M16" s="874">
        <v>1</v>
      </c>
    </row>
    <row r="17" spans="1:13" ht="12.75">
      <c r="A17" s="873" t="s">
        <v>1033</v>
      </c>
      <c r="B17" s="874">
        <v>1</v>
      </c>
      <c r="C17" s="874">
        <v>1</v>
      </c>
      <c r="D17" s="874">
        <v>1</v>
      </c>
      <c r="E17" s="874">
        <v>1</v>
      </c>
      <c r="F17" s="874">
        <v>1</v>
      </c>
      <c r="G17" s="874">
        <v>1</v>
      </c>
      <c r="H17" s="874">
        <v>1</v>
      </c>
      <c r="I17" s="874">
        <v>1</v>
      </c>
      <c r="J17" s="874">
        <v>1</v>
      </c>
      <c r="K17" s="874">
        <v>1</v>
      </c>
      <c r="L17" s="874">
        <v>1</v>
      </c>
      <c r="M17" s="874">
        <v>1</v>
      </c>
    </row>
    <row r="18" spans="1:13" ht="12.75">
      <c r="A18" s="871" t="s">
        <v>1034</v>
      </c>
      <c r="B18" s="872"/>
      <c r="C18" s="872"/>
      <c r="D18" s="872"/>
      <c r="E18" s="872"/>
      <c r="F18" s="872"/>
      <c r="G18" s="872"/>
      <c r="H18" s="872"/>
      <c r="I18" s="872"/>
      <c r="J18" s="872"/>
      <c r="K18" s="872"/>
      <c r="L18" s="872"/>
      <c r="M18" s="872"/>
    </row>
    <row r="19" spans="1:13" ht="12.75">
      <c r="A19" s="873" t="s">
        <v>1035</v>
      </c>
      <c r="B19" s="874">
        <v>1</v>
      </c>
      <c r="C19" s="874">
        <v>1</v>
      </c>
      <c r="D19" s="874">
        <v>1</v>
      </c>
      <c r="E19" s="874">
        <v>1</v>
      </c>
      <c r="F19" s="874">
        <v>1</v>
      </c>
      <c r="G19" s="874">
        <v>1</v>
      </c>
      <c r="H19" s="874">
        <v>1</v>
      </c>
      <c r="I19" s="874">
        <v>1</v>
      </c>
      <c r="J19" s="874">
        <v>1</v>
      </c>
      <c r="K19" s="874">
        <v>1</v>
      </c>
      <c r="L19" s="874">
        <v>1</v>
      </c>
      <c r="M19" s="874">
        <v>1</v>
      </c>
    </row>
    <row r="20" spans="1:13" ht="12.75">
      <c r="A20" s="873" t="s">
        <v>1036</v>
      </c>
      <c r="B20" s="874">
        <v>1</v>
      </c>
      <c r="C20" s="874">
        <v>1</v>
      </c>
      <c r="D20" s="874">
        <v>1</v>
      </c>
      <c r="E20" s="874">
        <v>1</v>
      </c>
      <c r="F20" s="874">
        <v>1</v>
      </c>
      <c r="G20" s="874">
        <v>1</v>
      </c>
      <c r="H20" s="874">
        <v>1</v>
      </c>
      <c r="I20" s="874">
        <v>1</v>
      </c>
      <c r="J20" s="874">
        <v>1</v>
      </c>
      <c r="K20" s="874">
        <v>1</v>
      </c>
      <c r="L20" s="874">
        <v>1</v>
      </c>
      <c r="M20" s="874">
        <v>1</v>
      </c>
    </row>
    <row r="21" spans="1:13" ht="12.75">
      <c r="A21" s="871" t="s">
        <v>1037</v>
      </c>
      <c r="B21" s="872"/>
      <c r="C21" s="872"/>
      <c r="D21" s="872"/>
      <c r="E21" s="872"/>
      <c r="F21" s="872"/>
      <c r="G21" s="872"/>
      <c r="H21" s="872"/>
      <c r="I21" s="872"/>
      <c r="J21" s="872"/>
      <c r="K21" s="872"/>
      <c r="L21" s="872"/>
      <c r="M21" s="872"/>
    </row>
    <row r="22" spans="1:13" ht="12.75">
      <c r="A22" s="873" t="s">
        <v>1038</v>
      </c>
      <c r="B22" s="874">
        <v>2</v>
      </c>
      <c r="C22" s="874">
        <v>2</v>
      </c>
      <c r="D22" s="874">
        <v>2</v>
      </c>
      <c r="E22" s="874">
        <v>2</v>
      </c>
      <c r="F22" s="874">
        <v>2</v>
      </c>
      <c r="G22" s="874">
        <v>2</v>
      </c>
      <c r="H22" s="874">
        <v>2</v>
      </c>
      <c r="I22" s="874">
        <v>2</v>
      </c>
      <c r="J22" s="955">
        <v>0</v>
      </c>
      <c r="K22" s="955">
        <v>0</v>
      </c>
      <c r="L22" s="955">
        <v>0</v>
      </c>
      <c r="M22" s="955">
        <v>0</v>
      </c>
    </row>
    <row r="23" spans="1:13" ht="12.75">
      <c r="A23" s="873" t="s">
        <v>1039</v>
      </c>
      <c r="B23" s="874">
        <v>1</v>
      </c>
      <c r="C23" s="874">
        <v>1</v>
      </c>
      <c r="D23" s="874">
        <v>1</v>
      </c>
      <c r="E23" s="874">
        <v>1</v>
      </c>
      <c r="F23" s="874">
        <v>1</v>
      </c>
      <c r="G23" s="874">
        <v>1</v>
      </c>
      <c r="H23" s="874">
        <v>1</v>
      </c>
      <c r="I23" s="874">
        <v>1</v>
      </c>
      <c r="J23" s="955">
        <v>0</v>
      </c>
      <c r="K23" s="955">
        <v>0</v>
      </c>
      <c r="L23" s="955">
        <v>0</v>
      </c>
      <c r="M23" s="955">
        <v>0</v>
      </c>
    </row>
    <row r="24" spans="1:13" ht="12.75">
      <c r="A24" s="871" t="s">
        <v>584</v>
      </c>
      <c r="B24" s="872"/>
      <c r="C24" s="872"/>
      <c r="D24" s="872"/>
      <c r="E24" s="872"/>
      <c r="F24" s="872"/>
      <c r="G24" s="872"/>
      <c r="H24" s="872"/>
      <c r="I24" s="872"/>
      <c r="J24" s="872"/>
      <c r="K24" s="872"/>
      <c r="L24" s="872"/>
      <c r="M24" s="872"/>
    </row>
    <row r="25" spans="1:13" ht="12.75">
      <c r="A25" s="873" t="s">
        <v>1040</v>
      </c>
      <c r="B25" s="874">
        <v>1</v>
      </c>
      <c r="C25" s="874">
        <v>1</v>
      </c>
      <c r="D25" s="874">
        <v>1</v>
      </c>
      <c r="E25" s="874">
        <v>1</v>
      </c>
      <c r="F25" s="874">
        <v>1</v>
      </c>
      <c r="G25" s="874">
        <v>1</v>
      </c>
      <c r="H25" s="874">
        <v>1</v>
      </c>
      <c r="I25" s="874">
        <v>1</v>
      </c>
      <c r="J25" s="874">
        <v>1</v>
      </c>
      <c r="K25" s="874">
        <v>1</v>
      </c>
      <c r="L25" s="874">
        <v>1</v>
      </c>
      <c r="M25" s="874">
        <v>1</v>
      </c>
    </row>
    <row r="26" spans="1:13" ht="12.75">
      <c r="A26" s="873" t="s">
        <v>1041</v>
      </c>
      <c r="B26" s="874">
        <v>2</v>
      </c>
      <c r="C26" s="874">
        <v>2</v>
      </c>
      <c r="D26" s="874">
        <v>2</v>
      </c>
      <c r="E26" s="874">
        <v>2</v>
      </c>
      <c r="F26" s="874">
        <v>2</v>
      </c>
      <c r="G26" s="874">
        <v>2</v>
      </c>
      <c r="H26" s="874">
        <v>2</v>
      </c>
      <c r="I26" s="874">
        <v>2</v>
      </c>
      <c r="J26" s="874">
        <v>2</v>
      </c>
      <c r="K26" s="874">
        <v>2</v>
      </c>
      <c r="L26" s="874">
        <v>2</v>
      </c>
      <c r="M26" s="874">
        <v>2</v>
      </c>
    </row>
    <row r="27" spans="1:13" ht="25.5">
      <c r="A27" s="873" t="s">
        <v>1042</v>
      </c>
      <c r="B27" s="874">
        <v>0.5</v>
      </c>
      <c r="C27" s="874">
        <v>0.5</v>
      </c>
      <c r="D27" s="874">
        <v>0.5</v>
      </c>
      <c r="E27" s="874">
        <v>0.5</v>
      </c>
      <c r="F27" s="874">
        <v>0.5</v>
      </c>
      <c r="G27" s="874">
        <v>0.5</v>
      </c>
      <c r="H27" s="874">
        <v>0.5</v>
      </c>
      <c r="I27" s="874">
        <v>0.5</v>
      </c>
      <c r="J27" s="874">
        <v>0.5</v>
      </c>
      <c r="K27" s="874">
        <v>0.5</v>
      </c>
      <c r="L27" s="874">
        <v>0.5</v>
      </c>
      <c r="M27" s="874">
        <v>0.5</v>
      </c>
    </row>
    <row r="28" spans="1:13" ht="25.5">
      <c r="A28" s="873" t="s">
        <v>1043</v>
      </c>
      <c r="B28" s="874">
        <v>0.625</v>
      </c>
      <c r="C28" s="874">
        <v>0.625</v>
      </c>
      <c r="D28" s="874">
        <v>0.625</v>
      </c>
      <c r="E28" s="874">
        <v>0.625</v>
      </c>
      <c r="F28" s="874">
        <v>0.625</v>
      </c>
      <c r="G28" s="874">
        <v>0.625</v>
      </c>
      <c r="H28" s="874">
        <v>0.625</v>
      </c>
      <c r="I28" s="874">
        <v>0.625</v>
      </c>
      <c r="J28" s="874">
        <v>0.625</v>
      </c>
      <c r="K28" s="874">
        <v>0.625</v>
      </c>
      <c r="L28" s="874">
        <v>0.625</v>
      </c>
      <c r="M28" s="874">
        <v>0.625</v>
      </c>
    </row>
    <row r="29" spans="1:13" ht="12.75">
      <c r="A29" s="873" t="s">
        <v>1239</v>
      </c>
      <c r="B29" s="874">
        <v>0</v>
      </c>
      <c r="C29" s="874">
        <v>0</v>
      </c>
      <c r="D29" s="874">
        <v>0</v>
      </c>
      <c r="E29" s="874">
        <v>0</v>
      </c>
      <c r="F29" s="874">
        <v>0</v>
      </c>
      <c r="G29" s="874">
        <v>0</v>
      </c>
      <c r="H29" s="874">
        <v>0</v>
      </c>
      <c r="I29" s="874">
        <v>0</v>
      </c>
      <c r="J29" s="874">
        <v>0</v>
      </c>
      <c r="K29" s="874">
        <v>1</v>
      </c>
      <c r="L29" s="874">
        <v>1</v>
      </c>
      <c r="M29" s="874">
        <v>1</v>
      </c>
    </row>
    <row r="30" spans="1:13" ht="12.75">
      <c r="A30" s="871" t="s">
        <v>707</v>
      </c>
      <c r="B30" s="872"/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</row>
    <row r="31" spans="1:13" ht="12.75">
      <c r="A31" s="873" t="s">
        <v>1044</v>
      </c>
      <c r="B31" s="874">
        <v>0.5</v>
      </c>
      <c r="C31" s="874">
        <v>0.5</v>
      </c>
      <c r="D31" s="874">
        <v>0.5</v>
      </c>
      <c r="E31" s="874">
        <v>0.5</v>
      </c>
      <c r="F31" s="874">
        <v>0.5</v>
      </c>
      <c r="G31" s="874">
        <v>0.5</v>
      </c>
      <c r="H31" s="874">
        <v>0.5</v>
      </c>
      <c r="I31" s="874">
        <v>0.5</v>
      </c>
      <c r="J31" s="874">
        <v>0.5</v>
      </c>
      <c r="K31" s="874">
        <v>0.5</v>
      </c>
      <c r="L31" s="874">
        <v>0.5</v>
      </c>
      <c r="M31" s="874">
        <v>0.5</v>
      </c>
    </row>
    <row r="32" spans="1:13" ht="12.75">
      <c r="A32" s="873" t="s">
        <v>1045</v>
      </c>
      <c r="B32" s="874">
        <v>3</v>
      </c>
      <c r="C32" s="874">
        <v>3</v>
      </c>
      <c r="D32" s="874">
        <v>3</v>
      </c>
      <c r="E32" s="874">
        <v>3</v>
      </c>
      <c r="F32" s="874">
        <v>3</v>
      </c>
      <c r="G32" s="874">
        <v>3</v>
      </c>
      <c r="H32" s="874">
        <v>3</v>
      </c>
      <c r="I32" s="874">
        <v>3</v>
      </c>
      <c r="J32" s="874">
        <v>4</v>
      </c>
      <c r="K32" s="874">
        <v>4</v>
      </c>
      <c r="L32" s="874">
        <v>4</v>
      </c>
      <c r="M32" s="874">
        <v>4</v>
      </c>
    </row>
    <row r="33" spans="1:13" ht="38.25">
      <c r="A33" s="873" t="s">
        <v>1232</v>
      </c>
      <c r="B33" s="874">
        <v>0</v>
      </c>
      <c r="C33" s="874">
        <v>0</v>
      </c>
      <c r="D33" s="874">
        <v>0</v>
      </c>
      <c r="E33" s="874">
        <v>0</v>
      </c>
      <c r="F33" s="874">
        <v>0</v>
      </c>
      <c r="G33" s="874">
        <v>0</v>
      </c>
      <c r="H33" s="874">
        <v>0</v>
      </c>
      <c r="I33" s="874">
        <v>0</v>
      </c>
      <c r="J33" s="874">
        <v>0</v>
      </c>
      <c r="K33" s="874">
        <v>2</v>
      </c>
      <c r="L33" s="874">
        <v>2</v>
      </c>
      <c r="M33" s="874">
        <v>2</v>
      </c>
    </row>
    <row r="34" spans="1:13" ht="25.5">
      <c r="A34" s="876" t="s">
        <v>1046</v>
      </c>
      <c r="B34" s="877"/>
      <c r="C34" s="877"/>
      <c r="D34" s="877"/>
      <c r="E34" s="877"/>
      <c r="F34" s="877"/>
      <c r="G34" s="877"/>
      <c r="H34" s="877"/>
      <c r="I34" s="877"/>
      <c r="J34" s="877"/>
      <c r="K34" s="877"/>
      <c r="L34" s="877"/>
      <c r="M34" s="877"/>
    </row>
    <row r="35" spans="1:13" ht="12.75">
      <c r="A35" s="873" t="s">
        <v>1241</v>
      </c>
      <c r="B35" s="874">
        <v>0</v>
      </c>
      <c r="C35" s="874">
        <v>0</v>
      </c>
      <c r="D35" s="874">
        <v>0</v>
      </c>
      <c r="E35" s="874">
        <v>0</v>
      </c>
      <c r="F35" s="874">
        <v>0</v>
      </c>
      <c r="G35" s="874">
        <v>0</v>
      </c>
      <c r="H35" s="874">
        <v>0</v>
      </c>
      <c r="I35" s="874">
        <v>0</v>
      </c>
      <c r="J35" s="874">
        <v>1</v>
      </c>
      <c r="K35" s="874">
        <v>1</v>
      </c>
      <c r="L35" s="874">
        <v>1</v>
      </c>
      <c r="M35" s="874">
        <v>1</v>
      </c>
    </row>
    <row r="36" spans="1:13" ht="12.75">
      <c r="A36" s="873" t="s">
        <v>1242</v>
      </c>
      <c r="B36" s="874">
        <v>0</v>
      </c>
      <c r="C36" s="874">
        <v>0</v>
      </c>
      <c r="D36" s="874">
        <v>0</v>
      </c>
      <c r="E36" s="874">
        <v>0</v>
      </c>
      <c r="F36" s="874">
        <v>0</v>
      </c>
      <c r="G36" s="874">
        <v>0</v>
      </c>
      <c r="H36" s="874">
        <v>0</v>
      </c>
      <c r="I36" s="874">
        <v>0</v>
      </c>
      <c r="J36" s="874">
        <v>1</v>
      </c>
      <c r="K36" s="874">
        <v>1</v>
      </c>
      <c r="L36" s="874">
        <v>1</v>
      </c>
      <c r="M36" s="874">
        <v>1</v>
      </c>
    </row>
    <row r="37" spans="1:13" ht="25.5">
      <c r="A37" s="873" t="s">
        <v>1243</v>
      </c>
      <c r="B37" s="874">
        <v>0</v>
      </c>
      <c r="C37" s="874">
        <v>0</v>
      </c>
      <c r="D37" s="874">
        <v>0</v>
      </c>
      <c r="E37" s="874">
        <v>0</v>
      </c>
      <c r="F37" s="874">
        <v>0</v>
      </c>
      <c r="G37" s="874">
        <v>0</v>
      </c>
      <c r="H37" s="874">
        <v>0</v>
      </c>
      <c r="I37" s="874">
        <v>0</v>
      </c>
      <c r="J37" s="874">
        <v>0.075</v>
      </c>
      <c r="K37" s="874">
        <v>0.075</v>
      </c>
      <c r="L37" s="874">
        <v>0.075</v>
      </c>
      <c r="M37" s="874">
        <v>0.075</v>
      </c>
    </row>
    <row r="38" spans="1:13" ht="12.75">
      <c r="A38" s="873" t="s">
        <v>1244</v>
      </c>
      <c r="B38" s="874">
        <v>0</v>
      </c>
      <c r="C38" s="874">
        <v>0</v>
      </c>
      <c r="D38" s="874">
        <v>0</v>
      </c>
      <c r="E38" s="874">
        <v>0</v>
      </c>
      <c r="F38" s="874">
        <v>0</v>
      </c>
      <c r="G38" s="874">
        <v>0</v>
      </c>
      <c r="H38" s="874">
        <v>0</v>
      </c>
      <c r="I38" s="874">
        <v>0</v>
      </c>
      <c r="J38" s="874">
        <v>0.25</v>
      </c>
      <c r="K38" s="874">
        <v>0.25</v>
      </c>
      <c r="L38" s="874">
        <v>0.25</v>
      </c>
      <c r="M38" s="874">
        <v>0.25</v>
      </c>
    </row>
    <row r="39" spans="1:13" ht="12.75">
      <c r="A39" s="873" t="s">
        <v>1245</v>
      </c>
      <c r="B39" s="874">
        <v>0</v>
      </c>
      <c r="C39" s="874">
        <v>0</v>
      </c>
      <c r="D39" s="874">
        <v>0</v>
      </c>
      <c r="E39" s="874">
        <v>0</v>
      </c>
      <c r="F39" s="874">
        <v>0</v>
      </c>
      <c r="G39" s="874">
        <v>0</v>
      </c>
      <c r="H39" s="874">
        <v>0</v>
      </c>
      <c r="I39" s="874">
        <v>0</v>
      </c>
      <c r="J39" s="874">
        <v>0.5</v>
      </c>
      <c r="K39" s="874">
        <v>0.5</v>
      </c>
      <c r="L39" s="874">
        <v>0.5</v>
      </c>
      <c r="M39" s="874">
        <v>0.5</v>
      </c>
    </row>
    <row r="40" spans="1:13" ht="12.75">
      <c r="A40" s="873" t="s">
        <v>1246</v>
      </c>
      <c r="B40" s="874">
        <v>0</v>
      </c>
      <c r="C40" s="874">
        <v>0</v>
      </c>
      <c r="D40" s="874">
        <v>0</v>
      </c>
      <c r="E40" s="874">
        <v>0</v>
      </c>
      <c r="F40" s="874">
        <v>0</v>
      </c>
      <c r="G40" s="874">
        <v>0</v>
      </c>
      <c r="H40" s="874">
        <v>0</v>
      </c>
      <c r="I40" s="874">
        <v>0</v>
      </c>
      <c r="J40" s="874">
        <v>0.5</v>
      </c>
      <c r="K40" s="874">
        <v>0.5</v>
      </c>
      <c r="L40" s="874">
        <v>0.5</v>
      </c>
      <c r="M40" s="874">
        <v>0.5</v>
      </c>
    </row>
    <row r="41" spans="1:13" ht="25.5">
      <c r="A41" s="876" t="s">
        <v>1047</v>
      </c>
      <c r="B41" s="877"/>
      <c r="C41" s="877"/>
      <c r="D41" s="877"/>
      <c r="E41" s="877"/>
      <c r="F41" s="877"/>
      <c r="G41" s="877"/>
      <c r="H41" s="877"/>
      <c r="I41" s="877"/>
      <c r="J41" s="877"/>
      <c r="K41" s="877"/>
      <c r="L41" s="877"/>
      <c r="M41" s="877"/>
    </row>
    <row r="42" spans="1:13" ht="12.75">
      <c r="A42" s="873" t="s">
        <v>1240</v>
      </c>
      <c r="B42" s="874">
        <v>1.5</v>
      </c>
      <c r="C42" s="874">
        <v>1.5</v>
      </c>
      <c r="D42" s="874">
        <v>1.5</v>
      </c>
      <c r="E42" s="874">
        <v>1.5</v>
      </c>
      <c r="F42" s="874">
        <v>1.5</v>
      </c>
      <c r="G42" s="874">
        <v>1.5</v>
      </c>
      <c r="H42" s="874">
        <v>1.5</v>
      </c>
      <c r="I42" s="874">
        <v>1.5</v>
      </c>
      <c r="J42" s="874">
        <v>1.5</v>
      </c>
      <c r="K42" s="874">
        <v>1.5</v>
      </c>
      <c r="L42" s="874">
        <v>1.5</v>
      </c>
      <c r="M42" s="874">
        <v>1.5</v>
      </c>
    </row>
    <row r="43" spans="1:13" ht="25.5">
      <c r="A43" s="878" t="s">
        <v>801</v>
      </c>
      <c r="B43" s="879">
        <f>SUM(B9:B42)</f>
        <v>42.125</v>
      </c>
      <c r="C43" s="879">
        <f aca="true" t="shared" si="0" ref="C43:M43">SUM(C9:C42)</f>
        <v>42.125</v>
      </c>
      <c r="D43" s="879">
        <f t="shared" si="0"/>
        <v>42.125</v>
      </c>
      <c r="E43" s="879">
        <f t="shared" si="0"/>
        <v>42.125</v>
      </c>
      <c r="F43" s="879">
        <f t="shared" si="0"/>
        <v>42.125</v>
      </c>
      <c r="G43" s="879">
        <f t="shared" si="0"/>
        <v>42.125</v>
      </c>
      <c r="H43" s="879">
        <f t="shared" si="0"/>
        <v>43.125</v>
      </c>
      <c r="I43" s="879">
        <f t="shared" si="0"/>
        <v>43.125</v>
      </c>
      <c r="J43" s="879">
        <f t="shared" si="0"/>
        <v>45.45</v>
      </c>
      <c r="K43" s="879">
        <f t="shared" si="0"/>
        <v>48.45</v>
      </c>
      <c r="L43" s="879">
        <f t="shared" si="0"/>
        <v>48.45</v>
      </c>
      <c r="M43" s="879">
        <f t="shared" si="0"/>
        <v>48.45</v>
      </c>
    </row>
    <row r="44" spans="1:13" ht="12.75">
      <c r="A44" s="880"/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874"/>
    </row>
    <row r="45" spans="1:13" ht="12.75">
      <c r="A45" s="869" t="s">
        <v>367</v>
      </c>
      <c r="B45" s="870"/>
      <c r="C45" s="870"/>
      <c r="D45" s="870"/>
      <c r="E45" s="870"/>
      <c r="F45" s="870"/>
      <c r="G45" s="870"/>
      <c r="H45" s="870"/>
      <c r="I45" s="870"/>
      <c r="J45" s="870"/>
      <c r="K45" s="870"/>
      <c r="L45" s="870"/>
      <c r="M45" s="870"/>
    </row>
    <row r="46" spans="1:13" ht="12.75">
      <c r="A46" s="873" t="s">
        <v>1048</v>
      </c>
      <c r="B46" s="874">
        <v>23</v>
      </c>
      <c r="C46" s="874">
        <v>23</v>
      </c>
      <c r="D46" s="874">
        <v>23</v>
      </c>
      <c r="E46" s="874">
        <v>23</v>
      </c>
      <c r="F46" s="874">
        <v>23</v>
      </c>
      <c r="G46" s="874">
        <v>23</v>
      </c>
      <c r="H46" s="874">
        <v>23</v>
      </c>
      <c r="I46" s="874">
        <v>23</v>
      </c>
      <c r="J46" s="874">
        <v>23</v>
      </c>
      <c r="K46" s="874">
        <v>23</v>
      </c>
      <c r="L46" s="874">
        <v>23</v>
      </c>
      <c r="M46" s="874">
        <v>23</v>
      </c>
    </row>
    <row r="47" spans="1:13" ht="12.75">
      <c r="A47" s="873" t="s">
        <v>1049</v>
      </c>
      <c r="B47" s="874">
        <v>1</v>
      </c>
      <c r="C47" s="874">
        <v>1</v>
      </c>
      <c r="D47" s="874">
        <v>1</v>
      </c>
      <c r="E47" s="874">
        <v>2</v>
      </c>
      <c r="F47" s="874">
        <v>2</v>
      </c>
      <c r="G47" s="874">
        <v>2</v>
      </c>
      <c r="H47" s="874">
        <v>2</v>
      </c>
      <c r="I47" s="874">
        <v>2</v>
      </c>
      <c r="J47" s="874">
        <v>2</v>
      </c>
      <c r="K47" s="874">
        <v>2</v>
      </c>
      <c r="L47" s="874">
        <v>2</v>
      </c>
      <c r="M47" s="874">
        <v>2</v>
      </c>
    </row>
    <row r="48" spans="1:13" ht="12.75">
      <c r="A48" s="869" t="s">
        <v>492</v>
      </c>
      <c r="B48" s="879">
        <f>SUM(B46:B47)</f>
        <v>24</v>
      </c>
      <c r="C48" s="879">
        <f aca="true" t="shared" si="1" ref="C48:M48">SUM(C46:C47)</f>
        <v>24</v>
      </c>
      <c r="D48" s="879">
        <f t="shared" si="1"/>
        <v>24</v>
      </c>
      <c r="E48" s="879">
        <f t="shared" si="1"/>
        <v>25</v>
      </c>
      <c r="F48" s="879">
        <f t="shared" si="1"/>
        <v>25</v>
      </c>
      <c r="G48" s="879">
        <f t="shared" si="1"/>
        <v>25</v>
      </c>
      <c r="H48" s="879">
        <f t="shared" si="1"/>
        <v>25</v>
      </c>
      <c r="I48" s="879">
        <f t="shared" si="1"/>
        <v>25</v>
      </c>
      <c r="J48" s="879">
        <f t="shared" si="1"/>
        <v>25</v>
      </c>
      <c r="K48" s="879">
        <f t="shared" si="1"/>
        <v>25</v>
      </c>
      <c r="L48" s="879">
        <f t="shared" si="1"/>
        <v>25</v>
      </c>
      <c r="M48" s="879">
        <f t="shared" si="1"/>
        <v>25</v>
      </c>
    </row>
    <row r="49" spans="1:13" ht="12.75">
      <c r="A49" s="881"/>
      <c r="B49" s="882"/>
      <c r="C49" s="882"/>
      <c r="D49" s="882"/>
      <c r="E49" s="882"/>
      <c r="F49" s="882"/>
      <c r="G49" s="882"/>
      <c r="H49" s="882"/>
      <c r="I49" s="882"/>
      <c r="J49" s="882"/>
      <c r="K49" s="882"/>
      <c r="L49" s="882"/>
      <c r="M49" s="882"/>
    </row>
    <row r="50" spans="1:13" ht="12.75">
      <c r="A50" s="869" t="s">
        <v>435</v>
      </c>
      <c r="B50" s="870"/>
      <c r="C50" s="870"/>
      <c r="D50" s="870"/>
      <c r="E50" s="870"/>
      <c r="F50" s="870"/>
      <c r="G50" s="870"/>
      <c r="H50" s="870"/>
      <c r="I50" s="870"/>
      <c r="J50" s="870"/>
      <c r="K50" s="870"/>
      <c r="L50" s="870"/>
      <c r="M50" s="870"/>
    </row>
    <row r="51" spans="1:13" ht="12.75">
      <c r="A51" s="876" t="s">
        <v>1050</v>
      </c>
      <c r="B51" s="877"/>
      <c r="C51" s="877"/>
      <c r="D51" s="877"/>
      <c r="E51" s="877"/>
      <c r="F51" s="877"/>
      <c r="G51" s="877"/>
      <c r="H51" s="877"/>
      <c r="I51" s="877"/>
      <c r="J51" s="877"/>
      <c r="K51" s="877"/>
      <c r="L51" s="877"/>
      <c r="M51" s="877"/>
    </row>
    <row r="52" spans="1:13" ht="12.75">
      <c r="A52" s="873" t="s">
        <v>1051</v>
      </c>
      <c r="B52" s="874">
        <v>1</v>
      </c>
      <c r="C52" s="874">
        <v>1</v>
      </c>
      <c r="D52" s="874">
        <v>1</v>
      </c>
      <c r="E52" s="874">
        <v>1</v>
      </c>
      <c r="F52" s="874">
        <v>1</v>
      </c>
      <c r="G52" s="874">
        <v>1</v>
      </c>
      <c r="H52" s="874">
        <v>1</v>
      </c>
      <c r="I52" s="874">
        <v>1</v>
      </c>
      <c r="J52" s="874">
        <v>1</v>
      </c>
      <c r="K52" s="874">
        <v>1</v>
      </c>
      <c r="L52" s="874">
        <v>1</v>
      </c>
      <c r="M52" s="874">
        <v>1</v>
      </c>
    </row>
    <row r="53" spans="1:13" ht="12.75">
      <c r="A53" s="883" t="s">
        <v>1052</v>
      </c>
      <c r="B53" s="874">
        <v>1</v>
      </c>
      <c r="C53" s="874">
        <v>1</v>
      </c>
      <c r="D53" s="874">
        <v>1</v>
      </c>
      <c r="E53" s="874">
        <v>1</v>
      </c>
      <c r="F53" s="874">
        <v>1</v>
      </c>
      <c r="G53" s="874">
        <v>1</v>
      </c>
      <c r="H53" s="874">
        <v>1</v>
      </c>
      <c r="I53" s="874">
        <v>1</v>
      </c>
      <c r="J53" s="874">
        <v>1</v>
      </c>
      <c r="K53" s="874">
        <v>1</v>
      </c>
      <c r="L53" s="874">
        <v>1</v>
      </c>
      <c r="M53" s="874">
        <v>1</v>
      </c>
    </row>
    <row r="54" spans="1:13" ht="12.75">
      <c r="A54" s="876" t="s">
        <v>1053</v>
      </c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</row>
    <row r="55" spans="1:13" ht="12.75">
      <c r="A55" s="883" t="s">
        <v>1054</v>
      </c>
      <c r="B55" s="874">
        <v>12</v>
      </c>
      <c r="C55" s="874">
        <v>12</v>
      </c>
      <c r="D55" s="874">
        <v>12</v>
      </c>
      <c r="E55" s="874">
        <v>12</v>
      </c>
      <c r="F55" s="874">
        <v>12</v>
      </c>
      <c r="G55" s="874">
        <v>12</v>
      </c>
      <c r="H55" s="874">
        <v>12</v>
      </c>
      <c r="I55" s="874">
        <v>12</v>
      </c>
      <c r="J55" s="874">
        <v>12</v>
      </c>
      <c r="K55" s="874">
        <v>12</v>
      </c>
      <c r="L55" s="874">
        <v>12</v>
      </c>
      <c r="M55" s="874">
        <v>12</v>
      </c>
    </row>
    <row r="56" spans="1:13" ht="12.75">
      <c r="A56" s="876" t="s">
        <v>1055</v>
      </c>
      <c r="B56" s="877"/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877"/>
    </row>
    <row r="57" spans="1:13" ht="25.5">
      <c r="A57" s="873" t="s">
        <v>1056</v>
      </c>
      <c r="B57" s="874">
        <v>1</v>
      </c>
      <c r="C57" s="874">
        <v>1</v>
      </c>
      <c r="D57" s="874">
        <v>1</v>
      </c>
      <c r="E57" s="874">
        <v>0</v>
      </c>
      <c r="F57" s="874">
        <v>0</v>
      </c>
      <c r="G57" s="874">
        <v>0</v>
      </c>
      <c r="H57" s="874">
        <v>0</v>
      </c>
      <c r="I57" s="874">
        <v>0</v>
      </c>
      <c r="J57" s="874">
        <v>0</v>
      </c>
      <c r="K57" s="874">
        <v>0</v>
      </c>
      <c r="L57" s="874">
        <v>0</v>
      </c>
      <c r="M57" s="874">
        <v>0</v>
      </c>
    </row>
    <row r="58" spans="1:13" ht="12.75">
      <c r="A58" s="876" t="s">
        <v>1057</v>
      </c>
      <c r="B58" s="877"/>
      <c r="C58" s="877"/>
      <c r="D58" s="877"/>
      <c r="E58" s="877"/>
      <c r="F58" s="877"/>
      <c r="G58" s="877"/>
      <c r="H58" s="877"/>
      <c r="I58" s="877"/>
      <c r="J58" s="877"/>
      <c r="K58" s="877"/>
      <c r="L58" s="877"/>
      <c r="M58" s="877"/>
    </row>
    <row r="59" spans="1:13" ht="25.5">
      <c r="A59" s="873" t="s">
        <v>1058</v>
      </c>
      <c r="B59" s="874">
        <v>1</v>
      </c>
      <c r="C59" s="874">
        <v>1</v>
      </c>
      <c r="D59" s="874">
        <v>1</v>
      </c>
      <c r="E59" s="874">
        <v>1</v>
      </c>
      <c r="F59" s="874">
        <v>1</v>
      </c>
      <c r="G59" s="874">
        <v>1</v>
      </c>
      <c r="H59" s="874">
        <v>1</v>
      </c>
      <c r="I59" s="874">
        <v>1</v>
      </c>
      <c r="J59" s="874">
        <v>1</v>
      </c>
      <c r="K59" s="874">
        <v>1</v>
      </c>
      <c r="L59" s="874">
        <v>1</v>
      </c>
      <c r="M59" s="874">
        <v>1</v>
      </c>
    </row>
    <row r="60" spans="1:13" ht="12.75">
      <c r="A60" s="876" t="s">
        <v>1059</v>
      </c>
      <c r="B60" s="877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</row>
    <row r="61" spans="1:13" ht="12.75">
      <c r="A61" s="873" t="s">
        <v>1060</v>
      </c>
      <c r="B61" s="874">
        <v>1</v>
      </c>
      <c r="C61" s="874">
        <v>1</v>
      </c>
      <c r="D61" s="874">
        <v>1</v>
      </c>
      <c r="E61" s="874">
        <v>1</v>
      </c>
      <c r="F61" s="874">
        <v>1</v>
      </c>
      <c r="G61" s="874">
        <v>1</v>
      </c>
      <c r="H61" s="874">
        <v>1</v>
      </c>
      <c r="I61" s="874">
        <v>1</v>
      </c>
      <c r="J61" s="874">
        <v>1</v>
      </c>
      <c r="K61" s="874">
        <v>1</v>
      </c>
      <c r="L61" s="874">
        <v>1</v>
      </c>
      <c r="M61" s="874">
        <v>1</v>
      </c>
    </row>
    <row r="62" spans="1:13" ht="12.75">
      <c r="A62" s="873" t="s">
        <v>1061</v>
      </c>
      <c r="B62" s="874">
        <v>1</v>
      </c>
      <c r="C62" s="874">
        <v>1</v>
      </c>
      <c r="D62" s="874">
        <v>1</v>
      </c>
      <c r="E62" s="874">
        <v>1</v>
      </c>
      <c r="F62" s="874">
        <v>1</v>
      </c>
      <c r="G62" s="874">
        <v>1</v>
      </c>
      <c r="H62" s="874">
        <v>1</v>
      </c>
      <c r="I62" s="874">
        <v>1</v>
      </c>
      <c r="J62" s="874">
        <v>1</v>
      </c>
      <c r="K62" s="874">
        <v>1</v>
      </c>
      <c r="L62" s="874">
        <v>1</v>
      </c>
      <c r="M62" s="874">
        <v>1</v>
      </c>
    </row>
    <row r="63" spans="1:13" ht="12.75">
      <c r="A63" s="876" t="s">
        <v>1062</v>
      </c>
      <c r="B63" s="877"/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</row>
    <row r="64" spans="1:13" ht="12.75">
      <c r="A64" s="884" t="s">
        <v>1063</v>
      </c>
      <c r="B64" s="874">
        <v>1</v>
      </c>
      <c r="C64" s="874">
        <v>1</v>
      </c>
      <c r="D64" s="874">
        <v>1</v>
      </c>
      <c r="E64" s="874">
        <v>1</v>
      </c>
      <c r="F64" s="874">
        <v>1</v>
      </c>
      <c r="G64" s="874">
        <v>1</v>
      </c>
      <c r="H64" s="874">
        <v>1</v>
      </c>
      <c r="I64" s="874">
        <v>1</v>
      </c>
      <c r="J64" s="874">
        <v>1</v>
      </c>
      <c r="K64" s="874">
        <v>1</v>
      </c>
      <c r="L64" s="874">
        <v>1</v>
      </c>
      <c r="M64" s="874">
        <v>1</v>
      </c>
    </row>
    <row r="65" spans="1:13" ht="12.75">
      <c r="A65" s="876" t="s">
        <v>1064</v>
      </c>
      <c r="B65" s="877"/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</row>
    <row r="66" spans="1:13" ht="12.75">
      <c r="A66" s="884" t="s">
        <v>1065</v>
      </c>
      <c r="B66" s="885">
        <v>5</v>
      </c>
      <c r="C66" s="885">
        <v>5</v>
      </c>
      <c r="D66" s="885">
        <v>5</v>
      </c>
      <c r="E66" s="885">
        <v>5</v>
      </c>
      <c r="F66" s="885">
        <v>5</v>
      </c>
      <c r="G66" s="885">
        <v>5</v>
      </c>
      <c r="H66" s="874">
        <v>5</v>
      </c>
      <c r="I66" s="874">
        <v>5</v>
      </c>
      <c r="J66" s="874">
        <v>5</v>
      </c>
      <c r="K66" s="874">
        <v>5</v>
      </c>
      <c r="L66" s="874">
        <v>5</v>
      </c>
      <c r="M66" s="874">
        <v>5</v>
      </c>
    </row>
    <row r="67" spans="1:13" ht="38.25">
      <c r="A67" s="876" t="s">
        <v>1066</v>
      </c>
      <c r="B67" s="877"/>
      <c r="C67" s="877"/>
      <c r="D67" s="877"/>
      <c r="E67" s="877"/>
      <c r="F67" s="877"/>
      <c r="G67" s="877"/>
      <c r="H67" s="877"/>
      <c r="I67" s="877"/>
      <c r="J67" s="877"/>
      <c r="K67" s="877"/>
      <c r="L67" s="877"/>
      <c r="M67" s="877"/>
    </row>
    <row r="68" spans="1:13" ht="12.75">
      <c r="A68" s="884" t="s">
        <v>1067</v>
      </c>
      <c r="B68" s="885">
        <v>0.5</v>
      </c>
      <c r="C68" s="885">
        <v>0.5</v>
      </c>
      <c r="D68" s="885">
        <v>0.5</v>
      </c>
      <c r="E68" s="885">
        <v>0.5</v>
      </c>
      <c r="F68" s="885">
        <v>0.5</v>
      </c>
      <c r="G68" s="885">
        <v>0.5</v>
      </c>
      <c r="H68" s="874">
        <v>0.5</v>
      </c>
      <c r="I68" s="874">
        <v>0.5</v>
      </c>
      <c r="J68" s="874">
        <v>0.5</v>
      </c>
      <c r="K68" s="874">
        <v>0.5</v>
      </c>
      <c r="L68" s="874">
        <v>0.5</v>
      </c>
      <c r="M68" s="874">
        <v>0.5</v>
      </c>
    </row>
    <row r="69" spans="1:13" ht="12.75">
      <c r="A69" s="884" t="s">
        <v>1068</v>
      </c>
      <c r="B69" s="885">
        <v>0.5</v>
      </c>
      <c r="C69" s="885">
        <v>0.5</v>
      </c>
      <c r="D69" s="885">
        <v>0.5</v>
      </c>
      <c r="E69" s="885">
        <v>0.5</v>
      </c>
      <c r="F69" s="885">
        <v>0.5</v>
      </c>
      <c r="G69" s="885">
        <v>0.5</v>
      </c>
      <c r="H69" s="874">
        <v>0.5</v>
      </c>
      <c r="I69" s="874">
        <v>0.5</v>
      </c>
      <c r="J69" s="874">
        <v>0.5</v>
      </c>
      <c r="K69" s="874">
        <v>0.5</v>
      </c>
      <c r="L69" s="874">
        <v>0.5</v>
      </c>
      <c r="M69" s="874">
        <v>0.5</v>
      </c>
    </row>
    <row r="70" spans="1:13" ht="12.75">
      <c r="A70" s="873" t="s">
        <v>1040</v>
      </c>
      <c r="B70" s="885">
        <v>1</v>
      </c>
      <c r="C70" s="885">
        <v>1</v>
      </c>
      <c r="D70" s="885">
        <v>1</v>
      </c>
      <c r="E70" s="885">
        <v>1</v>
      </c>
      <c r="F70" s="885">
        <v>1</v>
      </c>
      <c r="G70" s="885">
        <v>1</v>
      </c>
      <c r="H70" s="885">
        <v>1</v>
      </c>
      <c r="I70" s="885">
        <v>1</v>
      </c>
      <c r="J70" s="885">
        <v>1</v>
      </c>
      <c r="K70" s="885">
        <v>0</v>
      </c>
      <c r="L70" s="885">
        <v>1</v>
      </c>
      <c r="M70" s="885">
        <v>1</v>
      </c>
    </row>
    <row r="71" spans="1:13" ht="12.75">
      <c r="A71" s="873" t="s">
        <v>1069</v>
      </c>
      <c r="B71" s="885">
        <v>1</v>
      </c>
      <c r="C71" s="885">
        <v>1</v>
      </c>
      <c r="D71" s="885">
        <v>1</v>
      </c>
      <c r="E71" s="885">
        <v>1</v>
      </c>
      <c r="F71" s="885">
        <v>1</v>
      </c>
      <c r="G71" s="885">
        <v>2</v>
      </c>
      <c r="H71" s="885">
        <v>2</v>
      </c>
      <c r="I71" s="885">
        <v>1</v>
      </c>
      <c r="J71" s="885">
        <v>2</v>
      </c>
      <c r="K71" s="885">
        <v>2</v>
      </c>
      <c r="L71" s="885">
        <v>2</v>
      </c>
      <c r="M71" s="885">
        <v>2</v>
      </c>
    </row>
    <row r="72" spans="1:13" ht="12.75">
      <c r="A72" s="873" t="s">
        <v>1070</v>
      </c>
      <c r="B72" s="885">
        <v>1</v>
      </c>
      <c r="C72" s="885">
        <v>1</v>
      </c>
      <c r="D72" s="885">
        <v>1</v>
      </c>
      <c r="E72" s="885">
        <v>1</v>
      </c>
      <c r="F72" s="885">
        <v>1</v>
      </c>
      <c r="G72" s="885">
        <v>1</v>
      </c>
      <c r="H72" s="885">
        <v>1</v>
      </c>
      <c r="I72" s="885">
        <v>1</v>
      </c>
      <c r="J72" s="885">
        <v>1</v>
      </c>
      <c r="K72" s="885">
        <v>1</v>
      </c>
      <c r="L72" s="885">
        <v>1</v>
      </c>
      <c r="M72" s="885">
        <v>1</v>
      </c>
    </row>
    <row r="73" spans="1:13" ht="25.5">
      <c r="A73" s="873" t="s">
        <v>1184</v>
      </c>
      <c r="B73" s="885">
        <v>0.5</v>
      </c>
      <c r="C73" s="885">
        <v>0.5</v>
      </c>
      <c r="D73" s="885">
        <v>0.5</v>
      </c>
      <c r="E73" s="885">
        <v>0.5</v>
      </c>
      <c r="F73" s="885">
        <v>0.5</v>
      </c>
      <c r="G73" s="885">
        <v>0.5</v>
      </c>
      <c r="H73" s="885">
        <v>0.5</v>
      </c>
      <c r="I73" s="885">
        <v>0</v>
      </c>
      <c r="J73" s="885">
        <v>0</v>
      </c>
      <c r="K73" s="885">
        <v>0.5</v>
      </c>
      <c r="L73" s="885">
        <v>0.5</v>
      </c>
      <c r="M73" s="885">
        <v>0.5</v>
      </c>
    </row>
    <row r="74" spans="1:13" ht="12.75">
      <c r="A74" s="884" t="s">
        <v>1233</v>
      </c>
      <c r="B74" s="885">
        <v>0</v>
      </c>
      <c r="C74" s="885">
        <v>1</v>
      </c>
      <c r="D74" s="885">
        <v>1</v>
      </c>
      <c r="E74" s="885">
        <v>1</v>
      </c>
      <c r="F74" s="885">
        <v>1</v>
      </c>
      <c r="G74" s="885">
        <v>1</v>
      </c>
      <c r="H74" s="885">
        <v>1</v>
      </c>
      <c r="I74" s="885">
        <v>1.5</v>
      </c>
      <c r="J74" s="885">
        <v>1.5</v>
      </c>
      <c r="K74" s="885">
        <v>1.5</v>
      </c>
      <c r="L74" s="885">
        <v>1.5</v>
      </c>
      <c r="M74" s="885">
        <v>1.5</v>
      </c>
    </row>
    <row r="75" spans="1:13" ht="25.5">
      <c r="A75" s="876" t="s">
        <v>1071</v>
      </c>
      <c r="B75" s="877"/>
      <c r="C75" s="877"/>
      <c r="D75" s="877"/>
      <c r="E75" s="877"/>
      <c r="F75" s="877"/>
      <c r="G75" s="877"/>
      <c r="H75" s="877"/>
      <c r="I75" s="877"/>
      <c r="J75" s="877"/>
      <c r="K75" s="877"/>
      <c r="L75" s="877"/>
      <c r="M75" s="877"/>
    </row>
    <row r="76" spans="1:13" ht="12.75">
      <c r="A76" s="884" t="s">
        <v>1075</v>
      </c>
      <c r="B76" s="885">
        <v>0</v>
      </c>
      <c r="C76" s="885">
        <v>0</v>
      </c>
      <c r="D76" s="885">
        <v>0</v>
      </c>
      <c r="E76" s="885">
        <v>0</v>
      </c>
      <c r="F76" s="885">
        <v>0</v>
      </c>
      <c r="G76" s="885">
        <v>0</v>
      </c>
      <c r="H76" s="885">
        <v>1</v>
      </c>
      <c r="I76" s="885">
        <v>1</v>
      </c>
      <c r="J76" s="885">
        <v>1</v>
      </c>
      <c r="K76" s="885">
        <v>1</v>
      </c>
      <c r="L76" s="885">
        <v>1</v>
      </c>
      <c r="M76" s="885">
        <v>1</v>
      </c>
    </row>
    <row r="77" spans="1:13" ht="12.75">
      <c r="A77" s="884" t="s">
        <v>1072</v>
      </c>
      <c r="B77" s="885">
        <v>0</v>
      </c>
      <c r="C77" s="885">
        <v>0</v>
      </c>
      <c r="D77" s="885">
        <v>0</v>
      </c>
      <c r="E77" s="885">
        <v>0</v>
      </c>
      <c r="F77" s="885">
        <v>0</v>
      </c>
      <c r="G77" s="885">
        <v>0</v>
      </c>
      <c r="H77" s="885">
        <v>0</v>
      </c>
      <c r="I77" s="885">
        <v>1</v>
      </c>
      <c r="J77" s="885">
        <v>1</v>
      </c>
      <c r="K77" s="885">
        <v>1</v>
      </c>
      <c r="L77" s="885">
        <v>1</v>
      </c>
      <c r="M77" s="885">
        <v>1</v>
      </c>
    </row>
    <row r="78" spans="1:13" ht="12.75">
      <c r="A78" s="884" t="s">
        <v>1073</v>
      </c>
      <c r="B78" s="885">
        <v>0</v>
      </c>
      <c r="C78" s="885">
        <v>0</v>
      </c>
      <c r="D78" s="885">
        <v>0</v>
      </c>
      <c r="E78" s="885">
        <v>0</v>
      </c>
      <c r="F78" s="885">
        <v>0</v>
      </c>
      <c r="G78" s="885">
        <v>0</v>
      </c>
      <c r="H78" s="885">
        <v>0</v>
      </c>
      <c r="I78" s="885">
        <v>0</v>
      </c>
      <c r="J78" s="885">
        <v>1</v>
      </c>
      <c r="K78" s="885">
        <v>1</v>
      </c>
      <c r="L78" s="885">
        <v>1</v>
      </c>
      <c r="M78" s="885">
        <v>1</v>
      </c>
    </row>
    <row r="79" spans="1:13" ht="12.75">
      <c r="A79" s="884" t="s">
        <v>1185</v>
      </c>
      <c r="B79" s="885">
        <v>0</v>
      </c>
      <c r="C79" s="885">
        <v>0</v>
      </c>
      <c r="D79" s="885">
        <v>0</v>
      </c>
      <c r="E79" s="885">
        <v>0</v>
      </c>
      <c r="F79" s="885">
        <v>0</v>
      </c>
      <c r="G79" s="885">
        <v>0</v>
      </c>
      <c r="H79" s="885">
        <v>0</v>
      </c>
      <c r="I79" s="885">
        <v>0</v>
      </c>
      <c r="J79" s="885">
        <v>0</v>
      </c>
      <c r="K79" s="885">
        <v>0</v>
      </c>
      <c r="L79" s="885">
        <v>0</v>
      </c>
      <c r="M79" s="885">
        <v>1</v>
      </c>
    </row>
    <row r="80" spans="1:13" ht="12.75">
      <c r="A80" s="884" t="s">
        <v>1234</v>
      </c>
      <c r="B80" s="885">
        <v>0</v>
      </c>
      <c r="C80" s="885">
        <v>0</v>
      </c>
      <c r="D80" s="885">
        <v>0</v>
      </c>
      <c r="E80" s="885">
        <v>0</v>
      </c>
      <c r="F80" s="885">
        <v>0</v>
      </c>
      <c r="G80" s="885">
        <v>0</v>
      </c>
      <c r="H80" s="885">
        <v>0</v>
      </c>
      <c r="I80" s="885">
        <v>0</v>
      </c>
      <c r="J80" s="885">
        <v>0.5</v>
      </c>
      <c r="K80" s="885">
        <v>0.5</v>
      </c>
      <c r="L80" s="885">
        <v>0.5</v>
      </c>
      <c r="M80" s="885">
        <v>0.5</v>
      </c>
    </row>
    <row r="81" spans="1:13" ht="12.75">
      <c r="A81" s="884" t="s">
        <v>1235</v>
      </c>
      <c r="B81" s="885">
        <v>0</v>
      </c>
      <c r="C81" s="885">
        <v>0</v>
      </c>
      <c r="D81" s="885">
        <v>0</v>
      </c>
      <c r="E81" s="885">
        <v>0</v>
      </c>
      <c r="F81" s="885">
        <v>0</v>
      </c>
      <c r="G81" s="885">
        <v>0</v>
      </c>
      <c r="H81" s="885">
        <v>0</v>
      </c>
      <c r="I81" s="885">
        <v>0</v>
      </c>
      <c r="J81" s="885">
        <v>2</v>
      </c>
      <c r="K81" s="885">
        <v>2.5</v>
      </c>
      <c r="L81" s="885">
        <v>2.5</v>
      </c>
      <c r="M81" s="885">
        <v>2.5</v>
      </c>
    </row>
    <row r="82" spans="1:13" ht="25.5">
      <c r="A82" s="876" t="s">
        <v>1174</v>
      </c>
      <c r="B82" s="877"/>
      <c r="C82" s="877"/>
      <c r="D82" s="877"/>
      <c r="E82" s="877"/>
      <c r="F82" s="877"/>
      <c r="G82" s="877"/>
      <c r="H82" s="877"/>
      <c r="I82" s="877"/>
      <c r="J82" s="877"/>
      <c r="K82" s="877"/>
      <c r="L82" s="877"/>
      <c r="M82" s="877"/>
    </row>
    <row r="83" spans="1:13" s="956" customFormat="1" ht="12.75">
      <c r="A83" s="884" t="s">
        <v>1183</v>
      </c>
      <c r="B83" s="885">
        <v>0</v>
      </c>
      <c r="C83" s="885">
        <v>0</v>
      </c>
      <c r="D83" s="885">
        <v>0</v>
      </c>
      <c r="E83" s="885">
        <v>0</v>
      </c>
      <c r="F83" s="885">
        <v>0</v>
      </c>
      <c r="G83" s="885">
        <v>0</v>
      </c>
      <c r="H83" s="885">
        <v>0</v>
      </c>
      <c r="I83" s="885">
        <v>0</v>
      </c>
      <c r="J83" s="885">
        <v>1</v>
      </c>
      <c r="K83" s="885">
        <v>1</v>
      </c>
      <c r="L83" s="885">
        <v>1</v>
      </c>
      <c r="M83" s="885">
        <v>1</v>
      </c>
    </row>
    <row r="84" spans="1:13" ht="25.5">
      <c r="A84" s="876" t="s">
        <v>1046</v>
      </c>
      <c r="B84" s="877"/>
      <c r="C84" s="877"/>
      <c r="D84" s="877"/>
      <c r="E84" s="877"/>
      <c r="F84" s="877"/>
      <c r="G84" s="877"/>
      <c r="H84" s="877"/>
      <c r="I84" s="877"/>
      <c r="J84" s="877"/>
      <c r="K84" s="877"/>
      <c r="L84" s="877"/>
      <c r="M84" s="877"/>
    </row>
    <row r="85" spans="1:13" s="956" customFormat="1" ht="12.75">
      <c r="A85" s="884" t="s">
        <v>1236</v>
      </c>
      <c r="B85" s="885">
        <v>0</v>
      </c>
      <c r="C85" s="885">
        <v>0</v>
      </c>
      <c r="D85" s="885">
        <v>0</v>
      </c>
      <c r="E85" s="885">
        <v>0</v>
      </c>
      <c r="F85" s="885">
        <v>0</v>
      </c>
      <c r="G85" s="885">
        <v>0</v>
      </c>
      <c r="H85" s="885">
        <v>0</v>
      </c>
      <c r="I85" s="885">
        <v>0</v>
      </c>
      <c r="J85" s="885">
        <v>0</v>
      </c>
      <c r="K85" s="885">
        <v>0.25</v>
      </c>
      <c r="L85" s="885">
        <v>0.25</v>
      </c>
      <c r="M85" s="885">
        <v>0.25</v>
      </c>
    </row>
    <row r="86" spans="1:13" s="956" customFormat="1" ht="12.75">
      <c r="A86" s="884" t="s">
        <v>1237</v>
      </c>
      <c r="B86" s="885">
        <v>0</v>
      </c>
      <c r="C86" s="885">
        <v>0</v>
      </c>
      <c r="D86" s="885">
        <v>0</v>
      </c>
      <c r="E86" s="885">
        <v>0</v>
      </c>
      <c r="F86" s="885">
        <v>0</v>
      </c>
      <c r="G86" s="885">
        <v>0</v>
      </c>
      <c r="H86" s="885">
        <v>0</v>
      </c>
      <c r="I86" s="885">
        <v>0</v>
      </c>
      <c r="J86" s="885">
        <v>0</v>
      </c>
      <c r="K86" s="885">
        <v>0.5</v>
      </c>
      <c r="L86" s="885">
        <v>0.5</v>
      </c>
      <c r="M86" s="885">
        <v>0.5</v>
      </c>
    </row>
    <row r="87" spans="1:13" ht="12.75">
      <c r="A87" s="869" t="s">
        <v>380</v>
      </c>
      <c r="B87" s="879">
        <f>SUM(B52:B86)</f>
        <v>28.5</v>
      </c>
      <c r="C87" s="879">
        <f aca="true" t="shared" si="2" ref="C87:M87">SUM(C52:C86)</f>
        <v>29.5</v>
      </c>
      <c r="D87" s="879">
        <f t="shared" si="2"/>
        <v>29.5</v>
      </c>
      <c r="E87" s="879">
        <f t="shared" si="2"/>
        <v>28.5</v>
      </c>
      <c r="F87" s="879">
        <f t="shared" si="2"/>
        <v>28.5</v>
      </c>
      <c r="G87" s="879">
        <f t="shared" si="2"/>
        <v>29.5</v>
      </c>
      <c r="H87" s="879">
        <f t="shared" si="2"/>
        <v>30.5</v>
      </c>
      <c r="I87" s="879">
        <f t="shared" si="2"/>
        <v>30.5</v>
      </c>
      <c r="J87" s="879">
        <f t="shared" si="2"/>
        <v>36</v>
      </c>
      <c r="K87" s="879">
        <f t="shared" si="2"/>
        <v>36.75</v>
      </c>
      <c r="L87" s="879">
        <f t="shared" si="2"/>
        <v>37.75</v>
      </c>
      <c r="M87" s="879">
        <f t="shared" si="2"/>
        <v>38.75</v>
      </c>
    </row>
    <row r="88" spans="1:13" ht="12.75">
      <c r="A88" s="880"/>
      <c r="B88" s="874"/>
      <c r="C88" s="874"/>
      <c r="D88" s="874"/>
      <c r="E88" s="874"/>
      <c r="F88" s="874"/>
      <c r="G88" s="874"/>
      <c r="H88" s="874"/>
      <c r="I88" s="874"/>
      <c r="J88" s="874"/>
      <c r="K88" s="874"/>
      <c r="L88" s="874"/>
      <c r="M88" s="874"/>
    </row>
    <row r="89" spans="1:13" ht="12.75">
      <c r="A89" s="869" t="s">
        <v>851</v>
      </c>
      <c r="B89" s="870"/>
      <c r="C89" s="870"/>
      <c r="D89" s="870"/>
      <c r="E89" s="870"/>
      <c r="F89" s="870"/>
      <c r="G89" s="870"/>
      <c r="H89" s="870"/>
      <c r="I89" s="870"/>
      <c r="J89" s="870"/>
      <c r="K89" s="870"/>
      <c r="L89" s="870"/>
      <c r="M89" s="870"/>
    </row>
    <row r="90" spans="1:13" ht="12.75">
      <c r="A90" s="873" t="s">
        <v>1076</v>
      </c>
      <c r="B90" s="874">
        <v>1</v>
      </c>
      <c r="C90" s="874">
        <v>1</v>
      </c>
      <c r="D90" s="874">
        <v>1</v>
      </c>
      <c r="E90" s="874">
        <v>1</v>
      </c>
      <c r="F90" s="874">
        <v>1</v>
      </c>
      <c r="G90" s="874">
        <v>1</v>
      </c>
      <c r="H90" s="874">
        <v>1</v>
      </c>
      <c r="I90" s="874">
        <v>1</v>
      </c>
      <c r="J90" s="874">
        <v>1</v>
      </c>
      <c r="K90" s="874">
        <v>1</v>
      </c>
      <c r="L90" s="874">
        <v>1</v>
      </c>
      <c r="M90" s="874">
        <v>1</v>
      </c>
    </row>
    <row r="91" spans="1:13" ht="12.75">
      <c r="A91" s="873" t="s">
        <v>1077</v>
      </c>
      <c r="B91" s="874">
        <v>1</v>
      </c>
      <c r="C91" s="874">
        <v>1</v>
      </c>
      <c r="D91" s="874">
        <v>1</v>
      </c>
      <c r="E91" s="874">
        <v>1</v>
      </c>
      <c r="F91" s="874">
        <v>1</v>
      </c>
      <c r="G91" s="874">
        <v>1</v>
      </c>
      <c r="H91" s="874">
        <v>1</v>
      </c>
      <c r="I91" s="874">
        <v>1</v>
      </c>
      <c r="J91" s="874">
        <v>1</v>
      </c>
      <c r="K91" s="874">
        <v>1</v>
      </c>
      <c r="L91" s="874">
        <v>1</v>
      </c>
      <c r="M91" s="874">
        <v>1</v>
      </c>
    </row>
    <row r="92" spans="1:13" ht="12.75">
      <c r="A92" s="873" t="s">
        <v>1078</v>
      </c>
      <c r="B92" s="874">
        <v>1</v>
      </c>
      <c r="C92" s="874">
        <v>1</v>
      </c>
      <c r="D92" s="874">
        <v>1</v>
      </c>
      <c r="E92" s="874">
        <v>1</v>
      </c>
      <c r="F92" s="874">
        <v>1</v>
      </c>
      <c r="G92" s="874">
        <v>1</v>
      </c>
      <c r="H92" s="874">
        <v>1</v>
      </c>
      <c r="I92" s="874">
        <v>1</v>
      </c>
      <c r="J92" s="874">
        <v>1</v>
      </c>
      <c r="K92" s="874">
        <v>1</v>
      </c>
      <c r="L92" s="874">
        <v>1</v>
      </c>
      <c r="M92" s="874">
        <v>1</v>
      </c>
    </row>
    <row r="93" spans="1:13" ht="12.75">
      <c r="A93" s="873" t="s">
        <v>1079</v>
      </c>
      <c r="B93" s="874">
        <v>1</v>
      </c>
      <c r="C93" s="874">
        <v>1</v>
      </c>
      <c r="D93" s="874">
        <v>1</v>
      </c>
      <c r="E93" s="874">
        <v>1</v>
      </c>
      <c r="F93" s="874">
        <v>1</v>
      </c>
      <c r="G93" s="874">
        <v>1</v>
      </c>
      <c r="H93" s="874">
        <v>1</v>
      </c>
      <c r="I93" s="874">
        <v>1</v>
      </c>
      <c r="J93" s="874">
        <v>1</v>
      </c>
      <c r="K93" s="874">
        <v>1</v>
      </c>
      <c r="L93" s="874">
        <v>1</v>
      </c>
      <c r="M93" s="874">
        <v>1</v>
      </c>
    </row>
    <row r="94" spans="1:13" ht="25.5">
      <c r="A94" s="876" t="s">
        <v>1074</v>
      </c>
      <c r="B94" s="877"/>
      <c r="C94" s="877"/>
      <c r="D94" s="877"/>
      <c r="E94" s="877"/>
      <c r="F94" s="877"/>
      <c r="G94" s="877"/>
      <c r="H94" s="877"/>
      <c r="I94" s="877"/>
      <c r="J94" s="877"/>
      <c r="K94" s="877"/>
      <c r="L94" s="877"/>
      <c r="M94" s="877"/>
    </row>
    <row r="95" spans="1:13" ht="12.75">
      <c r="A95" s="884" t="s">
        <v>1238</v>
      </c>
      <c r="B95" s="885">
        <v>0</v>
      </c>
      <c r="C95" s="885">
        <v>0</v>
      </c>
      <c r="D95" s="885">
        <v>0</v>
      </c>
      <c r="E95" s="885">
        <v>0</v>
      </c>
      <c r="F95" s="885">
        <v>0</v>
      </c>
      <c r="G95" s="885">
        <v>0</v>
      </c>
      <c r="H95" s="885">
        <v>0</v>
      </c>
      <c r="I95" s="885">
        <v>0</v>
      </c>
      <c r="J95" s="885">
        <v>0</v>
      </c>
      <c r="K95" s="885">
        <v>0.5</v>
      </c>
      <c r="L95" s="885">
        <v>0.5</v>
      </c>
      <c r="M95" s="885">
        <v>0.5</v>
      </c>
    </row>
    <row r="96" spans="1:13" ht="12.75">
      <c r="A96" s="869" t="s">
        <v>852</v>
      </c>
      <c r="B96" s="879">
        <f>SUM(B90:B95)</f>
        <v>4</v>
      </c>
      <c r="C96" s="879">
        <f aca="true" t="shared" si="3" ref="C96:M96">SUM(C90:C95)</f>
        <v>4</v>
      </c>
      <c r="D96" s="879">
        <f t="shared" si="3"/>
        <v>4</v>
      </c>
      <c r="E96" s="879">
        <f t="shared" si="3"/>
        <v>4</v>
      </c>
      <c r="F96" s="879">
        <f t="shared" si="3"/>
        <v>4</v>
      </c>
      <c r="G96" s="879">
        <f t="shared" si="3"/>
        <v>4</v>
      </c>
      <c r="H96" s="879">
        <f t="shared" si="3"/>
        <v>4</v>
      </c>
      <c r="I96" s="879">
        <f t="shared" si="3"/>
        <v>4</v>
      </c>
      <c r="J96" s="879">
        <f t="shared" si="3"/>
        <v>4</v>
      </c>
      <c r="K96" s="879">
        <f t="shared" si="3"/>
        <v>4.5</v>
      </c>
      <c r="L96" s="879">
        <f t="shared" si="3"/>
        <v>4.5</v>
      </c>
      <c r="M96" s="879">
        <f t="shared" si="3"/>
        <v>4.5</v>
      </c>
    </row>
    <row r="97" spans="1:13" ht="25.5">
      <c r="A97" s="886" t="s">
        <v>1080</v>
      </c>
      <c r="B97" s="887">
        <f>SUM(B96,B87,B48,B43)</f>
        <v>98.625</v>
      </c>
      <c r="C97" s="887">
        <f aca="true" t="shared" si="4" ref="C97:M97">SUM(C96,C87,C48,C43)</f>
        <v>99.625</v>
      </c>
      <c r="D97" s="887">
        <f t="shared" si="4"/>
        <v>99.625</v>
      </c>
      <c r="E97" s="887">
        <f t="shared" si="4"/>
        <v>99.625</v>
      </c>
      <c r="F97" s="887">
        <f t="shared" si="4"/>
        <v>99.625</v>
      </c>
      <c r="G97" s="887">
        <f t="shared" si="4"/>
        <v>100.625</v>
      </c>
      <c r="H97" s="887">
        <f t="shared" si="4"/>
        <v>102.625</v>
      </c>
      <c r="I97" s="887">
        <f t="shared" si="4"/>
        <v>102.625</v>
      </c>
      <c r="J97" s="887">
        <f t="shared" si="4"/>
        <v>110.45</v>
      </c>
      <c r="K97" s="887">
        <f t="shared" si="4"/>
        <v>114.7</v>
      </c>
      <c r="L97" s="887">
        <f t="shared" si="4"/>
        <v>115.7</v>
      </c>
      <c r="M97" s="887">
        <f t="shared" si="4"/>
        <v>116.7</v>
      </c>
    </row>
    <row r="98" spans="1:13" ht="12.75">
      <c r="A98" s="880"/>
      <c r="B98" s="874"/>
      <c r="C98" s="874"/>
      <c r="D98" s="874"/>
      <c r="E98" s="874"/>
      <c r="F98" s="874"/>
      <c r="G98" s="874"/>
      <c r="H98" s="874"/>
      <c r="I98" s="874"/>
      <c r="J98" s="874"/>
      <c r="K98" s="874"/>
      <c r="L98" s="874"/>
      <c r="M98" s="874"/>
    </row>
    <row r="99" spans="1:13" ht="12.75">
      <c r="A99" s="869" t="s">
        <v>1081</v>
      </c>
      <c r="B99" s="870"/>
      <c r="C99" s="870"/>
      <c r="D99" s="870"/>
      <c r="E99" s="870"/>
      <c r="F99" s="870"/>
      <c r="G99" s="870"/>
      <c r="H99" s="870"/>
      <c r="I99" s="870"/>
      <c r="J99" s="870"/>
      <c r="K99" s="870"/>
      <c r="L99" s="870"/>
      <c r="M99" s="870"/>
    </row>
    <row r="100" spans="1:13" ht="25.5">
      <c r="A100" s="871" t="s">
        <v>1082</v>
      </c>
      <c r="B100" s="872"/>
      <c r="C100" s="872"/>
      <c r="D100" s="872"/>
      <c r="E100" s="872"/>
      <c r="F100" s="872"/>
      <c r="G100" s="872"/>
      <c r="H100" s="872"/>
      <c r="I100" s="872"/>
      <c r="J100" s="872"/>
      <c r="K100" s="872"/>
      <c r="L100" s="872"/>
      <c r="M100" s="872"/>
    </row>
    <row r="101" spans="1:13" ht="12.75">
      <c r="A101" s="888" t="s">
        <v>1083</v>
      </c>
      <c r="B101" s="889">
        <v>12</v>
      </c>
      <c r="C101" s="889">
        <v>12</v>
      </c>
      <c r="D101" s="889">
        <v>0</v>
      </c>
      <c r="E101" s="889">
        <v>0</v>
      </c>
      <c r="F101" s="889">
        <v>0</v>
      </c>
      <c r="G101" s="889">
        <v>0</v>
      </c>
      <c r="H101" s="889">
        <v>0</v>
      </c>
      <c r="I101" s="889">
        <v>0</v>
      </c>
      <c r="J101" s="889">
        <v>0</v>
      </c>
      <c r="K101" s="889">
        <v>0</v>
      </c>
      <c r="L101" s="889">
        <v>0</v>
      </c>
      <c r="M101" s="889">
        <v>0</v>
      </c>
    </row>
    <row r="102" spans="1:13" ht="12.75">
      <c r="A102" s="888" t="s">
        <v>1084</v>
      </c>
      <c r="B102" s="889">
        <v>15</v>
      </c>
      <c r="C102" s="889">
        <v>15</v>
      </c>
      <c r="D102" s="889">
        <v>0</v>
      </c>
      <c r="E102" s="889">
        <v>0</v>
      </c>
      <c r="F102" s="889">
        <v>0</v>
      </c>
      <c r="G102" s="889">
        <v>0</v>
      </c>
      <c r="H102" s="889">
        <v>0</v>
      </c>
      <c r="I102" s="889">
        <v>0</v>
      </c>
      <c r="J102" s="889">
        <v>0</v>
      </c>
      <c r="K102" s="889">
        <v>0</v>
      </c>
      <c r="L102" s="889">
        <v>0</v>
      </c>
      <c r="M102" s="889">
        <v>0</v>
      </c>
    </row>
    <row r="103" spans="1:13" ht="12.75">
      <c r="A103" s="888" t="s">
        <v>1085</v>
      </c>
      <c r="B103" s="889">
        <v>15</v>
      </c>
      <c r="C103" s="889">
        <v>15</v>
      </c>
      <c r="D103" s="889">
        <v>0</v>
      </c>
      <c r="E103" s="889">
        <v>0</v>
      </c>
      <c r="F103" s="889">
        <v>0</v>
      </c>
      <c r="G103" s="889">
        <v>0</v>
      </c>
      <c r="H103" s="889">
        <v>0</v>
      </c>
      <c r="I103" s="889">
        <v>0</v>
      </c>
      <c r="J103" s="889">
        <v>0</v>
      </c>
      <c r="K103" s="889">
        <v>0</v>
      </c>
      <c r="L103" s="889">
        <v>0</v>
      </c>
      <c r="M103" s="889">
        <v>0</v>
      </c>
    </row>
    <row r="104" spans="1:13" ht="25.5">
      <c r="A104" s="871" t="s">
        <v>1086</v>
      </c>
      <c r="B104" s="872"/>
      <c r="C104" s="872"/>
      <c r="D104" s="872"/>
      <c r="E104" s="872"/>
      <c r="F104" s="872"/>
      <c r="G104" s="872"/>
      <c r="H104" s="872"/>
      <c r="I104" s="872"/>
      <c r="J104" s="872"/>
      <c r="K104" s="872"/>
      <c r="L104" s="872"/>
      <c r="M104" s="872"/>
    </row>
    <row r="105" spans="1:13" ht="12.75">
      <c r="A105" s="888" t="s">
        <v>1083</v>
      </c>
      <c r="B105" s="889">
        <v>0</v>
      </c>
      <c r="C105" s="889">
        <v>0</v>
      </c>
      <c r="D105" s="889">
        <v>11</v>
      </c>
      <c r="E105" s="889">
        <v>11</v>
      </c>
      <c r="F105" s="889">
        <v>11</v>
      </c>
      <c r="G105" s="889">
        <v>11</v>
      </c>
      <c r="H105" s="889">
        <v>11</v>
      </c>
      <c r="I105" s="889">
        <v>11</v>
      </c>
      <c r="J105" s="889">
        <v>11</v>
      </c>
      <c r="K105" s="889">
        <v>11</v>
      </c>
      <c r="L105" s="889">
        <v>11</v>
      </c>
      <c r="M105" s="889">
        <v>11</v>
      </c>
    </row>
    <row r="106" spans="1:13" ht="12.75">
      <c r="A106" s="888" t="s">
        <v>1084</v>
      </c>
      <c r="B106" s="889">
        <v>0</v>
      </c>
      <c r="C106" s="889">
        <v>0</v>
      </c>
      <c r="D106" s="889">
        <v>11</v>
      </c>
      <c r="E106" s="889">
        <v>11</v>
      </c>
      <c r="F106" s="889">
        <v>11</v>
      </c>
      <c r="G106" s="889">
        <v>11</v>
      </c>
      <c r="H106" s="889">
        <v>11</v>
      </c>
      <c r="I106" s="889">
        <v>11</v>
      </c>
      <c r="J106" s="889">
        <v>11</v>
      </c>
      <c r="K106" s="889">
        <v>11</v>
      </c>
      <c r="L106" s="889">
        <v>11</v>
      </c>
      <c r="M106" s="889">
        <v>11</v>
      </c>
    </row>
    <row r="107" spans="1:13" ht="12.75">
      <c r="A107" s="888" t="s">
        <v>1085</v>
      </c>
      <c r="B107" s="889">
        <v>0</v>
      </c>
      <c r="C107" s="889">
        <v>0</v>
      </c>
      <c r="D107" s="889">
        <v>11</v>
      </c>
      <c r="E107" s="889">
        <v>11</v>
      </c>
      <c r="F107" s="889">
        <v>11</v>
      </c>
      <c r="G107" s="889">
        <v>11</v>
      </c>
      <c r="H107" s="889">
        <v>11</v>
      </c>
      <c r="I107" s="889">
        <v>11</v>
      </c>
      <c r="J107" s="889">
        <v>11</v>
      </c>
      <c r="K107" s="889">
        <v>11</v>
      </c>
      <c r="L107" s="889">
        <v>11</v>
      </c>
      <c r="M107" s="889">
        <v>11</v>
      </c>
    </row>
    <row r="108" spans="1:13" ht="25.5">
      <c r="A108" s="888" t="s">
        <v>1087</v>
      </c>
      <c r="B108" s="889">
        <v>0</v>
      </c>
      <c r="C108" s="889">
        <v>0</v>
      </c>
      <c r="D108" s="889">
        <v>5</v>
      </c>
      <c r="E108" s="889">
        <v>5</v>
      </c>
      <c r="F108" s="889">
        <v>5</v>
      </c>
      <c r="G108" s="889">
        <v>5</v>
      </c>
      <c r="H108" s="889">
        <v>5</v>
      </c>
      <c r="I108" s="889">
        <v>5</v>
      </c>
      <c r="J108" s="889">
        <v>5</v>
      </c>
      <c r="K108" s="889">
        <v>5</v>
      </c>
      <c r="L108" s="889">
        <v>5</v>
      </c>
      <c r="M108" s="889">
        <v>5</v>
      </c>
    </row>
    <row r="109" spans="1:13" ht="25.5">
      <c r="A109" s="871" t="s">
        <v>1088</v>
      </c>
      <c r="B109" s="872"/>
      <c r="C109" s="872"/>
      <c r="D109" s="872"/>
      <c r="E109" s="872"/>
      <c r="F109" s="872"/>
      <c r="G109" s="872"/>
      <c r="H109" s="872"/>
      <c r="I109" s="872"/>
      <c r="J109" s="872"/>
      <c r="K109" s="872"/>
      <c r="L109" s="872"/>
      <c r="M109" s="872"/>
    </row>
    <row r="110" spans="1:13" ht="12.75">
      <c r="A110" s="888" t="s">
        <v>1089</v>
      </c>
      <c r="B110" s="889">
        <v>12</v>
      </c>
      <c r="C110" s="889">
        <v>12</v>
      </c>
      <c r="D110" s="889">
        <v>0</v>
      </c>
      <c r="E110" s="889">
        <v>0</v>
      </c>
      <c r="F110" s="889">
        <v>0</v>
      </c>
      <c r="G110" s="889">
        <v>0</v>
      </c>
      <c r="H110" s="889">
        <v>0</v>
      </c>
      <c r="I110" s="889">
        <v>0</v>
      </c>
      <c r="J110" s="889">
        <v>0</v>
      </c>
      <c r="K110" s="889">
        <v>0</v>
      </c>
      <c r="L110" s="889">
        <v>0</v>
      </c>
      <c r="M110" s="889">
        <v>0</v>
      </c>
    </row>
    <row r="111" spans="1:13" ht="12.75">
      <c r="A111" s="888" t="s">
        <v>1090</v>
      </c>
      <c r="B111" s="889">
        <v>72</v>
      </c>
      <c r="C111" s="889">
        <v>72</v>
      </c>
      <c r="D111" s="889">
        <v>0</v>
      </c>
      <c r="E111" s="889">
        <v>0</v>
      </c>
      <c r="F111" s="889">
        <v>0</v>
      </c>
      <c r="G111" s="889">
        <v>0</v>
      </c>
      <c r="H111" s="889">
        <v>0</v>
      </c>
      <c r="I111" s="889">
        <v>0</v>
      </c>
      <c r="J111" s="889">
        <v>0</v>
      </c>
      <c r="K111" s="889">
        <v>0</v>
      </c>
      <c r="L111" s="889">
        <v>0</v>
      </c>
      <c r="M111" s="889">
        <v>0</v>
      </c>
    </row>
    <row r="112" spans="1:13" ht="25.5">
      <c r="A112" s="871" t="s">
        <v>1091</v>
      </c>
      <c r="B112" s="872"/>
      <c r="C112" s="872"/>
      <c r="D112" s="872"/>
      <c r="E112" s="872"/>
      <c r="F112" s="872"/>
      <c r="G112" s="872"/>
      <c r="H112" s="872"/>
      <c r="I112" s="872"/>
      <c r="J112" s="872"/>
      <c r="K112" s="872"/>
      <c r="L112" s="872"/>
      <c r="M112" s="872"/>
    </row>
    <row r="113" spans="1:13" ht="12.75">
      <c r="A113" s="888" t="s">
        <v>1124</v>
      </c>
      <c r="B113" s="889">
        <v>0</v>
      </c>
      <c r="C113" s="889">
        <v>0</v>
      </c>
      <c r="D113" s="889">
        <v>94</v>
      </c>
      <c r="E113" s="889">
        <v>94</v>
      </c>
      <c r="F113" s="889">
        <v>94</v>
      </c>
      <c r="G113" s="889">
        <v>94</v>
      </c>
      <c r="H113" s="889">
        <v>20</v>
      </c>
      <c r="I113" s="889">
        <v>20</v>
      </c>
      <c r="J113" s="889">
        <v>20</v>
      </c>
      <c r="K113" s="889">
        <v>20</v>
      </c>
      <c r="L113" s="889">
        <v>20</v>
      </c>
      <c r="M113" s="889">
        <v>20</v>
      </c>
    </row>
    <row r="114" spans="1:13" ht="25.5">
      <c r="A114" s="871" t="s">
        <v>1102</v>
      </c>
      <c r="B114" s="872"/>
      <c r="C114" s="872"/>
      <c r="D114" s="872"/>
      <c r="E114" s="872"/>
      <c r="F114" s="872"/>
      <c r="G114" s="872"/>
      <c r="H114" s="872"/>
      <c r="I114" s="872"/>
      <c r="J114" s="872"/>
      <c r="K114" s="872"/>
      <c r="L114" s="872"/>
      <c r="M114" s="872"/>
    </row>
    <row r="115" spans="1:13" ht="12.75">
      <c r="A115" s="888" t="s">
        <v>1103</v>
      </c>
      <c r="B115" s="889">
        <v>0</v>
      </c>
      <c r="C115" s="889">
        <v>0</v>
      </c>
      <c r="D115" s="889">
        <v>0</v>
      </c>
      <c r="E115" s="889">
        <v>0</v>
      </c>
      <c r="F115" s="889">
        <v>0</v>
      </c>
      <c r="G115" s="889">
        <v>0</v>
      </c>
      <c r="H115" s="889">
        <v>23</v>
      </c>
      <c r="I115" s="889">
        <v>23</v>
      </c>
      <c r="J115" s="889">
        <v>23</v>
      </c>
      <c r="K115" s="889">
        <v>23</v>
      </c>
      <c r="L115" s="889">
        <v>23</v>
      </c>
      <c r="M115" s="889">
        <v>23</v>
      </c>
    </row>
    <row r="116" spans="1:13" ht="24" customHeight="1">
      <c r="A116" s="886" t="s">
        <v>1092</v>
      </c>
      <c r="B116" s="887">
        <f>SUM(B100:B115)</f>
        <v>126</v>
      </c>
      <c r="C116" s="887">
        <f aca="true" t="shared" si="5" ref="C116:M116">SUM(C100:C115)</f>
        <v>126</v>
      </c>
      <c r="D116" s="887">
        <f t="shared" si="5"/>
        <v>132</v>
      </c>
      <c r="E116" s="887">
        <f t="shared" si="5"/>
        <v>132</v>
      </c>
      <c r="F116" s="887">
        <f t="shared" si="5"/>
        <v>132</v>
      </c>
      <c r="G116" s="887">
        <f t="shared" si="5"/>
        <v>132</v>
      </c>
      <c r="H116" s="887">
        <f t="shared" si="5"/>
        <v>81</v>
      </c>
      <c r="I116" s="887">
        <f t="shared" si="5"/>
        <v>81</v>
      </c>
      <c r="J116" s="887">
        <f t="shared" si="5"/>
        <v>81</v>
      </c>
      <c r="K116" s="887">
        <f t="shared" si="5"/>
        <v>81</v>
      </c>
      <c r="L116" s="887">
        <f t="shared" si="5"/>
        <v>81</v>
      </c>
      <c r="M116" s="887">
        <f t="shared" si="5"/>
        <v>81</v>
      </c>
    </row>
    <row r="117" spans="1:13" ht="12.75">
      <c r="A117" s="654"/>
      <c r="M117" s="908"/>
    </row>
    <row r="118" spans="1:14" s="897" customFormat="1" ht="25.5" customHeight="1">
      <c r="A118" s="869" t="s">
        <v>1114</v>
      </c>
      <c r="B118" s="870"/>
      <c r="C118" s="870"/>
      <c r="D118" s="870"/>
      <c r="E118" s="870"/>
      <c r="F118" s="870"/>
      <c r="G118" s="870"/>
      <c r="H118" s="870"/>
      <c r="I118" s="870"/>
      <c r="J118" s="870"/>
      <c r="K118" s="870"/>
      <c r="L118" s="870"/>
      <c r="M118" s="870"/>
      <c r="N118" s="896"/>
    </row>
    <row r="119" spans="1:14" s="899" customFormat="1" ht="28.5" customHeight="1">
      <c r="A119" s="888" t="s">
        <v>769</v>
      </c>
      <c r="B119" s="889">
        <v>0</v>
      </c>
      <c r="C119" s="889">
        <v>0</v>
      </c>
      <c r="D119" s="889">
        <v>0</v>
      </c>
      <c r="E119" s="889">
        <v>0</v>
      </c>
      <c r="F119" s="889">
        <v>0</v>
      </c>
      <c r="G119" s="889">
        <v>0</v>
      </c>
      <c r="H119" s="889">
        <v>3</v>
      </c>
      <c r="I119" s="889">
        <v>3</v>
      </c>
      <c r="J119" s="889">
        <v>0</v>
      </c>
      <c r="K119" s="889">
        <v>0</v>
      </c>
      <c r="L119" s="889">
        <v>0</v>
      </c>
      <c r="M119" s="889">
        <v>0</v>
      </c>
      <c r="N119" s="898"/>
    </row>
    <row r="120" spans="1:14" s="897" customFormat="1" ht="32.25" customHeight="1">
      <c r="A120" s="886" t="s">
        <v>1117</v>
      </c>
      <c r="B120" s="887">
        <f>SUM(B119)</f>
        <v>0</v>
      </c>
      <c r="C120" s="887">
        <f aca="true" t="shared" si="6" ref="C120:M120">SUM(C119)</f>
        <v>0</v>
      </c>
      <c r="D120" s="887">
        <f t="shared" si="6"/>
        <v>0</v>
      </c>
      <c r="E120" s="887">
        <f t="shared" si="6"/>
        <v>0</v>
      </c>
      <c r="F120" s="887">
        <f t="shared" si="6"/>
        <v>0</v>
      </c>
      <c r="G120" s="887">
        <f t="shared" si="6"/>
        <v>0</v>
      </c>
      <c r="H120" s="887">
        <f t="shared" si="6"/>
        <v>3</v>
      </c>
      <c r="I120" s="887">
        <f t="shared" si="6"/>
        <v>3</v>
      </c>
      <c r="J120" s="887">
        <f t="shared" si="6"/>
        <v>0</v>
      </c>
      <c r="K120" s="887">
        <f t="shared" si="6"/>
        <v>0</v>
      </c>
      <c r="L120" s="887">
        <f t="shared" si="6"/>
        <v>0</v>
      </c>
      <c r="M120" s="887">
        <f t="shared" si="6"/>
        <v>0</v>
      </c>
      <c r="N120" s="896"/>
    </row>
  </sheetData>
  <sheetProtection/>
  <mergeCells count="3"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43" max="255" man="1"/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04"/>
  <sheetViews>
    <sheetView zoomScaleSheetLayoutView="100" zoomScalePageLayoutView="0" workbookViewId="0" topLeftCell="A1">
      <selection activeCell="B3" sqref="B3:D3"/>
    </sheetView>
  </sheetViews>
  <sheetFormatPr defaultColWidth="8.875" defaultRowHeight="12.75"/>
  <cols>
    <col min="1" max="1" width="4.125" style="77" bestFit="1" customWidth="1"/>
    <col min="2" max="2" width="2.375" style="2" customWidth="1"/>
    <col min="3" max="3" width="88.625" style="2" customWidth="1"/>
    <col min="4" max="4" width="17.25390625" style="2" bestFit="1" customWidth="1"/>
    <col min="5" max="16384" width="8.875" style="2" customWidth="1"/>
  </cols>
  <sheetData>
    <row r="1" spans="3:5" ht="15">
      <c r="C1" s="1038" t="s">
        <v>1257</v>
      </c>
      <c r="D1" s="1294"/>
      <c r="E1" s="76"/>
    </row>
    <row r="2" spans="3:5" ht="15">
      <c r="C2" s="5"/>
      <c r="D2" s="124"/>
      <c r="E2" s="76"/>
    </row>
    <row r="3" spans="2:4" ht="15.75">
      <c r="B3" s="1298" t="s">
        <v>817</v>
      </c>
      <c r="C3" s="1298"/>
      <c r="D3" s="1298"/>
    </row>
    <row r="4" spans="2:4" ht="15">
      <c r="B4" s="128"/>
      <c r="C4" s="128"/>
      <c r="D4" s="128"/>
    </row>
    <row r="5" ht="15.75" thickBot="1">
      <c r="D5" s="5"/>
    </row>
    <row r="6" spans="1:4" s="3" customFormat="1" ht="14.25">
      <c r="A6" s="1305" t="s">
        <v>426</v>
      </c>
      <c r="B6" s="1299" t="s">
        <v>357</v>
      </c>
      <c r="C6" s="1299"/>
      <c r="D6" s="6" t="s">
        <v>369</v>
      </c>
    </row>
    <row r="7" spans="1:4" s="88" customFormat="1" ht="12">
      <c r="A7" s="1306"/>
      <c r="B7" s="1300" t="s">
        <v>420</v>
      </c>
      <c r="C7" s="1301"/>
      <c r="D7" s="87" t="s">
        <v>421</v>
      </c>
    </row>
    <row r="8" spans="1:4" s="3" customFormat="1" ht="14.25">
      <c r="A8" s="89">
        <v>1</v>
      </c>
      <c r="B8" s="909" t="s">
        <v>363</v>
      </c>
      <c r="C8" s="10"/>
      <c r="D8" s="261"/>
    </row>
    <row r="9" spans="1:4" s="12" customFormat="1" ht="15">
      <c r="A9" s="89">
        <v>2</v>
      </c>
      <c r="B9" s="910" t="s">
        <v>435</v>
      </c>
      <c r="C9" s="11"/>
      <c r="D9" s="262"/>
    </row>
    <row r="10" spans="1:4" ht="27.75" customHeight="1">
      <c r="A10" s="89">
        <v>3</v>
      </c>
      <c r="B10" s="907" t="s">
        <v>370</v>
      </c>
      <c r="C10" s="119" t="s">
        <v>821</v>
      </c>
      <c r="D10" s="634">
        <f>242490975+151044-15606966</f>
        <v>227035053</v>
      </c>
    </row>
    <row r="11" spans="1:4" ht="27.75" customHeight="1">
      <c r="A11" s="89">
        <v>4</v>
      </c>
      <c r="B11" s="907" t="s">
        <v>370</v>
      </c>
      <c r="C11" s="119" t="s">
        <v>822</v>
      </c>
      <c r="D11" s="634">
        <f>3832400+192470000</f>
        <v>196302400</v>
      </c>
    </row>
    <row r="12" spans="1:4" ht="27.75" customHeight="1">
      <c r="A12" s="89">
        <v>5</v>
      </c>
      <c r="B12" s="907" t="s">
        <v>370</v>
      </c>
      <c r="C12" s="119" t="s">
        <v>1209</v>
      </c>
      <c r="D12" s="634">
        <f>17861888+411888112</f>
        <v>429750000</v>
      </c>
    </row>
    <row r="13" spans="1:4" ht="27.75" customHeight="1">
      <c r="A13" s="89">
        <v>6</v>
      </c>
      <c r="B13" s="907" t="s">
        <v>370</v>
      </c>
      <c r="C13" s="119" t="s">
        <v>735</v>
      </c>
      <c r="D13" s="634">
        <f>17462500-5238750</f>
        <v>12223750</v>
      </c>
    </row>
    <row r="14" spans="1:4" ht="46.5" customHeight="1">
      <c r="A14" s="89">
        <v>7</v>
      </c>
      <c r="B14" s="907" t="s">
        <v>370</v>
      </c>
      <c r="C14" s="119" t="s">
        <v>1211</v>
      </c>
      <c r="D14" s="634">
        <f>525300+387985+9980698</f>
        <v>10893983</v>
      </c>
    </row>
    <row r="15" spans="1:4" ht="27.75" customHeight="1">
      <c r="A15" s="89">
        <v>8</v>
      </c>
      <c r="B15" s="907" t="s">
        <v>370</v>
      </c>
      <c r="C15" s="119" t="s">
        <v>736</v>
      </c>
      <c r="D15" s="634">
        <v>3225085</v>
      </c>
    </row>
    <row r="16" spans="1:4" ht="18.75" customHeight="1">
      <c r="A16" s="89">
        <v>9</v>
      </c>
      <c r="B16" s="907" t="s">
        <v>370</v>
      </c>
      <c r="C16" s="119" t="s">
        <v>823</v>
      </c>
      <c r="D16" s="634">
        <f>5419000+106200000</f>
        <v>111619000</v>
      </c>
    </row>
    <row r="17" spans="1:4" ht="45">
      <c r="A17" s="89">
        <v>10</v>
      </c>
      <c r="B17" s="907" t="s">
        <v>370</v>
      </c>
      <c r="C17" s="119" t="s">
        <v>877</v>
      </c>
      <c r="D17" s="634">
        <f>335750+495250</f>
        <v>831000</v>
      </c>
    </row>
    <row r="18" spans="1:4" ht="30">
      <c r="A18" s="89">
        <v>11</v>
      </c>
      <c r="B18" s="907" t="s">
        <v>370</v>
      </c>
      <c r="C18" s="119" t="s">
        <v>1002</v>
      </c>
      <c r="D18" s="634">
        <f>76200+233830</f>
        <v>310030</v>
      </c>
    </row>
    <row r="19" spans="1:4" ht="21.75" customHeight="1">
      <c r="A19" s="89">
        <v>12</v>
      </c>
      <c r="B19" s="907" t="s">
        <v>370</v>
      </c>
      <c r="C19" s="119" t="s">
        <v>825</v>
      </c>
      <c r="D19" s="634">
        <v>1023620</v>
      </c>
    </row>
    <row r="20" spans="1:4" ht="28.5" customHeight="1">
      <c r="A20" s="89">
        <v>13</v>
      </c>
      <c r="B20" s="907" t="s">
        <v>370</v>
      </c>
      <c r="C20" s="119" t="s">
        <v>989</v>
      </c>
      <c r="D20" s="634">
        <v>235153</v>
      </c>
    </row>
    <row r="21" spans="1:4" ht="21" customHeight="1">
      <c r="A21" s="89">
        <v>14</v>
      </c>
      <c r="B21" s="907" t="s">
        <v>370</v>
      </c>
      <c r="C21" s="119" t="s">
        <v>826</v>
      </c>
      <c r="D21" s="634">
        <v>3250000</v>
      </c>
    </row>
    <row r="22" spans="1:4" ht="28.5" customHeight="1">
      <c r="A22" s="89">
        <v>15</v>
      </c>
      <c r="B22" s="907" t="s">
        <v>370</v>
      </c>
      <c r="C22" s="119" t="s">
        <v>988</v>
      </c>
      <c r="D22" s="634">
        <f>101600+150000-49500</f>
        <v>202100</v>
      </c>
    </row>
    <row r="23" spans="1:4" ht="28.5" customHeight="1">
      <c r="A23" s="89">
        <v>16</v>
      </c>
      <c r="B23" s="907" t="s">
        <v>370</v>
      </c>
      <c r="C23" s="119" t="s">
        <v>1210</v>
      </c>
      <c r="D23" s="634">
        <f>10986734+15+19999984</f>
        <v>30986733</v>
      </c>
    </row>
    <row r="24" spans="1:4" ht="28.5" customHeight="1">
      <c r="A24" s="89">
        <v>17</v>
      </c>
      <c r="B24" s="907" t="s">
        <v>370</v>
      </c>
      <c r="C24" s="119" t="s">
        <v>1208</v>
      </c>
      <c r="D24" s="634">
        <v>250000</v>
      </c>
    </row>
    <row r="25" spans="1:4" ht="15.75" customHeight="1">
      <c r="A25" s="89">
        <v>18</v>
      </c>
      <c r="B25" s="907" t="s">
        <v>370</v>
      </c>
      <c r="C25" s="119" t="s">
        <v>904</v>
      </c>
      <c r="D25" s="634">
        <f>299888+25400</f>
        <v>325288</v>
      </c>
    </row>
    <row r="26" spans="1:4" ht="15.75" customHeight="1">
      <c r="A26" s="89">
        <v>19</v>
      </c>
      <c r="B26" s="907" t="s">
        <v>370</v>
      </c>
      <c r="C26" s="119" t="s">
        <v>905</v>
      </c>
      <c r="D26" s="634">
        <f>1846997+914</f>
        <v>1847911</v>
      </c>
    </row>
    <row r="27" spans="1:4" ht="30" customHeight="1">
      <c r="A27" s="89">
        <v>20</v>
      </c>
      <c r="B27" s="907" t="s">
        <v>370</v>
      </c>
      <c r="C27" s="119" t="s">
        <v>1158</v>
      </c>
      <c r="D27" s="634">
        <f>8983129+6000000</f>
        <v>14983129</v>
      </c>
    </row>
    <row r="28" spans="1:4" ht="17.25" customHeight="1">
      <c r="A28" s="89">
        <v>21</v>
      </c>
      <c r="B28" s="907" t="s">
        <v>370</v>
      </c>
      <c r="C28" s="119" t="s">
        <v>1106</v>
      </c>
      <c r="D28" s="634">
        <f>2893619+1250000</f>
        <v>4143619</v>
      </c>
    </row>
    <row r="29" spans="1:4" ht="30.75" customHeight="1">
      <c r="A29" s="89">
        <v>22</v>
      </c>
      <c r="B29" s="907" t="s">
        <v>370</v>
      </c>
      <c r="C29" s="119" t="s">
        <v>1212</v>
      </c>
      <c r="D29" s="634">
        <f>120000+73660+29000+484397</f>
        <v>707057</v>
      </c>
    </row>
    <row r="30" spans="1:4" ht="17.25" customHeight="1">
      <c r="A30" s="89">
        <v>23</v>
      </c>
      <c r="B30" s="907" t="s">
        <v>370</v>
      </c>
      <c r="C30" s="119" t="s">
        <v>1213</v>
      </c>
      <c r="D30" s="634">
        <f>5990+63436</f>
        <v>69426</v>
      </c>
    </row>
    <row r="31" spans="1:4" ht="30">
      <c r="A31" s="89">
        <v>24</v>
      </c>
      <c r="B31" s="907" t="s">
        <v>370</v>
      </c>
      <c r="C31" s="119" t="s">
        <v>995</v>
      </c>
      <c r="D31" s="634">
        <f>1920000-1920000+1753187</f>
        <v>1753187</v>
      </c>
    </row>
    <row r="32" spans="1:4" ht="15">
      <c r="A32" s="89">
        <v>25</v>
      </c>
      <c r="B32" s="907" t="s">
        <v>370</v>
      </c>
      <c r="C32" s="119" t="s">
        <v>1157</v>
      </c>
      <c r="D32" s="634">
        <v>830000</v>
      </c>
    </row>
    <row r="33" spans="1:4" ht="16.5" customHeight="1">
      <c r="A33" s="89">
        <v>26</v>
      </c>
      <c r="B33" s="900" t="s">
        <v>370</v>
      </c>
      <c r="C33" s="857" t="s">
        <v>987</v>
      </c>
      <c r="D33" s="634">
        <v>30000</v>
      </c>
    </row>
    <row r="34" spans="1:4" ht="16.5" customHeight="1">
      <c r="A34" s="89">
        <v>27</v>
      </c>
      <c r="B34" s="900" t="s">
        <v>370</v>
      </c>
      <c r="C34" s="857" t="s">
        <v>1104</v>
      </c>
      <c r="D34" s="634">
        <v>3863162</v>
      </c>
    </row>
    <row r="35" spans="1:4" ht="16.5" customHeight="1">
      <c r="A35" s="89">
        <v>28</v>
      </c>
      <c r="B35" s="900" t="s">
        <v>370</v>
      </c>
      <c r="C35" s="857" t="s">
        <v>1105</v>
      </c>
      <c r="D35" s="634">
        <v>1910826</v>
      </c>
    </row>
    <row r="36" spans="1:4" ht="16.5" customHeight="1">
      <c r="A36" s="89">
        <v>29</v>
      </c>
      <c r="B36" s="900" t="s">
        <v>370</v>
      </c>
      <c r="C36" s="857" t="s">
        <v>1123</v>
      </c>
      <c r="D36" s="634">
        <v>162433</v>
      </c>
    </row>
    <row r="37" spans="1:4" ht="16.5" customHeight="1">
      <c r="A37" s="89">
        <v>30</v>
      </c>
      <c r="B37" s="900" t="s">
        <v>370</v>
      </c>
      <c r="C37" s="119" t="s">
        <v>1150</v>
      </c>
      <c r="D37" s="634">
        <v>152400</v>
      </c>
    </row>
    <row r="38" spans="1:4" ht="16.5" customHeight="1">
      <c r="A38" s="89">
        <v>31</v>
      </c>
      <c r="B38" s="900" t="s">
        <v>370</v>
      </c>
      <c r="C38" s="119" t="s">
        <v>1152</v>
      </c>
      <c r="D38" s="634">
        <v>200000</v>
      </c>
    </row>
    <row r="39" spans="1:4" ht="34.5" customHeight="1">
      <c r="A39" s="89">
        <v>32</v>
      </c>
      <c r="B39" s="900" t="s">
        <v>370</v>
      </c>
      <c r="C39" s="119" t="s">
        <v>1153</v>
      </c>
      <c r="D39" s="634">
        <f>197100-30+49530</f>
        <v>246600</v>
      </c>
    </row>
    <row r="40" spans="1:4" ht="16.5" customHeight="1">
      <c r="A40" s="89">
        <v>33</v>
      </c>
      <c r="B40" s="900" t="s">
        <v>370</v>
      </c>
      <c r="C40" s="119" t="s">
        <v>1154</v>
      </c>
      <c r="D40" s="634">
        <f>1595000+5715000</f>
        <v>7310000</v>
      </c>
    </row>
    <row r="41" spans="1:4" ht="16.5" customHeight="1">
      <c r="A41" s="89">
        <v>34</v>
      </c>
      <c r="B41" s="907" t="s">
        <v>370</v>
      </c>
      <c r="C41" s="119" t="s">
        <v>1155</v>
      </c>
      <c r="D41" s="634">
        <v>103900</v>
      </c>
    </row>
    <row r="42" spans="1:4" s="35" customFormat="1" ht="15">
      <c r="A42" s="89">
        <v>35</v>
      </c>
      <c r="B42" s="907"/>
      <c r="C42" s="14" t="s">
        <v>380</v>
      </c>
      <c r="D42" s="263">
        <f>SUM(D10:D41)</f>
        <v>1066776845</v>
      </c>
    </row>
    <row r="43" spans="1:4" s="35" customFormat="1" ht="15">
      <c r="A43" s="89">
        <v>36</v>
      </c>
      <c r="B43" s="1302" t="s">
        <v>367</v>
      </c>
      <c r="C43" s="1303"/>
      <c r="D43" s="1304"/>
    </row>
    <row r="44" spans="1:4" ht="18.75" customHeight="1">
      <c r="A44" s="89">
        <v>37</v>
      </c>
      <c r="B44" s="907" t="s">
        <v>370</v>
      </c>
      <c r="C44" s="119" t="s">
        <v>827</v>
      </c>
      <c r="D44" s="634">
        <f>1229404-139700</f>
        <v>1089704</v>
      </c>
    </row>
    <row r="45" spans="1:4" ht="18.75" customHeight="1">
      <c r="A45" s="89">
        <v>38</v>
      </c>
      <c r="B45" s="907" t="s">
        <v>370</v>
      </c>
      <c r="C45" s="119" t="s">
        <v>1004</v>
      </c>
      <c r="D45" s="634">
        <f>139700</f>
        <v>139700</v>
      </c>
    </row>
    <row r="46" spans="1:4" ht="18.75" customHeight="1">
      <c r="A46" s="89">
        <v>39</v>
      </c>
      <c r="B46" s="907" t="s">
        <v>370</v>
      </c>
      <c r="C46" s="119" t="s">
        <v>1107</v>
      </c>
      <c r="D46" s="634">
        <v>1269600</v>
      </c>
    </row>
    <row r="47" spans="1:4" ht="18.75" customHeight="1">
      <c r="A47" s="89">
        <v>40</v>
      </c>
      <c r="B47" s="907" t="s">
        <v>370</v>
      </c>
      <c r="C47" s="119" t="s">
        <v>1216</v>
      </c>
      <c r="D47" s="634">
        <v>3749167</v>
      </c>
    </row>
    <row r="48" spans="1:4" ht="30">
      <c r="A48" s="89">
        <v>41</v>
      </c>
      <c r="B48" s="907" t="s">
        <v>370</v>
      </c>
      <c r="C48" s="119" t="s">
        <v>1217</v>
      </c>
      <c r="D48" s="634">
        <v>2585716</v>
      </c>
    </row>
    <row r="49" spans="1:4" s="35" customFormat="1" ht="15">
      <c r="A49" s="89">
        <v>42</v>
      </c>
      <c r="B49" s="907"/>
      <c r="C49" s="14" t="s">
        <v>492</v>
      </c>
      <c r="D49" s="263">
        <f>SUM(D44:D48)</f>
        <v>8833887</v>
      </c>
    </row>
    <row r="50" spans="1:4" s="35" customFormat="1" ht="15">
      <c r="A50" s="89">
        <v>43</v>
      </c>
      <c r="B50" s="1302" t="s">
        <v>769</v>
      </c>
      <c r="C50" s="1303"/>
      <c r="D50" s="1304"/>
    </row>
    <row r="51" spans="1:4" ht="32.25" customHeight="1">
      <c r="A51" s="89">
        <v>44</v>
      </c>
      <c r="B51" s="907" t="s">
        <v>370</v>
      </c>
      <c r="C51" s="119" t="s">
        <v>993</v>
      </c>
      <c r="D51" s="634">
        <f>139700+84541+79900</f>
        <v>304141</v>
      </c>
    </row>
    <row r="52" spans="1:4" ht="19.5" customHeight="1">
      <c r="A52" s="89">
        <v>45</v>
      </c>
      <c r="B52" s="907" t="s">
        <v>370</v>
      </c>
      <c r="C52" s="119" t="s">
        <v>1247</v>
      </c>
      <c r="D52" s="634">
        <v>72282</v>
      </c>
    </row>
    <row r="53" spans="1:4" ht="19.5" customHeight="1">
      <c r="A53" s="89">
        <v>46</v>
      </c>
      <c r="B53" s="907" t="s">
        <v>370</v>
      </c>
      <c r="C53" s="119" t="s">
        <v>1005</v>
      </c>
      <c r="D53" s="634">
        <f>123070+198285-39190</f>
        <v>282165</v>
      </c>
    </row>
    <row r="54" spans="1:4" ht="18.75" customHeight="1">
      <c r="A54" s="89">
        <v>47</v>
      </c>
      <c r="B54" s="907" t="s">
        <v>370</v>
      </c>
      <c r="C54" s="119" t="s">
        <v>991</v>
      </c>
      <c r="D54" s="634">
        <f>88900+152273-16</f>
        <v>241157</v>
      </c>
    </row>
    <row r="55" spans="1:4" ht="18.75" customHeight="1">
      <c r="A55" s="89">
        <v>48</v>
      </c>
      <c r="B55" s="907" t="s">
        <v>370</v>
      </c>
      <c r="C55" s="119" t="s">
        <v>992</v>
      </c>
      <c r="D55" s="634">
        <f>76200+151629+16</f>
        <v>227845</v>
      </c>
    </row>
    <row r="56" spans="1:4" ht="30" customHeight="1">
      <c r="A56" s="89">
        <v>49</v>
      </c>
      <c r="B56" s="907" t="s">
        <v>370</v>
      </c>
      <c r="C56" s="119" t="s">
        <v>1160</v>
      </c>
      <c r="D56" s="634">
        <f>76969+35900</f>
        <v>112869</v>
      </c>
    </row>
    <row r="57" spans="1:4" ht="18.75" customHeight="1">
      <c r="A57" s="89">
        <v>50</v>
      </c>
      <c r="B57" s="907" t="s">
        <v>370</v>
      </c>
      <c r="C57" s="119" t="s">
        <v>1248</v>
      </c>
      <c r="D57" s="634">
        <v>18000</v>
      </c>
    </row>
    <row r="58" spans="1:4" ht="18.75" customHeight="1">
      <c r="A58" s="89">
        <v>51</v>
      </c>
      <c r="B58" s="907" t="s">
        <v>370</v>
      </c>
      <c r="C58" s="119" t="s">
        <v>990</v>
      </c>
      <c r="D58" s="634">
        <v>195000</v>
      </c>
    </row>
    <row r="59" spans="1:4" ht="30">
      <c r="A59" s="89">
        <v>52</v>
      </c>
      <c r="B59" s="907" t="s">
        <v>370</v>
      </c>
      <c r="C59" s="119" t="s">
        <v>908</v>
      </c>
      <c r="D59" s="634">
        <v>1687190</v>
      </c>
    </row>
    <row r="60" spans="1:4" ht="15">
      <c r="A60" s="89">
        <v>53</v>
      </c>
      <c r="B60" s="907" t="s">
        <v>370</v>
      </c>
      <c r="C60" s="119" t="s">
        <v>909</v>
      </c>
      <c r="D60" s="634">
        <v>2412553</v>
      </c>
    </row>
    <row r="61" spans="1:4" ht="19.5" customHeight="1">
      <c r="A61" s="89">
        <v>54</v>
      </c>
      <c r="B61" s="907" t="s">
        <v>370</v>
      </c>
      <c r="C61" s="119" t="s">
        <v>1159</v>
      </c>
      <c r="D61" s="634">
        <v>768772</v>
      </c>
    </row>
    <row r="62" spans="1:4" s="35" customFormat="1" ht="15">
      <c r="A62" s="89">
        <v>55</v>
      </c>
      <c r="B62" s="911"/>
      <c r="C62" s="14" t="s">
        <v>907</v>
      </c>
      <c r="D62" s="263">
        <f>SUM(D51:D61)</f>
        <v>6321974</v>
      </c>
    </row>
    <row r="63" spans="1:4" s="35" customFormat="1" ht="15">
      <c r="A63" s="858">
        <v>56</v>
      </c>
      <c r="B63" s="1302" t="s">
        <v>851</v>
      </c>
      <c r="C63" s="1303"/>
      <c r="D63" s="1304"/>
    </row>
    <row r="64" spans="1:4" s="35" customFormat="1" ht="30">
      <c r="A64" s="858">
        <v>57</v>
      </c>
      <c r="B64" s="907" t="s">
        <v>370</v>
      </c>
      <c r="C64" s="119" t="s">
        <v>1215</v>
      </c>
      <c r="D64" s="974">
        <v>51440</v>
      </c>
    </row>
    <row r="65" spans="1:5" s="35" customFormat="1" ht="15">
      <c r="A65" s="858">
        <v>58</v>
      </c>
      <c r="B65" s="911"/>
      <c r="C65" s="14" t="s">
        <v>852</v>
      </c>
      <c r="D65" s="973">
        <f>SUM(D64)</f>
        <v>51440</v>
      </c>
      <c r="E65" s="14"/>
    </row>
    <row r="66" spans="1:4" s="3" customFormat="1" ht="15" thickBot="1">
      <c r="A66" s="90">
        <v>59</v>
      </c>
      <c r="B66" s="15" t="s">
        <v>360</v>
      </c>
      <c r="C66" s="15"/>
      <c r="D66" s="264">
        <f>SUM(D62+D49+D42+D65)</f>
        <v>1081984146</v>
      </c>
    </row>
    <row r="67" spans="1:4" ht="15">
      <c r="A67" s="525">
        <v>60</v>
      </c>
      <c r="B67" s="1295" t="s">
        <v>368</v>
      </c>
      <c r="C67" s="1296"/>
      <c r="D67" s="1297"/>
    </row>
    <row r="68" spans="1:4" s="12" customFormat="1" ht="15">
      <c r="A68" s="89">
        <v>61</v>
      </c>
      <c r="B68" s="97" t="s">
        <v>435</v>
      </c>
      <c r="C68" s="13"/>
      <c r="D68" s="7"/>
    </row>
    <row r="69" spans="1:4" ht="18.75" customHeight="1">
      <c r="A69" s="89">
        <v>62</v>
      </c>
      <c r="B69" s="907" t="s">
        <v>370</v>
      </c>
      <c r="C69" s="119" t="s">
        <v>737</v>
      </c>
      <c r="D69" s="634">
        <v>254000</v>
      </c>
    </row>
    <row r="70" spans="1:4" ht="18.75" customHeight="1">
      <c r="A70" s="89">
        <v>63</v>
      </c>
      <c r="B70" s="907" t="s">
        <v>370</v>
      </c>
      <c r="C70" s="119" t="s">
        <v>818</v>
      </c>
      <c r="D70" s="634">
        <v>254000</v>
      </c>
    </row>
    <row r="71" spans="1:4" s="35" customFormat="1" ht="29.25" customHeight="1">
      <c r="A71" s="89">
        <v>64</v>
      </c>
      <c r="B71" s="907" t="s">
        <v>370</v>
      </c>
      <c r="C71" s="119" t="s">
        <v>1156</v>
      </c>
      <c r="D71" s="634">
        <f>2500000+47500000</f>
        <v>50000000</v>
      </c>
    </row>
    <row r="72" spans="1:4" s="35" customFormat="1" ht="45">
      <c r="A72" s="89">
        <v>65</v>
      </c>
      <c r="B72" s="907" t="s">
        <v>370</v>
      </c>
      <c r="C72" s="119" t="s">
        <v>876</v>
      </c>
      <c r="D72" s="634">
        <f>22279919+850900-3969604</f>
        <v>19161215</v>
      </c>
    </row>
    <row r="73" spans="1:4" s="35" customFormat="1" ht="29.25" customHeight="1">
      <c r="A73" s="89">
        <v>66</v>
      </c>
      <c r="B73" s="907" t="s">
        <v>370</v>
      </c>
      <c r="C73" s="119" t="s">
        <v>824</v>
      </c>
      <c r="D73" s="634">
        <f>2606050+95000000</f>
        <v>97606050</v>
      </c>
    </row>
    <row r="74" spans="1:4" ht="18.75" customHeight="1">
      <c r="A74" s="89">
        <v>67</v>
      </c>
      <c r="B74" s="907" t="s">
        <v>370</v>
      </c>
      <c r="C74" s="119" t="s">
        <v>829</v>
      </c>
      <c r="D74" s="634">
        <v>17634204</v>
      </c>
    </row>
    <row r="75" spans="1:4" ht="18.75" customHeight="1">
      <c r="A75" s="89">
        <v>68</v>
      </c>
      <c r="B75" s="907" t="s">
        <v>370</v>
      </c>
      <c r="C75" s="119" t="s">
        <v>880</v>
      </c>
      <c r="D75" s="634">
        <f>3000000-387985-900000-197100-545000-444500</f>
        <v>525415</v>
      </c>
    </row>
    <row r="76" spans="1:4" ht="18.75" customHeight="1">
      <c r="A76" s="89">
        <v>69</v>
      </c>
      <c r="B76" s="907" t="s">
        <v>370</v>
      </c>
      <c r="C76" s="119" t="s">
        <v>1151</v>
      </c>
      <c r="D76" s="634">
        <f>5000000+900000</f>
        <v>5900000</v>
      </c>
    </row>
    <row r="77" spans="1:4" ht="30">
      <c r="A77" s="89">
        <v>70</v>
      </c>
      <c r="B77" s="907" t="s">
        <v>370</v>
      </c>
      <c r="C77" s="119" t="s">
        <v>906</v>
      </c>
      <c r="D77" s="634">
        <v>6528562</v>
      </c>
    </row>
    <row r="78" spans="1:4" ht="19.5" customHeight="1">
      <c r="A78" s="89">
        <v>71</v>
      </c>
      <c r="B78" s="907" t="s">
        <v>370</v>
      </c>
      <c r="C78" s="119" t="s">
        <v>1120</v>
      </c>
      <c r="D78" s="634">
        <f>1576197+29947750</f>
        <v>31523947</v>
      </c>
    </row>
    <row r="79" spans="1:4" ht="19.5" customHeight="1">
      <c r="A79" s="89">
        <v>72</v>
      </c>
      <c r="B79" s="907" t="s">
        <v>370</v>
      </c>
      <c r="C79" s="119" t="s">
        <v>1214</v>
      </c>
      <c r="D79" s="634">
        <v>1907772</v>
      </c>
    </row>
    <row r="80" spans="1:4" s="12" customFormat="1" ht="15">
      <c r="A80" s="89">
        <v>73</v>
      </c>
      <c r="B80" s="912"/>
      <c r="C80" s="4" t="s">
        <v>380</v>
      </c>
      <c r="D80" s="265">
        <f>SUM(D67:D79)</f>
        <v>231295165</v>
      </c>
    </row>
    <row r="81" spans="1:5" s="12" customFormat="1" ht="15">
      <c r="A81" s="858">
        <v>74</v>
      </c>
      <c r="B81" s="913"/>
      <c r="C81" s="1302" t="s">
        <v>769</v>
      </c>
      <c r="D81" s="1304"/>
      <c r="E81" s="859"/>
    </row>
    <row r="82" spans="1:4" ht="18.75" customHeight="1">
      <c r="A82" s="89">
        <v>75</v>
      </c>
      <c r="B82" s="907" t="s">
        <v>370</v>
      </c>
      <c r="C82" s="119" t="s">
        <v>994</v>
      </c>
      <c r="D82" s="634">
        <f>700924+49430</f>
        <v>750354</v>
      </c>
    </row>
    <row r="83" spans="1:4" s="12" customFormat="1" ht="15">
      <c r="A83" s="858">
        <v>76</v>
      </c>
      <c r="B83" s="864"/>
      <c r="C83" s="14" t="s">
        <v>907</v>
      </c>
      <c r="D83" s="865">
        <f>SUM(D82)</f>
        <v>750354</v>
      </c>
    </row>
    <row r="84" spans="1:4" ht="15.75" thickBot="1">
      <c r="A84" s="90">
        <v>77</v>
      </c>
      <c r="B84" s="863" t="s">
        <v>360</v>
      </c>
      <c r="C84" s="863"/>
      <c r="D84" s="266">
        <f>SUM(D80+D83)</f>
        <v>232045519</v>
      </c>
    </row>
    <row r="85" spans="1:4" ht="15">
      <c r="A85" s="89">
        <v>78</v>
      </c>
      <c r="B85" s="1295" t="s">
        <v>116</v>
      </c>
      <c r="C85" s="1296"/>
      <c r="D85" s="1297"/>
    </row>
    <row r="86" spans="1:4" s="12" customFormat="1" ht="15">
      <c r="A86" s="89">
        <v>79</v>
      </c>
      <c r="B86" s="914" t="s">
        <v>435</v>
      </c>
      <c r="C86" s="13"/>
      <c r="D86" s="8"/>
    </row>
    <row r="87" spans="1:4" s="35" customFormat="1" ht="20.25" customHeight="1">
      <c r="A87" s="89">
        <v>80</v>
      </c>
      <c r="B87" s="907" t="s">
        <v>370</v>
      </c>
      <c r="C87" s="119" t="s">
        <v>416</v>
      </c>
      <c r="D87" s="635">
        <v>449520</v>
      </c>
    </row>
    <row r="88" spans="1:4" ht="27.75" customHeight="1">
      <c r="A88" s="89">
        <v>81</v>
      </c>
      <c r="B88" s="907" t="s">
        <v>370</v>
      </c>
      <c r="C88" s="119" t="s">
        <v>996</v>
      </c>
      <c r="D88" s="634">
        <v>18081467</v>
      </c>
    </row>
    <row r="89" spans="1:4" s="3" customFormat="1" ht="15" thickBot="1">
      <c r="A89" s="90">
        <v>82</v>
      </c>
      <c r="B89" s="15" t="s">
        <v>360</v>
      </c>
      <c r="C89" s="15"/>
      <c r="D89" s="267">
        <f>SUM(D87:D88)</f>
        <v>18530987</v>
      </c>
    </row>
    <row r="90" spans="1:4" ht="15" hidden="1">
      <c r="A90" s="525">
        <v>45</v>
      </c>
      <c r="B90" s="1295" t="s">
        <v>417</v>
      </c>
      <c r="C90" s="1296"/>
      <c r="D90" s="1297"/>
    </row>
    <row r="91" spans="1:4" s="12" customFormat="1" ht="15" hidden="1">
      <c r="A91" s="89">
        <v>46</v>
      </c>
      <c r="B91" s="907"/>
      <c r="C91" s="18"/>
      <c r="D91" s="17"/>
    </row>
    <row r="92" spans="1:4" s="3" customFormat="1" ht="15" hidden="1" thickBot="1">
      <c r="A92" s="89">
        <v>47</v>
      </c>
      <c r="B92" s="15" t="s">
        <v>360</v>
      </c>
      <c r="C92" s="15"/>
      <c r="D92" s="9">
        <f>SUM(D91:D91)</f>
        <v>0</v>
      </c>
    </row>
    <row r="93" spans="1:4" ht="15">
      <c r="A93" s="89">
        <v>83</v>
      </c>
      <c r="B93" s="1295" t="s">
        <v>418</v>
      </c>
      <c r="C93" s="1296"/>
      <c r="D93" s="1297"/>
    </row>
    <row r="94" spans="1:4" ht="15">
      <c r="A94" s="89">
        <v>84</v>
      </c>
      <c r="B94" s="914" t="s">
        <v>435</v>
      </c>
      <c r="C94" s="86"/>
      <c r="D94" s="85"/>
    </row>
    <row r="95" spans="1:4" ht="30">
      <c r="A95" s="89">
        <v>85</v>
      </c>
      <c r="B95" s="907" t="s">
        <v>370</v>
      </c>
      <c r="C95" s="79" t="s">
        <v>828</v>
      </c>
      <c r="D95" s="860">
        <f>5000000-1269600+3500000-3749167-2585716</f>
        <v>895517</v>
      </c>
    </row>
    <row r="96" spans="1:4" ht="30">
      <c r="A96" s="858">
        <v>86</v>
      </c>
      <c r="B96" s="907" t="s">
        <v>370</v>
      </c>
      <c r="C96" s="79" t="s">
        <v>997</v>
      </c>
      <c r="D96" s="860">
        <f>4176519+456000</f>
        <v>4632519</v>
      </c>
    </row>
    <row r="97" spans="1:4" s="3" customFormat="1" ht="15" thickBot="1">
      <c r="A97" s="90">
        <v>87</v>
      </c>
      <c r="B97" s="15" t="s">
        <v>360</v>
      </c>
      <c r="C97" s="15"/>
      <c r="D97" s="267">
        <f>SUM(D95:D96)</f>
        <v>5528036</v>
      </c>
    </row>
    <row r="98" spans="1:4" ht="21" customHeight="1" thickBot="1">
      <c r="A98" s="90">
        <v>88</v>
      </c>
      <c r="B98" s="915" t="s">
        <v>361</v>
      </c>
      <c r="C98" s="16"/>
      <c r="D98" s="267">
        <f>SUM(D97+D89+D84+D66)</f>
        <v>1338088688</v>
      </c>
    </row>
    <row r="100" ht="21" customHeight="1"/>
    <row r="102" spans="2:4" ht="15">
      <c r="B102" s="1307"/>
      <c r="C102" s="1307"/>
      <c r="D102" s="1307"/>
    </row>
    <row r="104" ht="15">
      <c r="H104" s="78"/>
    </row>
  </sheetData>
  <sheetProtection/>
  <mergeCells count="14">
    <mergeCell ref="A6:A7"/>
    <mergeCell ref="B90:D90"/>
    <mergeCell ref="B93:D93"/>
    <mergeCell ref="B63:D63"/>
    <mergeCell ref="B102:D102"/>
    <mergeCell ref="B50:D50"/>
    <mergeCell ref="C1:D1"/>
    <mergeCell ref="B85:D85"/>
    <mergeCell ref="B3:D3"/>
    <mergeCell ref="B6:C6"/>
    <mergeCell ref="B67:D67"/>
    <mergeCell ref="B7:C7"/>
    <mergeCell ref="B43:D43"/>
    <mergeCell ref="C81:D8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2019-02-15T10:38:23Z</cp:lastPrinted>
  <dcterms:created xsi:type="dcterms:W3CDTF">2001-11-30T10:27:10Z</dcterms:created>
  <dcterms:modified xsi:type="dcterms:W3CDTF">2019-02-15T10:38:32Z</dcterms:modified>
  <cp:category/>
  <cp:version/>
  <cp:contentType/>
  <cp:contentStatus/>
</cp:coreProperties>
</file>