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0215" windowHeight="8490" tabRatio="911" activeTab="5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" sheetId="6" r:id="rId6"/>
  </sheets>
  <definedNames>
    <definedName name="_xlnm.Print_Titles" localSheetId="2">'2. melléklet'!$2:$5</definedName>
    <definedName name="_xlnm.Print_Titles" localSheetId="3">'3. melléklet '!$B:$B</definedName>
    <definedName name="_xlnm.Print_Titles" localSheetId="5">'5. melléklet'!$4:$5</definedName>
    <definedName name="_xlnm.Print_Area" localSheetId="3">'3. melléklet '!$A$1:$AV$54</definedName>
    <definedName name="_xlnm.Print_Area" localSheetId="5">'5. melléklet'!$A$1:$G$122</definedName>
  </definedNames>
  <calcPr calcMode="manual" fullCalcOnLoad="1"/>
</workbook>
</file>

<file path=xl/sharedStrings.xml><?xml version="1.0" encoding="utf-8"?>
<sst xmlns="http://schemas.openxmlformats.org/spreadsheetml/2006/main" count="574" uniqueCount="313">
  <si>
    <t>Jogcím</t>
  </si>
  <si>
    <t>I.</t>
  </si>
  <si>
    <t>II.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</si>
  <si>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</si>
  <si>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</si>
  <si>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</si>
  <si>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</si>
  <si>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</si>
  <si>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</si>
  <si>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</si>
  <si>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</si>
  <si>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</si>
  <si>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</si>
  <si>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</si>
  <si>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</si>
  <si>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</si>
  <si>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</si>
  <si>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</si>
  <si>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</si>
  <si>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</si>
  <si>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</si>
  <si>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</si>
  <si>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</si>
  <si>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</si>
  <si>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</si>
  <si>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</si>
  <si>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</si>
  <si>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</si>
  <si>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</si>
  <si>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</si>
  <si>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</si>
  <si>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</si>
  <si>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</si>
  <si>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</si>
  <si>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</si>
  <si>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</si>
  <si>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</si>
  <si>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</si>
  <si>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</si>
  <si>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</si>
  <si>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</si>
  <si>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</si>
  <si>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</si>
  <si>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</si>
  <si>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</si>
  <si>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</si>
  <si>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</si>
  <si>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</si>
  <si>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</si>
  <si>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</si>
  <si>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</si>
  <si>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</si>
  <si>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</si>
  <si>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</si>
  <si>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</si>
  <si>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Újvárosi Óvoda fejlesztési hozzájárulás</t>
  </si>
  <si>
    <t>Városrehabilitációs kölcsön</t>
  </si>
  <si>
    <t>Szociális Gondozási Központ fejlesztési hozzájárulás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</si>
  <si>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</si>
  <si>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</si>
  <si>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</si>
  <si>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</si>
  <si>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</si>
  <si>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</si>
  <si>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</si>
  <si>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</si>
  <si>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</si>
  <si>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</si>
  <si>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</si>
  <si>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</si>
  <si>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</si>
  <si>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</si>
  <si>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</si>
  <si>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</si>
  <si>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</si>
  <si>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</si>
  <si>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</si>
  <si>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</si>
  <si>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</si>
  <si>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</si>
  <si>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</si>
  <si>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Vízi-közmű hálózaton végzett felújítási munkák</t>
  </si>
  <si>
    <t>Kártalanítás 54/2014. (III.27.) KT határozat</t>
  </si>
  <si>
    <t>Vasivíz Zrt-től átvett vagyon értékeltetése</t>
  </si>
  <si>
    <t>Kőszegfalvi lakóparkhoz vezető út kisajátítása</t>
  </si>
  <si>
    <t>Kisértékű tárgyi eszköz beszerzések (Kőszegi Közös Önkormányzati Hivatal)</t>
  </si>
  <si>
    <t>Vonal alatti tételek (nem kerültek beépítésre)</t>
  </si>
  <si>
    <t>Bérlakás értékesítési bevétel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</si>
  <si>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</si>
  <si>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</si>
  <si>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</si>
  <si>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</si>
  <si>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</si>
  <si>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</si>
  <si>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</si>
  <si>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</si>
  <si>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</si>
  <si>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</si>
  <si>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</si>
  <si>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</si>
  <si>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</si>
  <si>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</si>
  <si>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</si>
  <si>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</si>
  <si>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</si>
  <si>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</si>
  <si>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</si>
  <si>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</si>
  <si>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</si>
  <si>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</si>
  <si>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</si>
  <si>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</si>
  <si>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</si>
  <si>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</si>
  <si>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</si>
  <si>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</si>
  <si>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</si>
  <si>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</si>
  <si>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</si>
  <si>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</si>
  <si>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</si>
  <si>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</si>
  <si>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</si>
  <si>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</si>
  <si>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</si>
  <si>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</si>
  <si>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</si>
  <si>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</si>
  <si>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</si>
  <si>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</si>
  <si>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</si>
  <si>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</si>
  <si>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</si>
  <si>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</si>
  <si>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</si>
  <si>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</si>
  <si>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</si>
  <si>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</si>
  <si>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</si>
  <si>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</si>
  <si>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</si>
  <si>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</si>
  <si>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</si>
  <si>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</si>
  <si>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</si>
  <si>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</si>
  <si>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</si>
  <si>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2016. évi felhalmozási célú bevételek </t>
  </si>
  <si>
    <t>2016. évi felhalmozási  kiadások (E Ft)</t>
  </si>
  <si>
    <t>Központ Óvoda felújítására kapott támogatás maradványa</t>
  </si>
  <si>
    <t>Vis maior I. pályázat támogatása</t>
  </si>
  <si>
    <t>Vis maior II. pályázat támogatása</t>
  </si>
  <si>
    <t>2006/2015. (XII.29.) Korm. hat. kapott támogatása</t>
  </si>
  <si>
    <t>Balog iskola szennyvízelvezető rendszer felújítása (15 000 E Ft támogatásból</t>
  </si>
  <si>
    <t>Vis maior I. káresemény helyreállítási munkái</t>
  </si>
  <si>
    <t>Vis maior II. káresemény helyreállítási munkái</t>
  </si>
  <si>
    <t xml:space="preserve">Jurisics tér 5. csőtőrés miatti javítsi munkálatok </t>
  </si>
  <si>
    <t xml:space="preserve">Kálvária utca felújítása </t>
  </si>
  <si>
    <t>Kálvári u. felújításához befizetett pénzösszeg</t>
  </si>
  <si>
    <t>Tekepálya feletti lapostető szigetelése és fedése</t>
  </si>
  <si>
    <t>Kőszegfalvi Óvodában kémény béléstest és kazán cseréje</t>
  </si>
  <si>
    <t>Pénztárgép beszerzése (Jurisics-vár Műv. Központ és Várszínház)</t>
  </si>
  <si>
    <t>Temető utcai ravatalozóban penészedés megszüntetése</t>
  </si>
  <si>
    <t xml:space="preserve">ÖBB tulajdonában lévő volt vasúti pályatest megvásárlása </t>
  </si>
  <si>
    <t xml:space="preserve"> Rendezvényeken áramvételezési hely kiépítése a Fő téren</t>
  </si>
  <si>
    <t>Térfigyelő kamera kiépítése a Liszt F. u. - Munkácsy u. csomópontban saját erő ( csak lakossági hozzájárulás esetén 500 E Ft</t>
  </si>
  <si>
    <t>Gépkocsi vásárlás</t>
  </si>
  <si>
    <t>Meskó u. 1. szám alatti ingatlan építéstörténeti dokumentáció elkészítése</t>
  </si>
  <si>
    <t>Rendezési terv módosításának tervezése</t>
  </si>
  <si>
    <t>Pogányi u. folytatása tanulmányterv</t>
  </si>
  <si>
    <t>2199 hrsz-ú ingatlan (Kratochwill-ház hátsó része) megvásárlása</t>
  </si>
  <si>
    <t>Új köztemető kialakítása I. ütem</t>
  </si>
  <si>
    <t>Rohonci úti fasor cseréje</t>
  </si>
  <si>
    <t>1104 hrsz-ú ingatlan megvásárlása (nemezgyári zsilip)</t>
  </si>
  <si>
    <t>Liszt F. u. 30. (volt botgyár területe) megvásárlása</t>
  </si>
  <si>
    <t>Projektek előkészítési költségei</t>
  </si>
  <si>
    <t>Posztó utcai parkoló kialakítása</t>
  </si>
  <si>
    <t>Kőszegfalvi temetőben előtető ravatalozóhoz</t>
  </si>
  <si>
    <t>2207/A/15 hrszú ingatlan (Kossuth 15. pince) megvásárlása</t>
  </si>
  <si>
    <t>2016. években</t>
  </si>
  <si>
    <t>2016. évi eredeti előirányzat</t>
  </si>
  <si>
    <t>Központi irányítószervi támogatás</t>
  </si>
  <si>
    <t xml:space="preserve">Kőszeg Város Önkormányzata és intézményei </t>
  </si>
  <si>
    <t>Kőszeg Város Önkormányzata és intézményei bevételei és kiadásai 2016. évben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</si>
  <si>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</si>
  <si>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</si>
  <si>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</si>
  <si>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</si>
  <si>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</si>
  <si>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Kőszeg Város Önkormányzatának központilag szabályozott bevételei 2016. évben</t>
  </si>
  <si>
    <t xml:space="preserve">A helyi önkormányzatok általános müködésének és ágazati feladatainak támogatása (2015. évi C. törvény 2. melléklete szerint)  </t>
  </si>
  <si>
    <t>Hirdetőtábla kiépítése (testületi döntés alapján)</t>
  </si>
  <si>
    <t>Jurisich Miklós Gimnázium sportpályáinak  felújítása (20 000 E Ft támogatásból)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</si>
  <si>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</si>
  <si>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</si>
  <si>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</si>
  <si>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</si>
  <si>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Államtól átvett ingatlanok (662, 2131 hrsz) karbantartása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</si>
  <si>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</si>
  <si>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</si>
  <si>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</si>
  <si>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</si>
  <si>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</si>
  <si>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Kőszegi Szocilis Gondozási Központ szennyvízátemelő cseréje</t>
  </si>
  <si>
    <t>Egészségház kerékpárút kiépítése  (28 000 E  Ft támogatásból)</t>
  </si>
  <si>
    <t>Központi Óvoda hátsó épületrész felújítása (30 000 E Ft pályázatból)</t>
  </si>
  <si>
    <t>Temető utca részleges felújítása (37 000 E Ft támogatásból)</t>
  </si>
  <si>
    <t>7. Kiegészító támogatás a bölcsődében folgalkoztatott, felsőfokú végzettségű kisgyermeknevelők béréhez</t>
  </si>
  <si>
    <t xml:space="preserve"> "1. melléklet a 2/2016. (II.12) önkormányzati rendelethez</t>
  </si>
  <si>
    <t xml:space="preserve">Változás </t>
  </si>
  <si>
    <t>Változás</t>
  </si>
  <si>
    <t xml:space="preserve">eredeti ei. </t>
  </si>
  <si>
    <t xml:space="preserve">változás </t>
  </si>
  <si>
    <t>"3. melléklet a 2./2016. (II.12.) önkormányzati rendelethez</t>
  </si>
  <si>
    <t>"</t>
  </si>
  <si>
    <t xml:space="preserve">Helyi önkormányzatok által felhasználható kiegészítő működési célú támogatások előirányzatarányza összesen: </t>
  </si>
  <si>
    <t>Központi működési célú támogatások összesen (2015. évi C. törvény 2. és 3. melléklete szerint):</t>
  </si>
  <si>
    <t xml:space="preserve">Helyi önkormányzatok által felhasználható kiegészítő támogatások működési célra (2015. évi C. törvény 3. melléklete szerint) </t>
  </si>
  <si>
    <t xml:space="preserve">Helyi önkormányzatok által felhasználható kiegészítő támogatások felhalmozási célra(2015. évi C. törvény 3. melléklete szerint) </t>
  </si>
  <si>
    <t>1. i) A települési önkormányzatok könyvtári célú érdekeltségnövelő támogatása</t>
  </si>
  <si>
    <t>A 2016. évi bérkompenzáció támogatása</t>
  </si>
  <si>
    <t>6. A 2015. évről áthúzódó bérkompenzáció támogatása</t>
  </si>
  <si>
    <t>Kőszeg Város feladatainak támogatása  (kerékpárút, Temető u. fúj., iskolai sportpálya fúj., szennyvízelvezetés)</t>
  </si>
  <si>
    <t>1. Lakossági közmű fejlesztés támogatása</t>
  </si>
  <si>
    <t>Vis maior helyzet támogatása</t>
  </si>
  <si>
    <t>Központi felhalmozási célú támogatások összesen (2015. évi C. törvény 2. és 3. melléklete szerint):</t>
  </si>
  <si>
    <t xml:space="preserve">               -ebből egyéb felhalmozási célú támogatások áht-n belülre</t>
  </si>
  <si>
    <t xml:space="preserve">               -ebből egyéb felhalmozási célú támogatások áht-n kívülre</t>
  </si>
  <si>
    <t xml:space="preserve">               -ebből felh. c.  visszat. támogatások, kölcsönök nyújtása</t>
  </si>
  <si>
    <t xml:space="preserve">     -  ebből egyéb felh.c. visszatt. támogatások, kölcsönök</t>
  </si>
  <si>
    <t>Támogatás összege 2016.01.01. ( Ft)</t>
  </si>
  <si>
    <t>eredeti ei.  2016.01.01.</t>
  </si>
  <si>
    <t>"4. melléklet a 2./2016. (II.12.) önkormányzati rendelethez</t>
  </si>
  <si>
    <t>"5. melléklet a 2./2016. (II.12.) önkormányzati rendelethez</t>
  </si>
  <si>
    <t xml:space="preserve">Lakossági közműfejlesztési hozzájárulás </t>
  </si>
  <si>
    <t>15.</t>
  </si>
  <si>
    <t>16.</t>
  </si>
  <si>
    <t>TOP-1.1.1.-15.Jurisics Miklós Ipari Park fejlesztése</t>
  </si>
  <si>
    <t xml:space="preserve">TOP-3.1.1.-15. Kőszeg-Kőszegfalva közötti kerékpárút továbbépítése </t>
  </si>
  <si>
    <t xml:space="preserve">Jurisich Miklós Gimnázium kollégiumi fürdő felújítása </t>
  </si>
  <si>
    <t>17.</t>
  </si>
  <si>
    <t>18.</t>
  </si>
  <si>
    <t>Rézsűvágó gép beszerzése (Kőszegi Városüzemeltetétési Kft részére)</t>
  </si>
  <si>
    <t>Szénsavaskút szivattyú cseréje</t>
  </si>
  <si>
    <t>Vis maior pályázat támogatás</t>
  </si>
  <si>
    <t>6. Szociális ágazati pótlék és kiegészítő pótlék</t>
  </si>
  <si>
    <t>Központi támogatások mindösszesen (2015. évi C. törvény 2. és 3. melléklete szerint):</t>
  </si>
  <si>
    <t>Fénymásoló beszerzése (Chernel Kálmán Városi Könyvtár 2015. évi maradványból)</t>
  </si>
  <si>
    <t>19.</t>
  </si>
  <si>
    <t>20.</t>
  </si>
  <si>
    <t>21.</t>
  </si>
  <si>
    <t>22.</t>
  </si>
  <si>
    <t>Kisértékű tárgyi eszközök beszerzése  (Chernel Kálmán Városi Könyvtár érdekeltségnövelő támogatásból)</t>
  </si>
  <si>
    <t>Hun-Téka program beszerzése (Kőszegi Városi Múzeum 2015. évi maradványból)</t>
  </si>
  <si>
    <t>Fekete Szerecseny Patika elektromos hálózatának terveztetése, engedélyeztetése  (Kőszegi Városi Múzeum 2015. évi maradványból)</t>
  </si>
  <si>
    <t>23.</t>
  </si>
  <si>
    <t>24.</t>
  </si>
  <si>
    <t>25.</t>
  </si>
  <si>
    <t>26.</t>
  </si>
  <si>
    <t>Restaurátor műhely egykaros laboratórium mobil elszívó rendszer,LUXO nagyítós lámpa LFM 101, RESKO sztereo mikroszkóp rugós karral + rögzítő elem az asztalhoz (Kőszegi Városi Múzeum 2015. évi maradványból)</t>
  </si>
  <si>
    <t>Kisértékű tárgyi eszköz beszerzések volt okmányiroda berendezése   (Kőszegi Közös Önkormányzati Hivatal 2015. évi maradványból)</t>
  </si>
  <si>
    <t>Munkaidő nyilvántartó és beléptető rendszer programja (Kőszegi Közös Önkormányzati Hivatal)</t>
  </si>
  <si>
    <t>Jurisics tér 8. (volt okmányiroda épületrész felújítása (Kőszegi Közös Önkormányzati Hivatal 2015. évi maradványból)</t>
  </si>
  <si>
    <t>Kőszegi Városüzemeltető Kft részére támogatás biztosítása kukásautó vásárláshoz</t>
  </si>
  <si>
    <t>Lakossági közműfejlesztési támogatás átadása</t>
  </si>
  <si>
    <t>28.</t>
  </si>
  <si>
    <t>29.</t>
  </si>
  <si>
    <t>Egészségházra árnyékoló készítése 135/2016. (VI.30.) kt. határozat alapján</t>
  </si>
  <si>
    <t>Várárok támfal felújítás  134/2016. (VI.30.) kt. határozat alapján</t>
  </si>
  <si>
    <t>KFC támogatása 108/2016 (V.26.) határozat alapján</t>
  </si>
  <si>
    <t>Kőszegi Önkéntes Tűzoltóság támogatása defibrilátor vásárlásához 110/2016 (V.26.) határozat alapján</t>
  </si>
  <si>
    <t>TOP -2.1.2-15 Városmajor - Zöld város kialakítása (Kratochwill ház mögötti telek megvásárlásával)</t>
  </si>
  <si>
    <t>2016.09.30. módosított előirányzat</t>
  </si>
  <si>
    <t>Támogatás összege 2016.09.30.  ( Ft)</t>
  </si>
  <si>
    <t xml:space="preserve"> "2. melléklet a 2/2016. (II.12.) önkormányzati rendelethez</t>
  </si>
  <si>
    <t>módosított ei. 2016.09.30.</t>
  </si>
  <si>
    <t xml:space="preserve">09.30.mód. ei. </t>
  </si>
  <si>
    <t>Érdekeltségnövelő pályázat keretében saját erőből és támogatásból beszerzendő eszközök (Jurisics-vár Műv. Központ és Várszínház)</t>
  </si>
  <si>
    <t>Kisértékű tárgyi eszközök beszerzése(Jurisics-vár Műv. Központ és Várszínház)</t>
  </si>
  <si>
    <t>1956-os forradalommal kapcsolatos pályázat keretében beszerzendő tárgyi eszközök (Chernel Kálmán Városi Könyvtár pályázatból)</t>
  </si>
  <si>
    <t>30.</t>
  </si>
  <si>
    <t>31.</t>
  </si>
  <si>
    <t>32.</t>
  </si>
  <si>
    <t>33.</t>
  </si>
  <si>
    <t>Kubinyik Ágoston program pályázati saját erő és elnyert pályzati pénzeszközből beszerzendő eszközök (Kőszegi Városi Múzeum 2015. évi maradványból)</t>
  </si>
  <si>
    <t>Járásszékhely múzeumok szakmai támogatása pályázat keretében beszerzendő eszközök</t>
  </si>
  <si>
    <t>Múzeum szakmai támogatásai (Kubinyi Program és Járásszékhely múzeumok támogatása9</t>
  </si>
  <si>
    <t>Előző évek közműépítéseinek lakossági hozzájárulása</t>
  </si>
  <si>
    <t>Cáki u. felújításához vállalkozástól átvett pénzeszköz</t>
  </si>
  <si>
    <t>Raktárépületbe tűzálló, irattartó fém szekrény beszerzése</t>
  </si>
  <si>
    <t>2016.12.31. módosított előirányzat</t>
  </si>
  <si>
    <t>Támogatás összege 2016.12.31.  ( Ft)</t>
  </si>
  <si>
    <t xml:space="preserve">12.31.mód. ei. </t>
  </si>
  <si>
    <t>módosított ei. 2016.12.31.</t>
  </si>
  <si>
    <t>Eszterházy oltár restaurálása</t>
  </si>
  <si>
    <t>Eszterházy oltár felújítása</t>
  </si>
  <si>
    <t>Táncsics M. utca csapadékcsatorna építés</t>
  </si>
  <si>
    <t>Jurisics vár korábbi felújításával kapcsolatos pályázati pénzösszeg visszafizetése  EUTAF ellenőrzés miatt)</t>
  </si>
  <si>
    <t>5. Közművelődési érdekeltségnövelő támogatás</t>
  </si>
  <si>
    <t>5. Muzeális intézmények szakmai támogatása</t>
  </si>
  <si>
    <t>Közművelődési érdekeltségnövelő támogatás</t>
  </si>
  <si>
    <t>27.</t>
  </si>
  <si>
    <t>Kisértékű tárgyi eszközök beszerzése  (abből 53 E Ft Chernel Kálmán Városi Könyvtár 2015. évi maradványból)</t>
  </si>
  <si>
    <t>Nagyértékű tárgyi eszközök beszerzése klimaberendezés  (Chernel Kálmán Városi Könyvtár)</t>
  </si>
  <si>
    <t>34.</t>
  </si>
  <si>
    <t>35.</t>
  </si>
  <si>
    <t>Kisértékű egyéb gép, berendezés vásárlása (Kőszegi Városi Múzeum)</t>
  </si>
  <si>
    <t>36.</t>
  </si>
  <si>
    <t xml:space="preserve"> 1. melléklet a 7/2017. (V.30.) önkormányzati rendelethez</t>
  </si>
  <si>
    <t xml:space="preserve"> 2. melléklet a 7/2017. (V.30.) önkormányzati rendelethez</t>
  </si>
  <si>
    <t xml:space="preserve"> 3. melléklet a 7/2017. (V. 30.) önkormányzati rendelethez</t>
  </si>
  <si>
    <t xml:space="preserve"> 4. melléklet a 7/2017. (V. 30.) önkormányzati rendelethez</t>
  </si>
  <si>
    <t xml:space="preserve"> 5. melléklet a 7/2017. (V. 30.)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</si>
</sst>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7" borderId="0" applyNumberFormat="0" applyBorder="0" applyAlignment="0" applyProtection="0"/>
    <xf numFmtId="0" fontId="32" fillId="9" borderId="0" applyNumberFormat="0" applyBorder="0" applyAlignment="0" applyProtection="0"/>
    <xf numFmtId="0" fontId="43" fillId="38" borderId="1" applyNumberFormat="0" applyAlignment="0" applyProtection="0"/>
    <xf numFmtId="0" fontId="34" fillId="39" borderId="2" applyNumberFormat="0" applyAlignment="0" applyProtection="0"/>
    <xf numFmtId="0" fontId="25" fillId="4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41" borderId="7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0" fillId="13" borderId="2" applyNumberFormat="0" applyAlignment="0" applyProtection="0"/>
    <xf numFmtId="0" fontId="0" fillId="42" borderId="12" applyNumberFormat="0" applyFont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51" fillId="49" borderId="0" applyNumberFormat="0" applyBorder="0" applyAlignment="0" applyProtection="0"/>
    <xf numFmtId="0" fontId="52" fillId="50" borderId="13" applyNumberFormat="0" applyAlignment="0" applyProtection="0"/>
    <xf numFmtId="0" fontId="2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2" borderId="15" applyNumberFormat="0" applyFont="0" applyAlignment="0" applyProtection="0"/>
    <xf numFmtId="0" fontId="29" fillId="39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0" fontId="57" fillId="5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0" fontId="4" fillId="1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94" applyFont="1" applyFill="1" applyAlignment="1">
      <alignment horizontal="left" vertical="top"/>
      <protection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17" fillId="0" borderId="0" xfId="93" applyNumberFormat="1" applyFont="1" applyFill="1" applyAlignment="1">
      <alignment horizontal="center" wrapText="1"/>
      <protection/>
    </xf>
    <xf numFmtId="0" fontId="12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39" borderId="0" xfId="93" applyFont="1" applyFill="1" applyBorder="1" applyAlignment="1">
      <alignment horizontal="left"/>
      <protection/>
    </xf>
    <xf numFmtId="3" fontId="4" fillId="39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39" borderId="0" xfId="93" applyFont="1" applyFill="1" applyBorder="1" applyAlignment="1">
      <alignment wrapText="1"/>
      <protection/>
    </xf>
    <xf numFmtId="3" fontId="4" fillId="39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3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13" fillId="0" borderId="0" xfId="93" applyFont="1" applyFill="1">
      <alignment/>
      <protection/>
    </xf>
    <xf numFmtId="0" fontId="35" fillId="0" borderId="0" xfId="93" applyFont="1" applyFill="1">
      <alignment/>
      <protection/>
    </xf>
    <xf numFmtId="0" fontId="13" fillId="51" borderId="0" xfId="93" applyFont="1" applyFill="1" applyBorder="1">
      <alignment/>
      <protection/>
    </xf>
    <xf numFmtId="3" fontId="13" fillId="51" borderId="0" xfId="93" applyNumberFormat="1" applyFont="1" applyFill="1">
      <alignment/>
      <protection/>
    </xf>
    <xf numFmtId="0" fontId="13" fillId="51" borderId="0" xfId="93" applyFont="1" applyFill="1" applyBorder="1" applyAlignment="1">
      <alignment wrapText="1"/>
      <protection/>
    </xf>
    <xf numFmtId="3" fontId="13" fillId="51" borderId="0" xfId="93" applyNumberFormat="1" applyFont="1" applyFill="1" applyBorder="1" applyAlignment="1">
      <alignment wrapText="1"/>
      <protection/>
    </xf>
    <xf numFmtId="0" fontId="12" fillId="10" borderId="0" xfId="93" applyFont="1" applyFill="1">
      <alignment/>
      <protection/>
    </xf>
    <xf numFmtId="3" fontId="12" fillId="10" borderId="0" xfId="93" applyNumberFormat="1" applyFont="1" applyFill="1">
      <alignment/>
      <protection/>
    </xf>
    <xf numFmtId="0" fontId="15" fillId="0" borderId="2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wrapText="1"/>
    </xf>
    <xf numFmtId="3" fontId="15" fillId="0" borderId="27" xfId="0" applyNumberFormat="1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0" fontId="16" fillId="0" borderId="36" xfId="0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5" fillId="0" borderId="24" xfId="0" applyFont="1" applyFill="1" applyBorder="1" applyAlignment="1">
      <alignment wrapText="1"/>
    </xf>
    <xf numFmtId="0" fontId="15" fillId="0" borderId="38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3" fontId="36" fillId="0" borderId="20" xfId="0" applyNumberFormat="1" applyFont="1" applyFill="1" applyBorder="1" applyAlignment="1">
      <alignment/>
    </xf>
    <xf numFmtId="3" fontId="36" fillId="0" borderId="21" xfId="0" applyNumberFormat="1" applyFont="1" applyFill="1" applyBorder="1" applyAlignment="1">
      <alignment/>
    </xf>
    <xf numFmtId="3" fontId="36" fillId="0" borderId="27" xfId="0" applyNumberFormat="1" applyFont="1" applyFill="1" applyBorder="1" applyAlignment="1">
      <alignment/>
    </xf>
    <xf numFmtId="0" fontId="36" fillId="0" borderId="39" xfId="0" applyFont="1" applyFill="1" applyBorder="1" applyAlignment="1">
      <alignment/>
    </xf>
    <xf numFmtId="3" fontId="36" fillId="0" borderId="40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0" fontId="16" fillId="0" borderId="36" xfId="0" applyFont="1" applyFill="1" applyBorder="1" applyAlignment="1">
      <alignment wrapText="1"/>
    </xf>
    <xf numFmtId="0" fontId="36" fillId="0" borderId="31" xfId="0" applyFont="1" applyFill="1" applyBorder="1" applyAlignment="1">
      <alignment horizontal="left" wrapText="1" indent="2"/>
    </xf>
    <xf numFmtId="0" fontId="36" fillId="0" borderId="31" xfId="0" applyFont="1" applyFill="1" applyBorder="1" applyAlignment="1">
      <alignment horizontal="left" indent="2"/>
    </xf>
    <xf numFmtId="0" fontId="14" fillId="0" borderId="0" xfId="0" applyFont="1" applyAlignment="1">
      <alignment wrapText="1"/>
    </xf>
    <xf numFmtId="0" fontId="3" fillId="0" borderId="0" xfId="95" applyFont="1" applyFill="1" applyBorder="1" applyAlignment="1">
      <alignment horizontal="left"/>
      <protection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10" borderId="0" xfId="94" applyFont="1" applyFill="1" applyAlignment="1">
      <alignment horizontal="left" vertical="top"/>
      <protection/>
    </xf>
    <xf numFmtId="0" fontId="4" fillId="9" borderId="0" xfId="94" applyFont="1" applyFill="1" applyBorder="1" applyAlignment="1">
      <alignment horizontal="left" vertical="top"/>
      <protection/>
    </xf>
    <xf numFmtId="0" fontId="4" fillId="9" borderId="0" xfId="94" applyFont="1" applyFill="1" applyAlignment="1">
      <alignment horizontal="left" vertical="top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10" borderId="0" xfId="94" applyFont="1" applyFill="1" applyBorder="1" applyAlignment="1">
      <alignment vertical="top" wrapText="1"/>
      <protection/>
    </xf>
    <xf numFmtId="3" fontId="4" fillId="10" borderId="0" xfId="94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10" borderId="0" xfId="0" applyFont="1" applyFill="1" applyAlignment="1">
      <alignment vertical="top" wrapText="1"/>
    </xf>
    <xf numFmtId="3" fontId="4" fillId="10" borderId="0" xfId="0" applyNumberFormat="1" applyFont="1" applyFill="1" applyAlignment="1">
      <alignment vertical="top"/>
    </xf>
    <xf numFmtId="0" fontId="4" fillId="10" borderId="0" xfId="0" applyFont="1" applyFill="1" applyBorder="1" applyAlignment="1">
      <alignment vertical="top" wrapText="1"/>
    </xf>
    <xf numFmtId="3" fontId="4" fillId="10" borderId="0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9" borderId="42" xfId="0" applyFont="1" applyFill="1" applyBorder="1" applyAlignment="1">
      <alignment vertical="top" wrapText="1"/>
    </xf>
    <xf numFmtId="3" fontId="4" fillId="9" borderId="42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10" borderId="42" xfId="0" applyFont="1" applyFill="1" applyBorder="1" applyAlignment="1">
      <alignment vertical="top" wrapText="1"/>
    </xf>
    <xf numFmtId="3" fontId="4" fillId="10" borderId="42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0" fontId="4" fillId="10" borderId="0" xfId="0" applyFont="1" applyFill="1" applyBorder="1" applyAlignment="1">
      <alignment vertical="top"/>
    </xf>
    <xf numFmtId="3" fontId="4" fillId="1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4" fillId="9" borderId="0" xfId="94" applyFont="1" applyFill="1" applyBorder="1" applyAlignment="1">
      <alignment vertical="top"/>
      <protection/>
    </xf>
    <xf numFmtId="3" fontId="4" fillId="9" borderId="0" xfId="94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5" fillId="10" borderId="0" xfId="0" applyFont="1" applyFill="1" applyAlignment="1">
      <alignment vertical="top"/>
    </xf>
    <xf numFmtId="3" fontId="5" fillId="10" borderId="0" xfId="0" applyNumberFormat="1" applyFont="1" applyFill="1" applyAlignment="1">
      <alignment vertical="top"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9" borderId="0" xfId="0" applyFont="1" applyFill="1" applyBorder="1" applyAlignment="1">
      <alignment horizontal="left" vertical="top" wrapText="1"/>
    </xf>
    <xf numFmtId="3" fontId="4" fillId="9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36" fillId="0" borderId="44" xfId="0" applyNumberFormat="1" applyFont="1" applyFill="1" applyBorder="1" applyAlignment="1">
      <alignment/>
    </xf>
    <xf numFmtId="3" fontId="15" fillId="0" borderId="44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6" fillId="0" borderId="46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36" fillId="0" borderId="47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36" fillId="0" borderId="45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16" fillId="0" borderId="52" xfId="0" applyNumberFormat="1" applyFont="1" applyFill="1" applyBorder="1" applyAlignment="1">
      <alignment/>
    </xf>
    <xf numFmtId="3" fontId="16" fillId="0" borderId="53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3" fontId="16" fillId="0" borderId="46" xfId="0" applyNumberFormat="1" applyFont="1" applyFill="1" applyBorder="1" applyAlignment="1">
      <alignment/>
    </xf>
    <xf numFmtId="166" fontId="16" fillId="0" borderId="5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6" fontId="15" fillId="0" borderId="27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5" fillId="0" borderId="55" xfId="0" applyNumberFormat="1" applyFont="1" applyFill="1" applyBorder="1" applyAlignment="1">
      <alignment/>
    </xf>
    <xf numFmtId="166" fontId="15" fillId="0" borderId="56" xfId="0" applyNumberFormat="1" applyFont="1" applyFill="1" applyBorder="1" applyAlignment="1">
      <alignment/>
    </xf>
    <xf numFmtId="166" fontId="16" fillId="0" borderId="40" xfId="0" applyNumberFormat="1" applyFont="1" applyFill="1" applyBorder="1" applyAlignment="1">
      <alignment/>
    </xf>
    <xf numFmtId="166" fontId="16" fillId="0" borderId="57" xfId="0" applyNumberFormat="1" applyFont="1" applyFill="1" applyBorder="1" applyAlignment="1">
      <alignment/>
    </xf>
    <xf numFmtId="166" fontId="16" fillId="0" borderId="58" xfId="0" applyNumberFormat="1" applyFont="1" applyFill="1" applyBorder="1" applyAlignment="1">
      <alignment/>
    </xf>
    <xf numFmtId="0" fontId="5" fillId="0" borderId="0" xfId="93" applyFont="1" applyFill="1" applyAlignment="1">
      <alignment horizontal="center"/>
      <protection/>
    </xf>
    <xf numFmtId="0" fontId="16" fillId="0" borderId="30" xfId="0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/>
    </xf>
    <xf numFmtId="3" fontId="36" fillId="0" borderId="31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6" fillId="0" borderId="34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4" fillId="0" borderId="0" xfId="0" applyFont="1" applyAlignment="1">
      <alignment horizontal="left" wrapText="1"/>
    </xf>
    <xf numFmtId="3" fontId="36" fillId="0" borderId="39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4" fillId="0" borderId="0" xfId="93" applyNumberFormat="1" applyFont="1" applyFill="1" applyAlignment="1">
      <alignment horizontal="right"/>
      <protection/>
    </xf>
    <xf numFmtId="0" fontId="15" fillId="0" borderId="0" xfId="0" applyFont="1" applyFill="1" applyAlignment="1">
      <alignment horizontal="center" wrapText="1"/>
    </xf>
    <xf numFmtId="166" fontId="16" fillId="0" borderId="28" xfId="0" applyNumberFormat="1" applyFont="1" applyFill="1" applyBorder="1" applyAlignment="1">
      <alignment/>
    </xf>
    <xf numFmtId="0" fontId="16" fillId="0" borderId="46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6" fillId="0" borderId="53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6" fillId="0" borderId="3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66" fontId="16" fillId="0" borderId="59" xfId="0" applyNumberFormat="1" applyFont="1" applyFill="1" applyBorder="1" applyAlignment="1">
      <alignment/>
    </xf>
    <xf numFmtId="0" fontId="16" fillId="0" borderId="49" xfId="0" applyFont="1" applyFill="1" applyBorder="1" applyAlignment="1">
      <alignment horizontal="center" wrapText="1"/>
    </xf>
    <xf numFmtId="0" fontId="6" fillId="0" borderId="0" xfId="93" applyFont="1" applyFill="1" applyAlignment="1">
      <alignment horizontal="left" indent="3"/>
      <protection/>
    </xf>
    <xf numFmtId="0" fontId="13" fillId="0" borderId="0" xfId="93" applyFont="1" applyFill="1" applyAlignment="1">
      <alignment/>
      <protection/>
    </xf>
    <xf numFmtId="0" fontId="3" fillId="0" borderId="0" xfId="93" applyFont="1" applyFill="1" applyAlignment="1">
      <alignment horizontal="center"/>
      <protection/>
    </xf>
    <xf numFmtId="0" fontId="16" fillId="0" borderId="0" xfId="0" applyFont="1" applyFill="1" applyBorder="1" applyAlignment="1">
      <alignment horizontal="center" wrapText="1"/>
    </xf>
    <xf numFmtId="0" fontId="4" fillId="10" borderId="60" xfId="0" applyFont="1" applyFill="1" applyBorder="1" applyAlignment="1">
      <alignment vertical="top" wrapText="1"/>
    </xf>
    <xf numFmtId="3" fontId="4" fillId="10" borderId="60" xfId="0" applyNumberFormat="1" applyFont="1" applyFill="1" applyBorder="1" applyAlignment="1">
      <alignment vertical="top"/>
    </xf>
    <xf numFmtId="0" fontId="4" fillId="10" borderId="0" xfId="94" applyFont="1" applyFill="1" applyBorder="1" applyAlignment="1">
      <alignment horizontal="left" vertical="top"/>
      <protection/>
    </xf>
    <xf numFmtId="0" fontId="16" fillId="0" borderId="41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38" fillId="0" borderId="0" xfId="93" applyFont="1" applyFill="1">
      <alignment/>
      <protection/>
    </xf>
    <xf numFmtId="3" fontId="39" fillId="39" borderId="0" xfId="93" applyNumberFormat="1" applyFont="1" applyFill="1">
      <alignment/>
      <protection/>
    </xf>
    <xf numFmtId="0" fontId="16" fillId="0" borderId="22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6" fillId="0" borderId="35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48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4" fillId="0" borderId="50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6" fillId="0" borderId="61" xfId="0" applyFont="1" applyFill="1" applyBorder="1" applyAlignment="1">
      <alignment/>
    </xf>
    <xf numFmtId="166" fontId="16" fillId="0" borderId="43" xfId="0" applyNumberFormat="1" applyFont="1" applyFill="1" applyBorder="1" applyAlignment="1">
      <alignment/>
    </xf>
    <xf numFmtId="166" fontId="14" fillId="0" borderId="43" xfId="0" applyNumberFormat="1" applyFont="1" applyFill="1" applyBorder="1" applyAlignment="1">
      <alignment/>
    </xf>
    <xf numFmtId="166" fontId="14" fillId="0" borderId="28" xfId="0" applyNumberFormat="1" applyFont="1" applyFill="1" applyBorder="1" applyAlignment="1">
      <alignment/>
    </xf>
    <xf numFmtId="166" fontId="16" fillId="0" borderId="29" xfId="0" applyNumberFormat="1" applyFont="1" applyFill="1" applyBorder="1" applyAlignment="1">
      <alignment/>
    </xf>
    <xf numFmtId="3" fontId="15" fillId="0" borderId="62" xfId="0" applyNumberFormat="1" applyFont="1" applyFill="1" applyBorder="1" applyAlignment="1">
      <alignment horizontal="center"/>
    </xf>
    <xf numFmtId="166" fontId="15" fillId="0" borderId="44" xfId="0" applyNumberFormat="1" applyFont="1" applyFill="1" applyBorder="1" applyAlignment="1">
      <alignment/>
    </xf>
    <xf numFmtId="166" fontId="14" fillId="0" borderId="44" xfId="0" applyNumberFormat="1" applyFont="1" applyFill="1" applyBorder="1" applyAlignment="1">
      <alignment/>
    </xf>
    <xf numFmtId="166" fontId="14" fillId="0" borderId="27" xfId="0" applyNumberFormat="1" applyFont="1" applyFill="1" applyBorder="1" applyAlignment="1">
      <alignment/>
    </xf>
    <xf numFmtId="166" fontId="16" fillId="0" borderId="44" xfId="0" applyNumberFormat="1" applyFont="1" applyFill="1" applyBorder="1" applyAlignment="1">
      <alignment/>
    </xf>
    <xf numFmtId="166" fontId="16" fillId="0" borderId="27" xfId="0" applyNumberFormat="1" applyFont="1" applyFill="1" applyBorder="1" applyAlignment="1">
      <alignment/>
    </xf>
    <xf numFmtId="166" fontId="16" fillId="0" borderId="20" xfId="0" applyNumberFormat="1" applyFont="1" applyFill="1" applyBorder="1" applyAlignment="1">
      <alignment/>
    </xf>
    <xf numFmtId="3" fontId="16" fillId="0" borderId="63" xfId="0" applyNumberFormat="1" applyFont="1" applyFill="1" applyBorder="1" applyAlignment="1">
      <alignment/>
    </xf>
    <xf numFmtId="166" fontId="16" fillId="0" borderId="51" xfId="0" applyNumberFormat="1" applyFont="1" applyFill="1" applyBorder="1" applyAlignment="1">
      <alignment/>
    </xf>
    <xf numFmtId="166" fontId="14" fillId="0" borderId="51" xfId="0" applyNumberFormat="1" applyFont="1" applyFill="1" applyBorder="1" applyAlignment="1">
      <alignment/>
    </xf>
    <xf numFmtId="166" fontId="14" fillId="0" borderId="40" xfId="0" applyNumberFormat="1" applyFont="1" applyFill="1" applyBorder="1" applyAlignment="1">
      <alignment/>
    </xf>
    <xf numFmtId="166" fontId="16" fillId="0" borderId="21" xfId="0" applyNumberFormat="1" applyFont="1" applyFill="1" applyBorder="1" applyAlignment="1">
      <alignment/>
    </xf>
    <xf numFmtId="0" fontId="40" fillId="0" borderId="64" xfId="0" applyFont="1" applyFill="1" applyBorder="1" applyAlignment="1">
      <alignment/>
    </xf>
    <xf numFmtId="0" fontId="16" fillId="0" borderId="36" xfId="0" applyFont="1" applyFill="1" applyBorder="1" applyAlignment="1">
      <alignment horizontal="center" wrapText="1"/>
    </xf>
    <xf numFmtId="166" fontId="15" fillId="0" borderId="20" xfId="0" applyNumberFormat="1" applyFont="1" applyFill="1" applyBorder="1" applyAlignment="1">
      <alignment/>
    </xf>
    <xf numFmtId="3" fontId="36" fillId="0" borderId="55" xfId="0" applyNumberFormat="1" applyFont="1" applyFill="1" applyBorder="1" applyAlignment="1">
      <alignment/>
    </xf>
    <xf numFmtId="3" fontId="36" fillId="0" borderId="65" xfId="0" applyNumberFormat="1" applyFont="1" applyFill="1" applyBorder="1" applyAlignment="1">
      <alignment/>
    </xf>
    <xf numFmtId="3" fontId="36" fillId="0" borderId="66" xfId="0" applyNumberFormat="1" applyFont="1" applyFill="1" applyBorder="1" applyAlignment="1">
      <alignment/>
    </xf>
    <xf numFmtId="3" fontId="36" fillId="0" borderId="57" xfId="0" applyNumberFormat="1" applyFont="1" applyFill="1" applyBorder="1" applyAlignment="1">
      <alignment/>
    </xf>
    <xf numFmtId="3" fontId="16" fillId="0" borderId="67" xfId="0" applyNumberFormat="1" applyFont="1" applyFill="1" applyBorder="1" applyAlignment="1">
      <alignment/>
    </xf>
    <xf numFmtId="0" fontId="16" fillId="0" borderId="49" xfId="0" applyFont="1" applyFill="1" applyBorder="1" applyAlignment="1">
      <alignment horizontal="center" wrapText="1"/>
    </xf>
    <xf numFmtId="0" fontId="10" fillId="0" borderId="68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/>
    </xf>
    <xf numFmtId="0" fontId="36" fillId="0" borderId="62" xfId="0" applyFont="1" applyFill="1" applyBorder="1" applyAlignment="1">
      <alignment horizontal="left" indent="2"/>
    </xf>
    <xf numFmtId="0" fontId="15" fillId="0" borderId="62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36" fillId="0" borderId="62" xfId="0" applyFont="1" applyFill="1" applyBorder="1" applyAlignment="1">
      <alignment/>
    </xf>
    <xf numFmtId="0" fontId="36" fillId="0" borderId="62" xfId="0" applyFont="1" applyFill="1" applyBorder="1" applyAlignment="1">
      <alignment horizontal="left" wrapText="1" indent="2"/>
    </xf>
    <xf numFmtId="0" fontId="16" fillId="0" borderId="68" xfId="0" applyFont="1" applyFill="1" applyBorder="1" applyAlignment="1">
      <alignment/>
    </xf>
    <xf numFmtId="0" fontId="15" fillId="0" borderId="61" xfId="0" applyFont="1" applyFill="1" applyBorder="1" applyAlignment="1">
      <alignment wrapText="1"/>
    </xf>
    <xf numFmtId="0" fontId="36" fillId="0" borderId="69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6" fillId="0" borderId="70" xfId="0" applyFont="1" applyFill="1" applyBorder="1" applyAlignment="1">
      <alignment wrapText="1"/>
    </xf>
    <xf numFmtId="3" fontId="14" fillId="0" borderId="43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0" borderId="49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/>
    </xf>
    <xf numFmtId="3" fontId="14" fillId="0" borderId="5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3" fontId="16" fillId="0" borderId="4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6" fillId="0" borderId="52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44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0" fontId="16" fillId="0" borderId="67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3" fontId="15" fillId="0" borderId="59" xfId="0" applyNumberFormat="1" applyFont="1" applyFill="1" applyBorder="1" applyAlignment="1">
      <alignment/>
    </xf>
    <xf numFmtId="3" fontId="15" fillId="0" borderId="55" xfId="0" applyNumberFormat="1" applyFont="1" applyFill="1" applyBorder="1" applyAlignment="1">
      <alignment/>
    </xf>
    <xf numFmtId="3" fontId="15" fillId="0" borderId="66" xfId="0" applyNumberFormat="1" applyFont="1" applyFill="1" applyBorder="1" applyAlignment="1">
      <alignment/>
    </xf>
    <xf numFmtId="3" fontId="15" fillId="0" borderId="65" xfId="0" applyNumberFormat="1" applyFont="1" applyFill="1" applyBorder="1" applyAlignment="1">
      <alignment/>
    </xf>
    <xf numFmtId="3" fontId="16" fillId="0" borderId="73" xfId="0" applyNumberFormat="1" applyFont="1" applyFill="1" applyBorder="1" applyAlignment="1">
      <alignment/>
    </xf>
    <xf numFmtId="3" fontId="15" fillId="0" borderId="57" xfId="0" applyNumberFormat="1" applyFont="1" applyFill="1" applyBorder="1" applyAlignment="1">
      <alignment/>
    </xf>
    <xf numFmtId="3" fontId="16" fillId="0" borderId="74" xfId="0" applyNumberFormat="1" applyFont="1" applyFill="1" applyBorder="1" applyAlignment="1">
      <alignment/>
    </xf>
    <xf numFmtId="3" fontId="15" fillId="0" borderId="67" xfId="0" applyNumberFormat="1" applyFont="1" applyFill="1" applyBorder="1" applyAlignment="1">
      <alignment/>
    </xf>
    <xf numFmtId="0" fontId="10" fillId="0" borderId="75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4" fillId="10" borderId="42" xfId="94" applyFont="1" applyFill="1" applyBorder="1" applyAlignment="1">
      <alignment horizontal="left" vertical="top"/>
      <protection/>
    </xf>
    <xf numFmtId="0" fontId="10" fillId="0" borderId="0" xfId="0" applyFont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13" fillId="0" borderId="0" xfId="93" applyFont="1" applyFill="1" applyBorder="1" applyAlignment="1">
      <alignment horizontal="left" wrapText="1"/>
      <protection/>
    </xf>
    <xf numFmtId="0" fontId="38" fillId="39" borderId="0" xfId="93" applyFont="1" applyFill="1" applyAlignment="1">
      <alignment horizontal="left"/>
      <protection/>
    </xf>
    <xf numFmtId="0" fontId="16" fillId="0" borderId="46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76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wrapText="1"/>
    </xf>
    <xf numFmtId="0" fontId="15" fillId="0" borderId="76" xfId="0" applyFont="1" applyFill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70" xfId="0" applyFont="1" applyFill="1" applyBorder="1" applyAlignment="1">
      <alignment horizontal="center" wrapText="1"/>
    </xf>
    <xf numFmtId="0" fontId="15" fillId="0" borderId="77" xfId="0" applyFont="1" applyFill="1" applyBorder="1" applyAlignment="1">
      <alignment horizontal="center" wrapText="1"/>
    </xf>
    <xf numFmtId="0" fontId="15" fillId="0" borderId="78" xfId="0" applyFont="1" applyFill="1" applyBorder="1" applyAlignment="1">
      <alignment horizontal="center" wrapText="1"/>
    </xf>
    <xf numFmtId="0" fontId="16" fillId="0" borderId="67" xfId="0" applyFont="1" applyFill="1" applyBorder="1" applyAlignment="1">
      <alignment horizontal="center" wrapText="1"/>
    </xf>
    <xf numFmtId="0" fontId="16" fillId="0" borderId="70" xfId="0" applyFont="1" applyFill="1" applyBorder="1" applyAlignment="1">
      <alignment horizontal="center" wrapText="1"/>
    </xf>
    <xf numFmtId="0" fontId="16" fillId="0" borderId="77" xfId="0" applyFont="1" applyFill="1" applyBorder="1" applyAlignment="1">
      <alignment horizontal="center" wrapText="1"/>
    </xf>
    <xf numFmtId="0" fontId="16" fillId="0" borderId="78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67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40" fillId="0" borderId="64" xfId="0" applyFont="1" applyFill="1" applyBorder="1" applyAlignment="1">
      <alignment horizontal="center" wrapText="1"/>
    </xf>
    <xf numFmtId="0" fontId="3" fillId="0" borderId="0" xfId="95" applyFont="1" applyFill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2.00390625" style="17" customWidth="1"/>
    <col min="2" max="2" width="12.25390625" style="17" customWidth="1"/>
    <col min="3" max="3" width="6.00390625" style="16" customWidth="1"/>
    <col min="4" max="4" width="37.125" style="16" customWidth="1"/>
    <col min="5" max="16384" width="9.125" style="16" customWidth="1"/>
  </cols>
  <sheetData>
    <row r="1" ht="18.75" customHeight="1"/>
    <row r="2" spans="1:8" ht="15.75">
      <c r="A2" s="355" t="s">
        <v>36</v>
      </c>
      <c r="B2" s="355"/>
      <c r="C2" s="355"/>
      <c r="D2" s="355"/>
      <c r="E2" s="355"/>
      <c r="F2" s="355"/>
      <c r="G2" s="22"/>
      <c r="H2" s="22"/>
    </row>
    <row r="3" spans="1:6" ht="12.75">
      <c r="A3" s="21"/>
      <c r="B3" s="21"/>
      <c r="C3" s="19"/>
      <c r="D3" s="19"/>
      <c r="E3" s="19"/>
      <c r="F3" s="19"/>
    </row>
    <row r="4" spans="1:6" ht="27.75" customHeight="1">
      <c r="A4" s="21"/>
      <c r="B4" s="21"/>
      <c r="C4" s="19"/>
      <c r="D4" s="19"/>
      <c r="E4" s="19"/>
      <c r="F4" s="19"/>
    </row>
    <row r="5" spans="1:6" ht="12.75">
      <c r="A5" s="23" t="s">
        <v>37</v>
      </c>
      <c r="B5" s="23"/>
      <c r="C5" s="19"/>
      <c r="D5" s="19"/>
      <c r="E5" s="19"/>
      <c r="F5" s="19"/>
    </row>
    <row r="6" spans="1:6" ht="12.75">
      <c r="A6" s="23"/>
      <c r="B6" s="23" t="s">
        <v>38</v>
      </c>
      <c r="C6" s="19"/>
      <c r="D6" s="19"/>
      <c r="E6" s="19"/>
      <c r="F6" s="19"/>
    </row>
    <row r="7" spans="1:6" ht="25.5" customHeight="1">
      <c r="A7" s="23"/>
      <c r="B7" s="23" t="s">
        <v>5</v>
      </c>
      <c r="C7" s="24"/>
      <c r="D7" s="25" t="s">
        <v>68</v>
      </c>
      <c r="E7" s="19"/>
      <c r="F7" s="19"/>
    </row>
    <row r="8" spans="1:6" ht="25.5" customHeight="1">
      <c r="A8" s="23"/>
      <c r="B8" s="23" t="s">
        <v>6</v>
      </c>
      <c r="C8" s="24"/>
      <c r="D8" s="33" t="s">
        <v>39</v>
      </c>
      <c r="E8" s="19"/>
      <c r="F8" s="19"/>
    </row>
    <row r="9" spans="1:6" ht="25.5" customHeight="1">
      <c r="A9" s="23"/>
      <c r="B9" s="23" t="s">
        <v>7</v>
      </c>
      <c r="C9" s="24"/>
      <c r="D9" s="17" t="s">
        <v>89</v>
      </c>
      <c r="E9" s="19"/>
      <c r="F9" s="19"/>
    </row>
    <row r="10" spans="1:6" ht="25.5" customHeight="1">
      <c r="A10" s="23"/>
      <c r="B10" s="23" t="s">
        <v>8</v>
      </c>
      <c r="C10" s="24"/>
      <c r="D10" s="33" t="s">
        <v>48</v>
      </c>
      <c r="E10" s="19"/>
      <c r="F10" s="19"/>
    </row>
    <row r="11" spans="1:6" ht="25.5" customHeight="1">
      <c r="A11" s="23"/>
      <c r="B11" s="23" t="s">
        <v>9</v>
      </c>
      <c r="C11" s="24"/>
      <c r="D11" s="33" t="s">
        <v>41</v>
      </c>
      <c r="E11" s="19"/>
      <c r="F11" s="19"/>
    </row>
    <row r="12" spans="1:6" ht="25.5" customHeight="1">
      <c r="A12" s="23" t="s">
        <v>1</v>
      </c>
      <c r="B12" s="21"/>
      <c r="C12" s="19"/>
      <c r="D12" s="25" t="s">
        <v>42</v>
      </c>
      <c r="E12" s="19"/>
      <c r="F12" s="19"/>
    </row>
    <row r="13" spans="1:6" ht="12.75">
      <c r="A13" s="21"/>
      <c r="B13" s="21"/>
      <c r="C13" s="19"/>
      <c r="D13" s="19"/>
      <c r="E13" s="19"/>
      <c r="F13" s="19"/>
    </row>
    <row r="14" spans="1:6" ht="12.75">
      <c r="A14" s="21"/>
      <c r="B14" s="21"/>
      <c r="C14" s="19"/>
      <c r="D14" s="19"/>
      <c r="E14" s="19"/>
      <c r="F14" s="19"/>
    </row>
    <row r="15" spans="1:6" ht="12.75">
      <c r="A15" s="21"/>
      <c r="B15" s="21"/>
      <c r="C15" s="19"/>
      <c r="D15" s="19"/>
      <c r="E15" s="19"/>
      <c r="F15" s="19"/>
    </row>
    <row r="16" spans="1:6" ht="12.75">
      <c r="A16" s="21"/>
      <c r="B16" s="21"/>
      <c r="C16" s="19"/>
      <c r="D16" s="19"/>
      <c r="E16" s="19"/>
      <c r="F16" s="19"/>
    </row>
    <row r="17" spans="1:6" ht="12.75">
      <c r="A17" s="21"/>
      <c r="B17" s="21"/>
      <c r="C17" s="19"/>
      <c r="D17" s="19"/>
      <c r="E17" s="19"/>
      <c r="F17" s="19"/>
    </row>
    <row r="18" spans="1:6" ht="12.75">
      <c r="A18" s="21"/>
      <c r="B18" s="21"/>
      <c r="C18" s="19"/>
      <c r="D18" s="19"/>
      <c r="E18" s="19"/>
      <c r="F18" s="19"/>
    </row>
    <row r="19" spans="1:6" ht="12.75">
      <c r="A19" s="21"/>
      <c r="B19" s="21"/>
      <c r="C19" s="19"/>
      <c r="D19" s="19"/>
      <c r="E19" s="19"/>
      <c r="F19" s="19"/>
    </row>
    <row r="20" spans="1:6" ht="12.75">
      <c r="A20" s="21"/>
      <c r="B20" s="21"/>
      <c r="C20" s="19"/>
      <c r="D20" s="19"/>
      <c r="E20" s="19"/>
      <c r="F20" s="19"/>
    </row>
    <row r="21" spans="1:6" ht="12.75">
      <c r="A21" s="21"/>
      <c r="B21" s="21"/>
      <c r="C21" s="19"/>
      <c r="D21" s="19"/>
      <c r="E21" s="19"/>
      <c r="F21" s="19"/>
    </row>
    <row r="22" spans="1:6" ht="12.75">
      <c r="A22" s="21"/>
      <c r="B22" s="21"/>
      <c r="C22" s="19"/>
      <c r="D22" s="19"/>
      <c r="E22" s="19"/>
      <c r="F22" s="19"/>
    </row>
    <row r="23" spans="1:6" ht="12.75">
      <c r="A23" s="21"/>
      <c r="B23" s="21"/>
      <c r="C23" s="19"/>
      <c r="D23" s="19"/>
      <c r="E23" s="19"/>
      <c r="F23" s="19"/>
    </row>
    <row r="24" spans="1:6" ht="12.75">
      <c r="A24" s="21"/>
      <c r="B24" s="21"/>
      <c r="C24" s="19"/>
      <c r="D24" s="19"/>
      <c r="E24" s="19"/>
      <c r="F24" s="19"/>
    </row>
    <row r="25" spans="1:6" ht="12.75">
      <c r="A25" s="21"/>
      <c r="B25" s="21"/>
      <c r="C25" s="19"/>
      <c r="D25" s="19"/>
      <c r="E25" s="19"/>
      <c r="F25" s="19"/>
    </row>
    <row r="26" spans="1:6" ht="12.75">
      <c r="A26" s="21"/>
      <c r="B26" s="21"/>
      <c r="C26" s="19"/>
      <c r="D26" s="19"/>
      <c r="E26" s="19"/>
      <c r="F26" s="19"/>
    </row>
    <row r="27" spans="1:6" ht="12.75">
      <c r="A27" s="21"/>
      <c r="B27" s="21"/>
      <c r="C27" s="19"/>
      <c r="D27" s="19"/>
      <c r="E27" s="19"/>
      <c r="F27" s="19"/>
    </row>
    <row r="28" spans="1:6" ht="12.75">
      <c r="A28" s="21"/>
      <c r="B28" s="21"/>
      <c r="C28" s="19"/>
      <c r="D28" s="19"/>
      <c r="E28" s="19"/>
      <c r="F28" s="19"/>
    </row>
    <row r="29" spans="1:6" ht="12.75">
      <c r="A29" s="21"/>
      <c r="B29" s="21"/>
      <c r="C29" s="19"/>
      <c r="D29" s="19"/>
      <c r="E29" s="19"/>
      <c r="F29" s="19"/>
    </row>
    <row r="30" spans="1:6" ht="12.75">
      <c r="A30" s="21"/>
      <c r="B30" s="21"/>
      <c r="C30" s="19"/>
      <c r="D30" s="19"/>
      <c r="E30" s="19"/>
      <c r="F30" s="19"/>
    </row>
    <row r="31" spans="1:6" ht="12.75">
      <c r="A31" s="21"/>
      <c r="B31" s="21"/>
      <c r="C31" s="19"/>
      <c r="D31" s="19"/>
      <c r="E31" s="19"/>
      <c r="F31" s="19"/>
    </row>
    <row r="32" spans="1:6" ht="12.75">
      <c r="A32" s="21"/>
      <c r="B32" s="21"/>
      <c r="C32" s="19"/>
      <c r="D32" s="19"/>
      <c r="E32" s="19"/>
      <c r="F32" s="19"/>
    </row>
    <row r="33" spans="1:6" ht="12.75">
      <c r="A33" s="21"/>
      <c r="B33" s="21"/>
      <c r="C33" s="19"/>
      <c r="D33" s="19"/>
      <c r="E33" s="19"/>
      <c r="F33" s="19"/>
    </row>
    <row r="34" spans="1:6" ht="12.75">
      <c r="A34" s="21"/>
      <c r="B34" s="21"/>
      <c r="C34" s="19"/>
      <c r="D34" s="19"/>
      <c r="E34" s="19"/>
      <c r="F34" s="19"/>
    </row>
    <row r="35" spans="1:6" ht="12.75">
      <c r="A35" s="21"/>
      <c r="B35" s="21"/>
      <c r="C35" s="19"/>
      <c r="D35" s="19"/>
      <c r="E35" s="19"/>
      <c r="F35" s="19"/>
    </row>
    <row r="36" spans="1:6" ht="12.75">
      <c r="A36" s="21"/>
      <c r="B36" s="21"/>
      <c r="C36" s="19"/>
      <c r="D36" s="19"/>
      <c r="E36" s="19"/>
      <c r="F36" s="19"/>
    </row>
    <row r="37" spans="1:6" ht="12.75">
      <c r="A37" s="21"/>
      <c r="B37" s="21"/>
      <c r="C37" s="19"/>
      <c r="D37" s="19"/>
      <c r="E37" s="19"/>
      <c r="F37" s="19"/>
    </row>
    <row r="38" spans="1:6" ht="12.75">
      <c r="A38" s="21"/>
      <c r="B38" s="21"/>
      <c r="C38" s="19"/>
      <c r="D38" s="19"/>
      <c r="E38" s="19"/>
      <c r="F38" s="19"/>
    </row>
    <row r="39" spans="1:6" ht="12.75">
      <c r="A39" s="21"/>
      <c r="B39" s="21"/>
      <c r="C39" s="19"/>
      <c r="D39" s="19"/>
      <c r="E39" s="19"/>
      <c r="F39" s="19"/>
    </row>
    <row r="40" spans="1:6" ht="12.75">
      <c r="A40" s="21"/>
      <c r="B40" s="21"/>
      <c r="C40" s="19"/>
      <c r="D40" s="19"/>
      <c r="E40" s="19"/>
      <c r="F40" s="19"/>
    </row>
    <row r="41" spans="1:6" ht="12.75">
      <c r="A41" s="21"/>
      <c r="B41" s="21"/>
      <c r="C41" s="19"/>
      <c r="D41" s="19"/>
      <c r="E41" s="19"/>
      <c r="F41" s="19"/>
    </row>
    <row r="42" spans="1:6" ht="12.75">
      <c r="A42" s="21"/>
      <c r="B42" s="21"/>
      <c r="C42" s="19"/>
      <c r="D42" s="19"/>
      <c r="E42" s="19"/>
      <c r="F42" s="19"/>
    </row>
    <row r="43" spans="1:6" ht="12.75">
      <c r="A43" s="21"/>
      <c r="B43" s="21"/>
      <c r="C43" s="19"/>
      <c r="D43" s="19"/>
      <c r="E43" s="19"/>
      <c r="F43" s="19"/>
    </row>
    <row r="44" spans="1:6" ht="12.75">
      <c r="A44" s="21"/>
      <c r="B44" s="21"/>
      <c r="C44" s="19"/>
      <c r="D44" s="19"/>
      <c r="E44" s="19"/>
      <c r="F44" s="19"/>
    </row>
    <row r="45" spans="1:6" ht="12.75">
      <c r="A45" s="21"/>
      <c r="B45" s="21"/>
      <c r="C45" s="19"/>
      <c r="D45" s="19"/>
      <c r="E45" s="19"/>
      <c r="F45" s="19"/>
    </row>
    <row r="46" spans="1:6" ht="12.75">
      <c r="A46" s="21"/>
      <c r="B46" s="21"/>
      <c r="C46" s="19"/>
      <c r="D46" s="19"/>
      <c r="E46" s="19"/>
      <c r="F46" s="19"/>
    </row>
    <row r="47" spans="1:6" ht="12.75">
      <c r="A47" s="21"/>
      <c r="B47" s="21"/>
      <c r="C47" s="19"/>
      <c r="D47" s="19"/>
      <c r="E47" s="19"/>
      <c r="F47" s="19"/>
    </row>
    <row r="48" spans="1:6" ht="12.75">
      <c r="A48" s="21"/>
      <c r="B48" s="21"/>
      <c r="C48" s="19"/>
      <c r="D48" s="19"/>
      <c r="E48" s="19"/>
      <c r="F48" s="19"/>
    </row>
    <row r="49" spans="1:6" ht="12.75">
      <c r="A49" s="21"/>
      <c r="B49" s="21"/>
      <c r="C49" s="19"/>
      <c r="D49" s="19"/>
      <c r="E49" s="19"/>
      <c r="F49" s="19"/>
    </row>
    <row r="50" spans="1:6" ht="12.75">
      <c r="A50" s="21"/>
      <c r="B50" s="21"/>
      <c r="C50" s="19"/>
      <c r="D50" s="19"/>
      <c r="E50" s="19"/>
      <c r="F50" s="19"/>
    </row>
    <row r="51" spans="1:6" ht="12.75">
      <c r="A51" s="21"/>
      <c r="B51" s="21"/>
      <c r="C51" s="19"/>
      <c r="D51" s="19"/>
      <c r="E51" s="19"/>
      <c r="F51" s="19"/>
    </row>
    <row r="52" spans="1:6" ht="12.75">
      <c r="A52" s="21"/>
      <c r="B52" s="21"/>
      <c r="C52" s="19"/>
      <c r="D52" s="19"/>
      <c r="E52" s="19"/>
      <c r="F52" s="19"/>
    </row>
    <row r="53" spans="1:6" ht="12.75">
      <c r="A53" s="21"/>
      <c r="B53" s="21"/>
      <c r="C53" s="19"/>
      <c r="D53" s="19"/>
      <c r="E53" s="19"/>
      <c r="F53" s="19"/>
    </row>
    <row r="54" spans="1:6" ht="12.75">
      <c r="A54" s="21"/>
      <c r="B54" s="21"/>
      <c r="C54" s="19"/>
      <c r="D54" s="19"/>
      <c r="E54" s="19"/>
      <c r="F54" s="19"/>
    </row>
    <row r="55" spans="1:6" ht="12.75">
      <c r="A55" s="21"/>
      <c r="B55" s="21"/>
      <c r="C55" s="19"/>
      <c r="D55" s="19"/>
      <c r="E55" s="19"/>
      <c r="F55" s="19"/>
    </row>
    <row r="56" spans="1:6" ht="12.75">
      <c r="A56" s="21"/>
      <c r="B56" s="21"/>
      <c r="C56" s="19"/>
      <c r="D56" s="19"/>
      <c r="E56" s="19"/>
      <c r="F56" s="19"/>
    </row>
    <row r="57" spans="1:6" ht="12.75">
      <c r="A57" s="21"/>
      <c r="B57" s="21"/>
      <c r="C57" s="19"/>
      <c r="D57" s="19"/>
      <c r="E57" s="19"/>
      <c r="F57" s="19"/>
    </row>
    <row r="58" spans="1:6" ht="12.75">
      <c r="A58" s="21"/>
      <c r="B58" s="21"/>
      <c r="C58" s="19"/>
      <c r="D58" s="19"/>
      <c r="E58" s="19"/>
      <c r="F58" s="19"/>
    </row>
    <row r="59" spans="1:6" ht="12.75">
      <c r="A59" s="21"/>
      <c r="B59" s="21"/>
      <c r="C59" s="19"/>
      <c r="D59" s="19"/>
      <c r="E59" s="19"/>
      <c r="F59" s="19"/>
    </row>
    <row r="60" spans="1:6" ht="12.75">
      <c r="A60" s="21"/>
      <c r="B60" s="21"/>
      <c r="C60" s="19"/>
      <c r="D60" s="19"/>
      <c r="E60" s="19"/>
      <c r="F60" s="19"/>
    </row>
    <row r="61" spans="1:6" ht="12.75">
      <c r="A61" s="21"/>
      <c r="B61" s="21"/>
      <c r="C61" s="19"/>
      <c r="D61" s="19"/>
      <c r="E61" s="19"/>
      <c r="F61" s="19"/>
    </row>
    <row r="62" spans="1:6" ht="12.75">
      <c r="A62" s="21"/>
      <c r="B62" s="21"/>
      <c r="C62" s="19"/>
      <c r="D62" s="19"/>
      <c r="E62" s="19"/>
      <c r="F62" s="19"/>
    </row>
    <row r="63" spans="1:6" ht="12.75">
      <c r="A63" s="21"/>
      <c r="B63" s="21"/>
      <c r="C63" s="19"/>
      <c r="D63" s="19"/>
      <c r="E63" s="19"/>
      <c r="F63" s="19"/>
    </row>
    <row r="64" spans="1:6" ht="12.75">
      <c r="A64" s="21"/>
      <c r="B64" s="21"/>
      <c r="C64" s="19"/>
      <c r="D64" s="19"/>
      <c r="E64" s="19"/>
      <c r="F64" s="19"/>
    </row>
    <row r="65" spans="1:6" ht="12.75">
      <c r="A65" s="21"/>
      <c r="B65" s="21"/>
      <c r="C65" s="19"/>
      <c r="D65" s="19"/>
      <c r="E65" s="19"/>
      <c r="F65" s="19"/>
    </row>
    <row r="66" spans="1:6" ht="12.75">
      <c r="A66" s="21"/>
      <c r="B66" s="21"/>
      <c r="C66" s="19"/>
      <c r="D66" s="19"/>
      <c r="E66" s="19"/>
      <c r="F66" s="19"/>
    </row>
    <row r="67" spans="1:6" ht="12.75">
      <c r="A67" s="21"/>
      <c r="B67" s="21"/>
      <c r="C67" s="19"/>
      <c r="D67" s="19"/>
      <c r="E67" s="19"/>
      <c r="F67" s="19"/>
    </row>
    <row r="68" spans="1:6" ht="12.75">
      <c r="A68" s="21"/>
      <c r="B68" s="21"/>
      <c r="C68" s="19"/>
      <c r="D68" s="19"/>
      <c r="E68" s="19"/>
      <c r="F68" s="19"/>
    </row>
    <row r="69" spans="1:6" ht="12.75">
      <c r="A69" s="21"/>
      <c r="B69" s="21"/>
      <c r="C69" s="19"/>
      <c r="D69" s="19"/>
      <c r="E69" s="19"/>
      <c r="F69" s="19"/>
    </row>
    <row r="70" spans="1:6" ht="12.75">
      <c r="A70" s="21"/>
      <c r="B70" s="21"/>
      <c r="C70" s="19"/>
      <c r="D70" s="19"/>
      <c r="E70" s="19"/>
      <c r="F70" s="19"/>
    </row>
    <row r="71" spans="1:6" ht="12.75">
      <c r="A71" s="21"/>
      <c r="B71" s="21"/>
      <c r="C71" s="19"/>
      <c r="D71" s="19"/>
      <c r="E71" s="19"/>
      <c r="F71" s="19"/>
    </row>
    <row r="72" spans="1:6" ht="12.75">
      <c r="A72" s="21"/>
      <c r="B72" s="21"/>
      <c r="C72" s="19"/>
      <c r="D72" s="19"/>
      <c r="E72" s="19"/>
      <c r="F72" s="19"/>
    </row>
    <row r="73" spans="1:6" ht="12.75">
      <c r="A73" s="21"/>
      <c r="B73" s="21"/>
      <c r="C73" s="19"/>
      <c r="D73" s="19"/>
      <c r="E73" s="19"/>
      <c r="F73" s="19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0.125" style="10" customWidth="1"/>
    <col min="2" max="2" width="11.75390625" style="10" customWidth="1"/>
    <col min="3" max="3" width="11.625" style="10" customWidth="1"/>
    <col min="4" max="4" width="11.25390625" style="10" customWidth="1"/>
    <col min="5" max="5" width="8.125" style="10" customWidth="1"/>
    <col min="6" max="6" width="1.00390625" style="10" hidden="1" customWidth="1"/>
    <col min="7" max="16384" width="9.125" style="10" customWidth="1"/>
  </cols>
  <sheetData>
    <row r="1" ht="15.75">
      <c r="A1" s="104" t="s">
        <v>308</v>
      </c>
    </row>
    <row r="2" ht="15.75">
      <c r="A2" s="104" t="s">
        <v>208</v>
      </c>
    </row>
    <row r="3" spans="1:5" ht="15.75">
      <c r="A3" s="357" t="s">
        <v>27</v>
      </c>
      <c r="B3" s="357"/>
      <c r="C3" s="357"/>
      <c r="D3" s="357"/>
      <c r="E3" s="357"/>
    </row>
    <row r="4" spans="1:5" ht="15.75">
      <c r="A4" s="357" t="s">
        <v>179</v>
      </c>
      <c r="B4" s="357"/>
      <c r="C4" s="357"/>
      <c r="D4" s="357"/>
      <c r="E4" s="357"/>
    </row>
    <row r="5" spans="1:5" s="18" customFormat="1" ht="21" customHeight="1" thickBot="1">
      <c r="A5" s="356" t="s">
        <v>28</v>
      </c>
      <c r="B5" s="356"/>
      <c r="C5" s="356"/>
      <c r="D5" s="356"/>
      <c r="E5" s="356"/>
    </row>
    <row r="6" spans="1:5" s="18" customFormat="1" ht="42" customHeight="1" thickBot="1">
      <c r="A6" s="79" t="s">
        <v>29</v>
      </c>
      <c r="B6" s="75" t="s">
        <v>180</v>
      </c>
      <c r="C6" s="197" t="s">
        <v>272</v>
      </c>
      <c r="D6" s="197" t="s">
        <v>290</v>
      </c>
      <c r="E6" s="197" t="s">
        <v>209</v>
      </c>
    </row>
    <row r="7" spans="1:6" s="18" customFormat="1" ht="12.75">
      <c r="A7" s="71" t="s">
        <v>139</v>
      </c>
      <c r="B7" s="78">
        <f>B8+B9</f>
        <v>881718</v>
      </c>
      <c r="C7" s="198">
        <v>925264</v>
      </c>
      <c r="D7" s="198">
        <f>D8+D9</f>
        <v>938266</v>
      </c>
      <c r="E7" s="198">
        <f aca="true" t="shared" si="0" ref="E7:E12">D7-C7</f>
        <v>13002</v>
      </c>
      <c r="F7" s="27"/>
    </row>
    <row r="8" spans="1:5" s="18" customFormat="1" ht="12.75">
      <c r="A8" s="102" t="s">
        <v>137</v>
      </c>
      <c r="B8" s="91">
        <v>852498</v>
      </c>
      <c r="C8" s="199">
        <v>872682</v>
      </c>
      <c r="D8" s="199">
        <v>879759</v>
      </c>
      <c r="E8" s="199">
        <f t="shared" si="0"/>
        <v>7077</v>
      </c>
    </row>
    <row r="9" spans="1:5" s="18" customFormat="1" ht="12.75">
      <c r="A9" s="102" t="s">
        <v>144</v>
      </c>
      <c r="B9" s="91">
        <v>29220</v>
      </c>
      <c r="C9" s="199">
        <v>52582</v>
      </c>
      <c r="D9" s="199">
        <v>58507</v>
      </c>
      <c r="E9" s="199">
        <f t="shared" si="0"/>
        <v>5925</v>
      </c>
    </row>
    <row r="10" spans="1:5" s="18" customFormat="1" ht="12.75">
      <c r="A10" s="80" t="s">
        <v>91</v>
      </c>
      <c r="B10" s="29">
        <v>424107</v>
      </c>
      <c r="C10" s="200">
        <v>424107</v>
      </c>
      <c r="D10" s="200">
        <v>442615</v>
      </c>
      <c r="E10" s="200">
        <f t="shared" si="0"/>
        <v>18508</v>
      </c>
    </row>
    <row r="11" spans="1:5" s="18" customFormat="1" ht="12.75">
      <c r="A11" s="80" t="s">
        <v>92</v>
      </c>
      <c r="B11" s="29">
        <v>118336</v>
      </c>
      <c r="C11" s="200">
        <v>146060</v>
      </c>
      <c r="D11" s="200">
        <v>181246</v>
      </c>
      <c r="E11" s="200">
        <f t="shared" si="0"/>
        <v>35186</v>
      </c>
    </row>
    <row r="12" spans="1:5" s="18" customFormat="1" ht="13.5" thickBot="1">
      <c r="A12" s="83" t="s">
        <v>94</v>
      </c>
      <c r="B12" s="82">
        <v>533</v>
      </c>
      <c r="C12" s="201">
        <v>5895</v>
      </c>
      <c r="D12" s="201">
        <v>18066</v>
      </c>
      <c r="E12" s="201">
        <f t="shared" si="0"/>
        <v>12171</v>
      </c>
    </row>
    <row r="13" spans="1:5" s="20" customFormat="1" ht="13.5" thickBot="1">
      <c r="A13" s="85" t="s">
        <v>127</v>
      </c>
      <c r="B13" s="31">
        <f>B7+B10+B11+B12</f>
        <v>1424694</v>
      </c>
      <c r="C13" s="202">
        <v>1501326</v>
      </c>
      <c r="D13" s="202">
        <f>D7+D10+D11+D12</f>
        <v>1580193</v>
      </c>
      <c r="E13" s="202">
        <f>E7+E10+E11+E12</f>
        <v>78867</v>
      </c>
    </row>
    <row r="14" spans="1:5" s="18" customFormat="1" ht="12.75">
      <c r="A14" s="71" t="s">
        <v>110</v>
      </c>
      <c r="B14" s="28">
        <v>100000</v>
      </c>
      <c r="C14" s="203">
        <v>106228</v>
      </c>
      <c r="D14" s="203">
        <v>135534</v>
      </c>
      <c r="E14" s="203">
        <f aca="true" t="shared" si="1" ref="E14:E19">D14-C14</f>
        <v>29306</v>
      </c>
    </row>
    <row r="15" spans="1:5" s="18" customFormat="1" ht="12.75">
      <c r="A15" s="90" t="s">
        <v>125</v>
      </c>
      <c r="B15" s="97">
        <v>100000</v>
      </c>
      <c r="C15" s="204">
        <v>106228</v>
      </c>
      <c r="D15" s="204">
        <v>115259</v>
      </c>
      <c r="E15" s="204">
        <f t="shared" si="1"/>
        <v>9031</v>
      </c>
    </row>
    <row r="16" spans="1:5" s="18" customFormat="1" ht="12.75">
      <c r="A16" s="80" t="s">
        <v>93</v>
      </c>
      <c r="B16" s="29">
        <v>76415</v>
      </c>
      <c r="C16" s="200">
        <v>56415</v>
      </c>
      <c r="D16" s="200">
        <v>36496</v>
      </c>
      <c r="E16" s="200">
        <f t="shared" si="1"/>
        <v>-19919</v>
      </c>
    </row>
    <row r="17" spans="1:5" s="18" customFormat="1" ht="12.75">
      <c r="A17" s="80" t="s">
        <v>74</v>
      </c>
      <c r="B17" s="29">
        <f>SUM(B18:B19)</f>
        <v>26964</v>
      </c>
      <c r="C17" s="200">
        <v>26250</v>
      </c>
      <c r="D17" s="200">
        <f>SUM(D18:D19)</f>
        <v>17980</v>
      </c>
      <c r="E17" s="200">
        <f t="shared" si="1"/>
        <v>-8270</v>
      </c>
    </row>
    <row r="18" spans="1:5" s="18" customFormat="1" ht="12.75">
      <c r="A18" s="101" t="s">
        <v>229</v>
      </c>
      <c r="B18" s="91">
        <v>14530</v>
      </c>
      <c r="C18" s="199">
        <v>15166</v>
      </c>
      <c r="D18" s="199">
        <v>16960</v>
      </c>
      <c r="E18" s="199">
        <f t="shared" si="1"/>
        <v>1794</v>
      </c>
    </row>
    <row r="19" spans="1:5" s="18" customFormat="1" ht="13.5" thickBot="1">
      <c r="A19" s="101" t="s">
        <v>138</v>
      </c>
      <c r="B19" s="96">
        <v>12434</v>
      </c>
      <c r="C19" s="205">
        <v>11084</v>
      </c>
      <c r="D19" s="205">
        <v>1020</v>
      </c>
      <c r="E19" s="205">
        <f t="shared" si="1"/>
        <v>-10064</v>
      </c>
    </row>
    <row r="20" spans="1:5" s="20" customFormat="1" ht="14.25" customHeight="1" thickBot="1">
      <c r="A20" s="85" t="s">
        <v>128</v>
      </c>
      <c r="B20" s="31">
        <f>B17+B16+B14</f>
        <v>203379</v>
      </c>
      <c r="C20" s="202">
        <v>188893</v>
      </c>
      <c r="D20" s="202">
        <f>D17+D16+D14</f>
        <v>190010</v>
      </c>
      <c r="E20" s="202">
        <f>E17+E16+E14</f>
        <v>1117</v>
      </c>
    </row>
    <row r="21" spans="1:5" s="20" customFormat="1" ht="15.75" customHeight="1" thickBot="1">
      <c r="A21" s="87" t="s">
        <v>126</v>
      </c>
      <c r="B21" s="86">
        <f>B20+B13</f>
        <v>1628073</v>
      </c>
      <c r="C21" s="206">
        <v>1690219</v>
      </c>
      <c r="D21" s="206">
        <f>D20+D13</f>
        <v>1770203</v>
      </c>
      <c r="E21" s="206">
        <f>E20+E13</f>
        <v>79984</v>
      </c>
    </row>
    <row r="22" spans="1:5" s="18" customFormat="1" ht="12.75">
      <c r="A22" s="88" t="s">
        <v>90</v>
      </c>
      <c r="B22" s="78">
        <f>SUM(B23:B24)</f>
        <v>163814</v>
      </c>
      <c r="C22" s="198">
        <v>195900</v>
      </c>
      <c r="D22" s="198">
        <f>SUM(D23:D24)</f>
        <v>195900</v>
      </c>
      <c r="E22" s="198">
        <f>D22-C22</f>
        <v>0</v>
      </c>
    </row>
    <row r="23" spans="1:5" s="18" customFormat="1" ht="12.75">
      <c r="A23" s="90" t="s">
        <v>129</v>
      </c>
      <c r="B23" s="91">
        <v>133664</v>
      </c>
      <c r="C23" s="199">
        <v>165750</v>
      </c>
      <c r="D23" s="199">
        <v>165750</v>
      </c>
      <c r="E23" s="199">
        <f>D23-C23</f>
        <v>0</v>
      </c>
    </row>
    <row r="24" spans="1:5" s="18" customFormat="1" ht="13.5" thickBot="1">
      <c r="A24" s="94" t="s">
        <v>130</v>
      </c>
      <c r="B24" s="92">
        <v>30150</v>
      </c>
      <c r="C24" s="208">
        <v>30150</v>
      </c>
      <c r="D24" s="208">
        <v>30150</v>
      </c>
      <c r="E24" s="208">
        <f>D24-C24</f>
        <v>0</v>
      </c>
    </row>
    <row r="25" spans="1:5" s="20" customFormat="1" ht="15.75" customHeight="1" thickBot="1">
      <c r="A25" s="85" t="s">
        <v>131</v>
      </c>
      <c r="B25" s="31">
        <f>SUM(B22)</f>
        <v>163814</v>
      </c>
      <c r="C25" s="202">
        <v>195900</v>
      </c>
      <c r="D25" s="202">
        <f>SUM(D22)</f>
        <v>195900</v>
      </c>
      <c r="E25" s="202">
        <f>SUM(E22)</f>
        <v>0</v>
      </c>
    </row>
    <row r="26" spans="1:5" s="20" customFormat="1" ht="15.75" customHeight="1" thickBot="1">
      <c r="A26" s="81" t="s">
        <v>30</v>
      </c>
      <c r="B26" s="32">
        <f>B13+B20+B22</f>
        <v>1791887</v>
      </c>
      <c r="C26" s="209">
        <v>1886119</v>
      </c>
      <c r="D26" s="209">
        <f>D13+D20+D22</f>
        <v>1966103</v>
      </c>
      <c r="E26" s="209">
        <f>E13+E20+E22</f>
        <v>79984</v>
      </c>
    </row>
    <row r="27" s="18" customFormat="1" ht="12.75"/>
    <row r="28" spans="1:5" s="18" customFormat="1" ht="13.5" thickBot="1">
      <c r="A28" s="356" t="s">
        <v>31</v>
      </c>
      <c r="B28" s="356"/>
      <c r="C28" s="356"/>
      <c r="D28" s="356"/>
      <c r="E28" s="356"/>
    </row>
    <row r="29" spans="1:5" s="18" customFormat="1" ht="40.5" customHeight="1" thickBot="1">
      <c r="A29" s="74" t="s">
        <v>29</v>
      </c>
      <c r="B29" s="297" t="s">
        <v>180</v>
      </c>
      <c r="C29" s="297" t="s">
        <v>272</v>
      </c>
      <c r="D29" s="297" t="s">
        <v>290</v>
      </c>
      <c r="E29" s="297" t="s">
        <v>209</v>
      </c>
    </row>
    <row r="30" spans="1:5" s="18" customFormat="1" ht="12.75">
      <c r="A30" s="71" t="s">
        <v>32</v>
      </c>
      <c r="B30" s="28">
        <v>286728</v>
      </c>
      <c r="C30" s="28">
        <v>295585</v>
      </c>
      <c r="D30" s="28">
        <v>300176</v>
      </c>
      <c r="E30" s="28">
        <f aca="true" t="shared" si="2" ref="E30:E38">D30-C30</f>
        <v>4591</v>
      </c>
    </row>
    <row r="31" spans="1:5" s="18" customFormat="1" ht="12.75">
      <c r="A31" s="80" t="s">
        <v>33</v>
      </c>
      <c r="B31" s="29">
        <v>83086</v>
      </c>
      <c r="C31" s="29">
        <v>84877</v>
      </c>
      <c r="D31" s="29">
        <v>86139</v>
      </c>
      <c r="E31" s="29">
        <f t="shared" si="2"/>
        <v>1262</v>
      </c>
    </row>
    <row r="32" spans="1:5" s="18" customFormat="1" ht="12.75">
      <c r="A32" s="80" t="s">
        <v>17</v>
      </c>
      <c r="B32" s="29">
        <v>488875</v>
      </c>
      <c r="C32" s="29">
        <v>549993</v>
      </c>
      <c r="D32" s="29">
        <v>578362</v>
      </c>
      <c r="E32" s="29">
        <f t="shared" si="2"/>
        <v>28369</v>
      </c>
    </row>
    <row r="33" spans="1:5" s="18" customFormat="1" ht="12.75">
      <c r="A33" s="80" t="s">
        <v>34</v>
      </c>
      <c r="B33" s="29">
        <v>25800</v>
      </c>
      <c r="C33" s="29">
        <v>25800</v>
      </c>
      <c r="D33" s="29">
        <v>24962</v>
      </c>
      <c r="E33" s="29">
        <f t="shared" si="2"/>
        <v>-838</v>
      </c>
    </row>
    <row r="34" spans="1:6" s="18" customFormat="1" ht="12.75">
      <c r="A34" s="80" t="s">
        <v>140</v>
      </c>
      <c r="B34" s="29">
        <f>SUM(B35:B38)</f>
        <v>644391</v>
      </c>
      <c r="C34" s="29">
        <v>657494</v>
      </c>
      <c r="D34" s="29">
        <f>SUM(D35:D38)</f>
        <v>659993</v>
      </c>
      <c r="E34" s="29">
        <f t="shared" si="2"/>
        <v>2499</v>
      </c>
      <c r="F34" s="35"/>
    </row>
    <row r="35" spans="1:6" s="18" customFormat="1" ht="12.75">
      <c r="A35" s="90" t="s">
        <v>132</v>
      </c>
      <c r="B35" s="91">
        <v>113976</v>
      </c>
      <c r="C35" s="91">
        <v>115684</v>
      </c>
      <c r="D35" s="91">
        <v>115723</v>
      </c>
      <c r="E35" s="91">
        <f t="shared" si="2"/>
        <v>39</v>
      </c>
      <c r="F35" s="35"/>
    </row>
    <row r="36" spans="1:6" s="18" customFormat="1" ht="12.75">
      <c r="A36" s="90" t="s">
        <v>145</v>
      </c>
      <c r="B36" s="91">
        <v>474071</v>
      </c>
      <c r="C36" s="91">
        <v>496519</v>
      </c>
      <c r="D36" s="91">
        <v>506807</v>
      </c>
      <c r="E36" s="91">
        <f t="shared" si="2"/>
        <v>10288</v>
      </c>
      <c r="F36" s="35"/>
    </row>
    <row r="37" spans="1:5" s="18" customFormat="1" ht="12.75">
      <c r="A37" s="90" t="s">
        <v>146</v>
      </c>
      <c r="B37" s="91">
        <v>32653</v>
      </c>
      <c r="C37" s="91">
        <v>33649</v>
      </c>
      <c r="D37" s="91">
        <v>33783</v>
      </c>
      <c r="E37" s="91">
        <f t="shared" si="2"/>
        <v>134</v>
      </c>
    </row>
    <row r="38" spans="1:5" s="18" customFormat="1" ht="13.5" thickBot="1">
      <c r="A38" s="90" t="s">
        <v>141</v>
      </c>
      <c r="B38" s="30">
        <f>19412+5429-750-300-100</f>
        <v>23691</v>
      </c>
      <c r="C38" s="30">
        <v>11642</v>
      </c>
      <c r="D38" s="30">
        <v>3680</v>
      </c>
      <c r="E38" s="30">
        <f t="shared" si="2"/>
        <v>-7962</v>
      </c>
    </row>
    <row r="39" spans="1:6" s="18" customFormat="1" ht="13.5" thickBot="1">
      <c r="A39" s="85" t="s">
        <v>133</v>
      </c>
      <c r="B39" s="31">
        <f>B30+B31+B32+B33+B34</f>
        <v>1528880</v>
      </c>
      <c r="C39" s="31">
        <v>1613749</v>
      </c>
      <c r="D39" s="31">
        <f>D30+D31+D32+D33+D34</f>
        <v>1649632</v>
      </c>
      <c r="E39" s="31">
        <f>E30+E31+E32+E33+E34</f>
        <v>35883</v>
      </c>
      <c r="F39" s="35"/>
    </row>
    <row r="40" spans="1:5" s="18" customFormat="1" ht="12.75">
      <c r="A40" s="71" t="s">
        <v>73</v>
      </c>
      <c r="B40" s="29">
        <v>72500</v>
      </c>
      <c r="C40" s="29">
        <v>61857</v>
      </c>
      <c r="D40" s="29">
        <v>69169</v>
      </c>
      <c r="E40" s="29">
        <f aca="true" t="shared" si="3" ref="E40:E45">D40-C40</f>
        <v>7312</v>
      </c>
    </row>
    <row r="41" spans="1:5" s="18" customFormat="1" ht="12.75">
      <c r="A41" s="89" t="s">
        <v>19</v>
      </c>
      <c r="B41" s="28">
        <v>149418</v>
      </c>
      <c r="C41" s="28">
        <v>156529</v>
      </c>
      <c r="D41" s="28">
        <v>189432</v>
      </c>
      <c r="E41" s="28">
        <f t="shared" si="3"/>
        <v>32903</v>
      </c>
    </row>
    <row r="42" spans="1:5" s="18" customFormat="1" ht="12.75">
      <c r="A42" s="80" t="s">
        <v>116</v>
      </c>
      <c r="B42" s="29">
        <f>SUM(B43:B45)</f>
        <v>11611</v>
      </c>
      <c r="C42" s="29">
        <v>24506</v>
      </c>
      <c r="D42" s="29">
        <f>SUM(D43:D45)</f>
        <v>28392</v>
      </c>
      <c r="E42" s="29">
        <f t="shared" si="3"/>
        <v>3886</v>
      </c>
    </row>
    <row r="43" spans="1:5" s="18" customFormat="1" ht="12.75">
      <c r="A43" s="90" t="s">
        <v>228</v>
      </c>
      <c r="B43" s="91">
        <v>1460</v>
      </c>
      <c r="C43" s="91">
        <v>1460</v>
      </c>
      <c r="D43" s="91">
        <v>0</v>
      </c>
      <c r="E43" s="91">
        <f t="shared" si="3"/>
        <v>-1460</v>
      </c>
    </row>
    <row r="44" spans="1:5" s="18" customFormat="1" ht="12.75">
      <c r="A44" s="90" t="s">
        <v>226</v>
      </c>
      <c r="B44" s="91">
        <v>10151</v>
      </c>
      <c r="C44" s="91">
        <v>11176</v>
      </c>
      <c r="D44" s="91">
        <v>16522</v>
      </c>
      <c r="E44" s="91">
        <f t="shared" si="3"/>
        <v>5346</v>
      </c>
    </row>
    <row r="45" spans="1:5" s="18" customFormat="1" ht="13.5" thickBot="1">
      <c r="A45" s="90" t="s">
        <v>227</v>
      </c>
      <c r="B45" s="92"/>
      <c r="C45" s="92">
        <v>11870</v>
      </c>
      <c r="D45" s="92">
        <v>11870</v>
      </c>
      <c r="E45" s="92">
        <f t="shared" si="3"/>
        <v>0</v>
      </c>
    </row>
    <row r="46" spans="1:5" s="18" customFormat="1" ht="13.5" thickBot="1">
      <c r="A46" s="85" t="s">
        <v>134</v>
      </c>
      <c r="B46" s="31">
        <f>B40+B41+B42</f>
        <v>233529</v>
      </c>
      <c r="C46" s="31">
        <v>242892</v>
      </c>
      <c r="D46" s="31">
        <f>D40+D41+D42</f>
        <v>286993</v>
      </c>
      <c r="E46" s="31">
        <f>E40+E41+E42</f>
        <v>44101</v>
      </c>
    </row>
    <row r="47" spans="1:5" s="20" customFormat="1" ht="15.75" customHeight="1" thickBot="1">
      <c r="A47" s="87" t="s">
        <v>135</v>
      </c>
      <c r="B47" s="86">
        <f>B46+B39</f>
        <v>1762409</v>
      </c>
      <c r="C47" s="86">
        <v>1856641</v>
      </c>
      <c r="D47" s="86">
        <f>D46+D39</f>
        <v>1936625</v>
      </c>
      <c r="E47" s="86">
        <f>E46+E39</f>
        <v>79984</v>
      </c>
    </row>
    <row r="48" spans="1:5" s="18" customFormat="1" ht="15.75" customHeight="1" thickBot="1">
      <c r="A48" s="100" t="s">
        <v>136</v>
      </c>
      <c r="B48" s="98">
        <v>29478</v>
      </c>
      <c r="C48" s="98">
        <v>29478</v>
      </c>
      <c r="D48" s="98">
        <v>29478</v>
      </c>
      <c r="E48" s="98">
        <f>D48-B48</f>
        <v>0</v>
      </c>
    </row>
    <row r="49" spans="1:7" s="20" customFormat="1" ht="15.75" customHeight="1" thickBot="1">
      <c r="A49" s="81" t="s">
        <v>35</v>
      </c>
      <c r="B49" s="32">
        <f>B48+B47</f>
        <v>1791887</v>
      </c>
      <c r="C49" s="32">
        <v>1886119</v>
      </c>
      <c r="D49" s="32">
        <f>D48+D47</f>
        <v>1966103</v>
      </c>
      <c r="E49" s="32">
        <f>E48+E47</f>
        <v>79984</v>
      </c>
      <c r="F49" s="20" t="s">
        <v>214</v>
      </c>
      <c r="G49" s="20" t="s">
        <v>214</v>
      </c>
    </row>
    <row r="50" spans="3:4" ht="15.75">
      <c r="C50" s="11"/>
      <c r="D50" s="11"/>
    </row>
    <row r="51" spans="3:4" ht="15.75">
      <c r="C51" s="11"/>
      <c r="D51" s="11"/>
    </row>
    <row r="52" spans="1:5" ht="15.75">
      <c r="A52" s="11"/>
      <c r="B52" s="11"/>
      <c r="C52" s="11"/>
      <c r="D52" s="11"/>
      <c r="E52" s="11"/>
    </row>
  </sheetData>
  <sheetProtection/>
  <mergeCells count="4">
    <mergeCell ref="A5:E5"/>
    <mergeCell ref="A4:E4"/>
    <mergeCell ref="A3:E3"/>
    <mergeCell ref="A28:E28"/>
  </mergeCells>
  <printOptions/>
  <pageMargins left="0.11811023622047245" right="0" top="0.6692913385826772" bottom="0.708661417322834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125" style="43" customWidth="1"/>
    <col min="2" max="2" width="82.875" style="43" customWidth="1"/>
    <col min="3" max="3" width="14.875" style="42" customWidth="1"/>
    <col min="4" max="5" width="13.75390625" style="42" customWidth="1"/>
    <col min="6" max="6" width="12.75390625" style="42" bestFit="1" customWidth="1"/>
    <col min="7" max="7" width="4.375" style="43" customWidth="1"/>
    <col min="8" max="16384" width="9.125" style="43" customWidth="1"/>
  </cols>
  <sheetData>
    <row r="1" spans="1:2" s="10" customFormat="1" ht="15.75">
      <c r="A1" s="104"/>
      <c r="B1" s="10" t="s">
        <v>309</v>
      </c>
    </row>
    <row r="2" spans="1:6" s="40" customFormat="1" ht="15" customHeight="1">
      <c r="A2" s="41"/>
      <c r="B2" s="41" t="s">
        <v>274</v>
      </c>
      <c r="C2" s="39"/>
      <c r="D2" s="39"/>
      <c r="E2" s="39"/>
      <c r="F2" s="39"/>
    </row>
    <row r="3" spans="1:6" s="40" customFormat="1" ht="3.75" customHeight="1">
      <c r="A3" s="41"/>
      <c r="B3" s="41"/>
      <c r="C3" s="39"/>
      <c r="D3" s="39"/>
      <c r="E3" s="39"/>
      <c r="F3" s="39"/>
    </row>
    <row r="4" spans="1:6" ht="12.75">
      <c r="A4" s="358" t="s">
        <v>189</v>
      </c>
      <c r="B4" s="358"/>
      <c r="C4" s="358"/>
      <c r="D4" s="196"/>
      <c r="E4" s="196"/>
      <c r="F4" s="196"/>
    </row>
    <row r="5" spans="2:6" s="44" customFormat="1" ht="34.5">
      <c r="B5" s="243" t="s">
        <v>0</v>
      </c>
      <c r="C5" s="45" t="s">
        <v>230</v>
      </c>
      <c r="D5" s="45" t="s">
        <v>273</v>
      </c>
      <c r="E5" s="45" t="s">
        <v>291</v>
      </c>
      <c r="F5" s="45" t="s">
        <v>210</v>
      </c>
    </row>
    <row r="6" spans="1:7" s="63" customFormat="1" ht="14.25">
      <c r="A6" s="242" t="s">
        <v>190</v>
      </c>
      <c r="B6" s="242"/>
      <c r="C6" s="242"/>
      <c r="D6" s="242"/>
      <c r="E6" s="242"/>
      <c r="F6" s="242"/>
      <c r="G6" s="242"/>
    </row>
    <row r="7" spans="2:6" s="49" customFormat="1" ht="12.75" customHeight="1">
      <c r="B7" s="50" t="s">
        <v>49</v>
      </c>
      <c r="C7" s="51">
        <f>C8+C9+C14+C17+C15+C16+C18</f>
        <v>260843287</v>
      </c>
      <c r="D7" s="51">
        <f>D8+D9+D14+D17+D15+D16+D18</f>
        <v>260843287</v>
      </c>
      <c r="E7" s="51">
        <f>E8+E9+E14+E17+E15+E16+E18</f>
        <v>260843287</v>
      </c>
      <c r="F7" s="51">
        <f>F8+F9+F14+F17+F15+F16+F18</f>
        <v>0</v>
      </c>
    </row>
    <row r="8" spans="2:6" ht="12.75" customHeight="1">
      <c r="B8" s="52" t="s">
        <v>43</v>
      </c>
      <c r="C8" s="42">
        <v>160666400</v>
      </c>
      <c r="D8" s="42">
        <v>160666400</v>
      </c>
      <c r="E8" s="42">
        <v>160666400</v>
      </c>
      <c r="F8" s="42">
        <f aca="true" t="shared" si="0" ref="F8:F18">E8-D8</f>
        <v>0</v>
      </c>
    </row>
    <row r="9" spans="2:6" ht="12.75" customHeight="1">
      <c r="B9" s="53" t="s">
        <v>44</v>
      </c>
      <c r="C9" s="42">
        <f>C10+C11+C12+C13</f>
        <v>77666094</v>
      </c>
      <c r="D9" s="42">
        <f>D10+D11+D12+D13</f>
        <v>77666094</v>
      </c>
      <c r="E9" s="42">
        <f>E10+E11+E12+E13</f>
        <v>77666094</v>
      </c>
      <c r="F9" s="42">
        <f t="shared" si="0"/>
        <v>0</v>
      </c>
    </row>
    <row r="10" spans="2:6" ht="12.75" customHeight="1">
      <c r="B10" s="54" t="s">
        <v>71</v>
      </c>
      <c r="C10" s="42">
        <v>8031082</v>
      </c>
      <c r="D10" s="42">
        <v>8031082</v>
      </c>
      <c r="E10" s="42">
        <v>8031082</v>
      </c>
      <c r="F10" s="42">
        <f t="shared" si="0"/>
        <v>0</v>
      </c>
    </row>
    <row r="11" spans="2:6" ht="12.75" customHeight="1">
      <c r="B11" s="55" t="s">
        <v>70</v>
      </c>
      <c r="C11" s="42">
        <v>45320000</v>
      </c>
      <c r="D11" s="42">
        <v>45320000</v>
      </c>
      <c r="E11" s="42">
        <v>45320000</v>
      </c>
      <c r="F11" s="42">
        <f t="shared" si="0"/>
        <v>0</v>
      </c>
    </row>
    <row r="12" spans="2:6" ht="12.75" customHeight="1">
      <c r="B12" s="55" t="s">
        <v>69</v>
      </c>
      <c r="C12" s="42">
        <v>3588312</v>
      </c>
      <c r="D12" s="42">
        <v>3588312</v>
      </c>
      <c r="E12" s="42">
        <v>3588312</v>
      </c>
      <c r="F12" s="42">
        <f t="shared" si="0"/>
        <v>0</v>
      </c>
    </row>
    <row r="13" spans="2:6" ht="12.75" customHeight="1">
      <c r="B13" s="55" t="s">
        <v>97</v>
      </c>
      <c r="C13" s="42">
        <v>20726700</v>
      </c>
      <c r="D13" s="42">
        <v>20726700</v>
      </c>
      <c r="E13" s="42">
        <v>20726700</v>
      </c>
      <c r="F13" s="42">
        <f t="shared" si="0"/>
        <v>0</v>
      </c>
    </row>
    <row r="14" spans="2:6" ht="12.75" customHeight="1">
      <c r="B14" s="52" t="s">
        <v>98</v>
      </c>
      <c r="C14" s="42">
        <v>0</v>
      </c>
      <c r="D14" s="42">
        <v>0</v>
      </c>
      <c r="E14" s="42">
        <v>0</v>
      </c>
      <c r="F14" s="42">
        <f t="shared" si="0"/>
        <v>0</v>
      </c>
    </row>
    <row r="15" spans="2:6" ht="12.75" customHeight="1">
      <c r="B15" s="52" t="s">
        <v>99</v>
      </c>
      <c r="C15" s="42">
        <v>0</v>
      </c>
      <c r="D15" s="42">
        <v>0</v>
      </c>
      <c r="E15" s="42">
        <v>0</v>
      </c>
      <c r="F15" s="42">
        <f t="shared" si="0"/>
        <v>0</v>
      </c>
    </row>
    <row r="16" spans="2:6" ht="12.75" customHeight="1">
      <c r="B16" s="52" t="s">
        <v>100</v>
      </c>
      <c r="C16" s="42">
        <v>21527950</v>
      </c>
      <c r="D16" s="42">
        <v>21527950</v>
      </c>
      <c r="E16" s="42">
        <v>21527950</v>
      </c>
      <c r="F16" s="42">
        <f t="shared" si="0"/>
        <v>0</v>
      </c>
    </row>
    <row r="17" spans="2:6" ht="12.75" customHeight="1">
      <c r="B17" s="52" t="s">
        <v>64</v>
      </c>
      <c r="C17" s="42">
        <v>80000</v>
      </c>
      <c r="D17" s="42">
        <v>80000</v>
      </c>
      <c r="E17" s="42">
        <v>80000</v>
      </c>
      <c r="F17" s="42">
        <f t="shared" si="0"/>
        <v>0</v>
      </c>
    </row>
    <row r="18" spans="2:6" ht="12.75" customHeight="1">
      <c r="B18" s="52" t="s">
        <v>221</v>
      </c>
      <c r="C18" s="42">
        <v>902843</v>
      </c>
      <c r="D18" s="42">
        <v>902843</v>
      </c>
      <c r="E18" s="42">
        <v>902843</v>
      </c>
      <c r="F18" s="42">
        <f t="shared" si="0"/>
        <v>0</v>
      </c>
    </row>
    <row r="19" spans="2:6" ht="12.75" customHeight="1">
      <c r="B19" s="56" t="s">
        <v>50</v>
      </c>
      <c r="C19" s="57">
        <f>C20+C21+C22+C23</f>
        <v>253306933</v>
      </c>
      <c r="D19" s="57">
        <f>D20+D21+D22+D23</f>
        <v>253647466</v>
      </c>
      <c r="E19" s="57">
        <f>E20+E21+E22+E23</f>
        <v>254877599</v>
      </c>
      <c r="F19" s="57">
        <f>F20+F21+F22+F23</f>
        <v>1230133</v>
      </c>
    </row>
    <row r="20" spans="2:6" ht="12.75" customHeight="1">
      <c r="B20" s="58" t="s">
        <v>101</v>
      </c>
      <c r="C20" s="42">
        <f>107125600+30000000+52414000+15000000+1277500</f>
        <v>205817100</v>
      </c>
      <c r="D20" s="42">
        <f>107125600+30000000+52414000+15000000+1277500+287200</f>
        <v>206104300</v>
      </c>
      <c r="E20" s="42">
        <f>107125600+30000000+52414000+15000000+1277500+287200+1148800+28000</f>
        <v>207281100</v>
      </c>
      <c r="F20" s="210">
        <f>E20-D20</f>
        <v>1176800</v>
      </c>
    </row>
    <row r="21" spans="2:6" ht="12.75" customHeight="1">
      <c r="B21" s="59" t="s">
        <v>62</v>
      </c>
      <c r="C21" s="42">
        <f>693333+21760000+293333+10666667</f>
        <v>33413333</v>
      </c>
      <c r="D21" s="42">
        <f>693333+21760000+293333+10666667+53333</f>
        <v>33466666</v>
      </c>
      <c r="E21" s="42">
        <f>693333+21760000+293333+10666667+53333-133333+186666</f>
        <v>33519999</v>
      </c>
      <c r="F21" s="210">
        <f>E21-D21</f>
        <v>53333</v>
      </c>
    </row>
    <row r="22" spans="2:6" ht="12.75" customHeight="1">
      <c r="B22" s="52" t="s">
        <v>102</v>
      </c>
      <c r="C22" s="42">
        <v>11420500</v>
      </c>
      <c r="D22" s="42">
        <v>11420500</v>
      </c>
      <c r="E22" s="42">
        <v>11420500</v>
      </c>
      <c r="F22" s="210">
        <f>E22-D22</f>
        <v>0</v>
      </c>
    </row>
    <row r="23" spans="2:6" ht="12.75" customHeight="1">
      <c r="B23" s="52" t="s">
        <v>103</v>
      </c>
      <c r="C23" s="42">
        <f>2304000+352000</f>
        <v>2656000</v>
      </c>
      <c r="D23" s="42">
        <f>2304000+352000</f>
        <v>2656000</v>
      </c>
      <c r="E23" s="42">
        <f>2304000+352000</f>
        <v>2656000</v>
      </c>
      <c r="F23" s="210">
        <f>E23-D23</f>
        <v>0</v>
      </c>
    </row>
    <row r="24" spans="2:6" ht="12.75" customHeight="1">
      <c r="B24" s="56" t="s">
        <v>51</v>
      </c>
      <c r="C24" s="57">
        <f>C25+C26+C27+C28+C29+C30+C32+C31</f>
        <v>297567703</v>
      </c>
      <c r="D24" s="57">
        <f>D25+D26+D27+D28+D29+D30+D32+D31</f>
        <v>308407826</v>
      </c>
      <c r="E24" s="57">
        <f>E25+E26+E27+E28+E29+E30+E32+E31</f>
        <v>312290953</v>
      </c>
      <c r="F24" s="57">
        <f>F25+F26+F27+F28+F29+F30+F32+F31</f>
        <v>3883127</v>
      </c>
    </row>
    <row r="25" spans="2:6" ht="12.75" customHeight="1">
      <c r="B25" s="52" t="s">
        <v>104</v>
      </c>
      <c r="C25" s="42">
        <v>0</v>
      </c>
      <c r="D25" s="42">
        <v>0</v>
      </c>
      <c r="E25" s="42">
        <v>0</v>
      </c>
      <c r="F25" s="42">
        <f aca="true" t="shared" si="1" ref="F25:F32">E25-D25</f>
        <v>0</v>
      </c>
    </row>
    <row r="26" spans="2:6" ht="12.75" customHeight="1">
      <c r="B26" s="52" t="s">
        <v>105</v>
      </c>
      <c r="C26" s="42">
        <v>64468488</v>
      </c>
      <c r="D26" s="42">
        <v>64468488</v>
      </c>
      <c r="E26" s="42">
        <v>64468488</v>
      </c>
      <c r="F26" s="42">
        <f t="shared" si="1"/>
        <v>0</v>
      </c>
    </row>
    <row r="27" spans="2:6" ht="12.75" customHeight="1">
      <c r="B27" s="52" t="s">
        <v>106</v>
      </c>
      <c r="C27" s="42">
        <f>12000000+10500000+9377984+3958500+9646500+10882080+8893800+12879625</f>
        <v>78138489</v>
      </c>
      <c r="D27" s="42">
        <f>12000000+10500000+9377984+3958500+9646500+10882080+8893800+12879625-608960+494100</f>
        <v>78023629</v>
      </c>
      <c r="E27" s="42">
        <f>12000000+10500000+9377984+3958500+9646500+10882080+8893800+12879625-608960+494100-669856-754000</f>
        <v>76599773</v>
      </c>
      <c r="F27" s="42">
        <f t="shared" si="1"/>
        <v>-1423856</v>
      </c>
    </row>
    <row r="28" spans="2:6" ht="26.25" customHeight="1">
      <c r="B28" s="52" t="s">
        <v>107</v>
      </c>
      <c r="C28" s="42">
        <f>20848320+2655000</f>
        <v>23503320</v>
      </c>
      <c r="D28" s="42">
        <f>20848320+2655000</f>
        <v>23503320</v>
      </c>
      <c r="E28" s="42">
        <f>20848320+2655000</f>
        <v>23503320</v>
      </c>
      <c r="F28" s="42">
        <f t="shared" si="1"/>
        <v>0</v>
      </c>
    </row>
    <row r="29" spans="2:6" ht="12.75" customHeight="1">
      <c r="B29" s="52" t="s">
        <v>66</v>
      </c>
      <c r="C29" s="42">
        <v>46675200</v>
      </c>
      <c r="D29" s="42">
        <v>46675200</v>
      </c>
      <c r="E29" s="42">
        <f>46675200+1452480</f>
        <v>48127680</v>
      </c>
      <c r="F29" s="42">
        <f t="shared" si="1"/>
        <v>1452480</v>
      </c>
    </row>
    <row r="30" spans="2:6" ht="12.75" customHeight="1">
      <c r="B30" s="52" t="s">
        <v>65</v>
      </c>
      <c r="C30" s="42">
        <v>80255926</v>
      </c>
      <c r="D30" s="42">
        <v>80255926</v>
      </c>
      <c r="E30" s="42">
        <f>80255926+1899205</f>
        <v>82155131</v>
      </c>
      <c r="F30" s="42">
        <f t="shared" si="1"/>
        <v>1899205</v>
      </c>
    </row>
    <row r="31" spans="2:6" ht="12.75" customHeight="1">
      <c r="B31" s="52" t="s">
        <v>245</v>
      </c>
      <c r="C31" s="42">
        <v>0</v>
      </c>
      <c r="D31" s="42">
        <v>12463743</v>
      </c>
      <c r="E31" s="42">
        <v>14419041</v>
      </c>
      <c r="F31" s="42">
        <f t="shared" si="1"/>
        <v>1955298</v>
      </c>
    </row>
    <row r="32" spans="2:6" ht="12.75" customHeight="1">
      <c r="B32" s="52" t="s">
        <v>207</v>
      </c>
      <c r="C32" s="42">
        <v>4526280</v>
      </c>
      <c r="D32" s="42">
        <f>4526280-1508760</f>
        <v>3017520</v>
      </c>
      <c r="E32" s="42">
        <f>4526280-1508760</f>
        <v>3017520</v>
      </c>
      <c r="F32" s="42">
        <f t="shared" si="1"/>
        <v>0</v>
      </c>
    </row>
    <row r="33" spans="2:6" ht="12.75" customHeight="1">
      <c r="B33" s="56" t="s">
        <v>67</v>
      </c>
      <c r="C33" s="57">
        <f>SUM(C34:C36)</f>
        <v>40779860</v>
      </c>
      <c r="D33" s="57">
        <f>SUM(D34:D36)</f>
        <v>42570616</v>
      </c>
      <c r="E33" s="57">
        <f>SUM(E34:E36)</f>
        <v>42570616</v>
      </c>
      <c r="F33" s="57">
        <f>SUM(F34:F36)</f>
        <v>0</v>
      </c>
    </row>
    <row r="34" spans="2:6" ht="12.75" customHeight="1">
      <c r="B34" s="52" t="s">
        <v>72</v>
      </c>
      <c r="C34" s="42">
        <v>13051860</v>
      </c>
      <c r="D34" s="42">
        <v>13051860</v>
      </c>
      <c r="E34" s="42">
        <v>13051860</v>
      </c>
      <c r="F34" s="42">
        <f>E34-D34</f>
        <v>0</v>
      </c>
    </row>
    <row r="35" spans="2:6" ht="12.75" customHeight="1">
      <c r="B35" s="52" t="s">
        <v>52</v>
      </c>
      <c r="C35" s="42">
        <v>27728000</v>
      </c>
      <c r="D35" s="42">
        <v>27728000</v>
      </c>
      <c r="E35" s="42">
        <v>27728000</v>
      </c>
      <c r="F35" s="42">
        <f>E35-D35</f>
        <v>0</v>
      </c>
    </row>
    <row r="36" spans="2:6" ht="12.75" customHeight="1">
      <c r="B36" s="52" t="s">
        <v>219</v>
      </c>
      <c r="D36" s="42">
        <v>1790756</v>
      </c>
      <c r="E36" s="42">
        <v>1790756</v>
      </c>
      <c r="F36" s="42">
        <f>E36-D36</f>
        <v>0</v>
      </c>
    </row>
    <row r="37" spans="2:6" ht="12.75" customHeight="1">
      <c r="B37" s="56" t="s">
        <v>63</v>
      </c>
      <c r="C37" s="57">
        <v>-36706128</v>
      </c>
      <c r="D37" s="57">
        <v>-36706128</v>
      </c>
      <c r="E37" s="57">
        <v>-36706128</v>
      </c>
      <c r="F37" s="57">
        <f>E37-C37</f>
        <v>0</v>
      </c>
    </row>
    <row r="38" spans="2:6" s="63" customFormat="1" ht="16.5" customHeight="1">
      <c r="B38" s="65" t="s">
        <v>45</v>
      </c>
      <c r="C38" s="66">
        <f>C7+C19+C24+C33</f>
        <v>852497783</v>
      </c>
      <c r="D38" s="66">
        <f>D7+D19+D24+D33</f>
        <v>865469195</v>
      </c>
      <c r="E38" s="66">
        <f>E7+E19+E24+E33</f>
        <v>870582455</v>
      </c>
      <c r="F38" s="66">
        <f>F7+F19+F24+F33</f>
        <v>5113260</v>
      </c>
    </row>
    <row r="39" ht="12.75" customHeight="1">
      <c r="B39" s="60"/>
    </row>
    <row r="40" spans="1:7" s="64" customFormat="1" ht="17.25" customHeight="1">
      <c r="A40" s="359" t="s">
        <v>217</v>
      </c>
      <c r="B40" s="359"/>
      <c r="C40" s="359"/>
      <c r="D40" s="359"/>
      <c r="E40" s="359"/>
      <c r="F40" s="359"/>
      <c r="G40" s="61"/>
    </row>
    <row r="41" spans="2:6" ht="12.75" customHeight="1">
      <c r="B41" s="52" t="s">
        <v>220</v>
      </c>
      <c r="D41" s="42">
        <v>7212950</v>
      </c>
      <c r="E41" s="42">
        <v>9176385</v>
      </c>
      <c r="F41" s="42">
        <f>E41-D41</f>
        <v>1963435</v>
      </c>
    </row>
    <row r="42" spans="1:7" s="64" customFormat="1" ht="29.25">
      <c r="A42" s="61"/>
      <c r="B42" s="67" t="s">
        <v>215</v>
      </c>
      <c r="C42" s="68">
        <f>C41</f>
        <v>0</v>
      </c>
      <c r="D42" s="68">
        <f>D41</f>
        <v>7212950</v>
      </c>
      <c r="E42" s="68">
        <f>E41</f>
        <v>9176385</v>
      </c>
      <c r="F42" s="68">
        <f>F41</f>
        <v>1963435</v>
      </c>
      <c r="G42" s="61"/>
    </row>
    <row r="43" spans="1:7" ht="17.25" customHeight="1">
      <c r="A43" s="61"/>
      <c r="B43" s="61"/>
      <c r="C43" s="61"/>
      <c r="D43" s="61"/>
      <c r="E43" s="61"/>
      <c r="F43" s="61"/>
      <c r="G43" s="61"/>
    </row>
    <row r="44" spans="1:6" s="46" customFormat="1" ht="18" customHeight="1">
      <c r="A44" s="69"/>
      <c r="B44" s="69" t="s">
        <v>216</v>
      </c>
      <c r="C44" s="70">
        <f>C42+C38</f>
        <v>852497783</v>
      </c>
      <c r="D44" s="70">
        <f>D42+D38</f>
        <v>872682145</v>
      </c>
      <c r="E44" s="70">
        <f>E42+E38</f>
        <v>879758840</v>
      </c>
      <c r="F44" s="70">
        <f>F42+F38</f>
        <v>7076695</v>
      </c>
    </row>
    <row r="45" ht="12.75" customHeight="1"/>
    <row r="46" ht="12.75" customHeight="1">
      <c r="B46" s="62"/>
    </row>
    <row r="47" spans="1:7" s="64" customFormat="1" ht="17.25" customHeight="1">
      <c r="A47" s="359" t="s">
        <v>218</v>
      </c>
      <c r="B47" s="359"/>
      <c r="C47" s="359"/>
      <c r="D47" s="359"/>
      <c r="E47" s="359"/>
      <c r="F47" s="359"/>
      <c r="G47" s="61"/>
    </row>
    <row r="48" spans="2:6" s="47" customFormat="1" ht="17.25" customHeight="1">
      <c r="B48" s="241" t="s">
        <v>222</v>
      </c>
      <c r="C48" s="42">
        <v>100000000</v>
      </c>
      <c r="D48" s="42">
        <v>100000000</v>
      </c>
      <c r="E48" s="42">
        <v>100000000</v>
      </c>
      <c r="F48" s="42">
        <f>E48-D48</f>
        <v>0</v>
      </c>
    </row>
    <row r="49" spans="2:6" s="47" customFormat="1" ht="12.75" customHeight="1">
      <c r="B49" s="241" t="s">
        <v>223</v>
      </c>
      <c r="C49" s="48"/>
      <c r="D49" s="42">
        <v>120000</v>
      </c>
      <c r="E49" s="42">
        <v>120000</v>
      </c>
      <c r="F49" s="42">
        <f>E49-D49</f>
        <v>0</v>
      </c>
    </row>
    <row r="50" spans="2:6" s="47" customFormat="1" ht="12.75" customHeight="1">
      <c r="B50" s="241" t="s">
        <v>299</v>
      </c>
      <c r="C50" s="48"/>
      <c r="D50" s="42">
        <v>3738000</v>
      </c>
      <c r="E50" s="42">
        <v>3738000</v>
      </c>
      <c r="F50" s="42">
        <f>E50-D50</f>
        <v>0</v>
      </c>
    </row>
    <row r="51" spans="2:6" s="47" customFormat="1" ht="12.75" customHeight="1">
      <c r="B51" s="241" t="s">
        <v>298</v>
      </c>
      <c r="C51" s="48"/>
      <c r="D51" s="42"/>
      <c r="E51" s="42">
        <v>382000</v>
      </c>
      <c r="F51" s="42">
        <f>E51-D51</f>
        <v>382000</v>
      </c>
    </row>
    <row r="52" spans="2:6" ht="12.75" customHeight="1">
      <c r="B52" s="241" t="s">
        <v>224</v>
      </c>
      <c r="D52" s="42">
        <v>2370001</v>
      </c>
      <c r="E52" s="42">
        <f>2370001+8648826</f>
        <v>11018827</v>
      </c>
      <c r="F52" s="42">
        <f>E52-D52</f>
        <v>8648826</v>
      </c>
    </row>
    <row r="53" spans="1:6" s="46" customFormat="1" ht="18" customHeight="1">
      <c r="A53" s="69"/>
      <c r="B53" s="69" t="s">
        <v>225</v>
      </c>
      <c r="C53" s="70">
        <f>SUM(C48:C52)</f>
        <v>100000000</v>
      </c>
      <c r="D53" s="70">
        <f>SUM(D48:D52)</f>
        <v>106228001</v>
      </c>
      <c r="E53" s="70">
        <f>SUM(E48:E52)</f>
        <v>115258827</v>
      </c>
      <c r="F53" s="70">
        <f>SUM(F48:F52)</f>
        <v>9030826</v>
      </c>
    </row>
    <row r="55" spans="1:7" s="250" customFormat="1" ht="20.25" customHeight="1">
      <c r="A55" s="360" t="s">
        <v>246</v>
      </c>
      <c r="B55" s="360"/>
      <c r="C55" s="251">
        <f>C53+C44</f>
        <v>952497783</v>
      </c>
      <c r="D55" s="251">
        <f>D53+D44</f>
        <v>978910146</v>
      </c>
      <c r="E55" s="251">
        <f>E53+E44</f>
        <v>995017667</v>
      </c>
      <c r="F55" s="251">
        <f>F53+F44</f>
        <v>16107521</v>
      </c>
      <c r="G55" s="250" t="s">
        <v>214</v>
      </c>
    </row>
  </sheetData>
  <sheetProtection/>
  <mergeCells count="4">
    <mergeCell ref="A4:C4"/>
    <mergeCell ref="A47:F47"/>
    <mergeCell ref="A40:F40"/>
    <mergeCell ref="A55:B55"/>
  </mergeCells>
  <printOptions/>
  <pageMargins left="0.1968503937007874" right="0.35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zoomScaleSheetLayoutView="100" zoomScalePageLayoutView="0" workbookViewId="0" topLeftCell="A1">
      <pane xSplit="2" ySplit="4" topLeftCell="AH3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A1" sqref="A1:B1"/>
    </sheetView>
  </sheetViews>
  <sheetFormatPr defaultColWidth="9.00390625" defaultRowHeight="12.75"/>
  <cols>
    <col min="1" max="1" width="1.12109375" style="10" customWidth="1"/>
    <col min="2" max="2" width="48.00390625" style="10" customWidth="1"/>
    <col min="3" max="18" width="9.75390625" style="10" customWidth="1"/>
    <col min="19" max="22" width="9.75390625" style="108" customWidth="1"/>
    <col min="23" max="23" width="10.75390625" style="10" customWidth="1"/>
    <col min="24" max="26" width="9.75390625" style="10" customWidth="1"/>
    <col min="27" max="27" width="15.125" style="106" customWidth="1"/>
    <col min="28" max="30" width="9.75390625" style="10" customWidth="1"/>
    <col min="31" max="31" width="13.625" style="10" customWidth="1"/>
    <col min="32" max="34" width="9.75390625" style="10" customWidth="1"/>
    <col min="35" max="46" width="9.125" style="10" customWidth="1"/>
    <col min="47" max="47" width="1.37890625" style="10" hidden="1" customWidth="1"/>
    <col min="48" max="48" width="9.125" style="10" hidden="1" customWidth="1"/>
    <col min="49" max="16384" width="9.125" style="10" customWidth="1"/>
  </cols>
  <sheetData>
    <row r="1" spans="1:27" ht="15.75">
      <c r="A1" s="390" t="s">
        <v>310</v>
      </c>
      <c r="B1" s="390"/>
      <c r="S1" s="10"/>
      <c r="T1" s="10"/>
      <c r="U1" s="10"/>
      <c r="V1" s="10"/>
      <c r="AA1" s="10"/>
    </row>
    <row r="2" spans="1:2" ht="15.75">
      <c r="A2" s="390" t="s">
        <v>213</v>
      </c>
      <c r="B2" s="390"/>
    </row>
    <row r="3" spans="2:46" ht="52.5" customHeight="1" thickBot="1">
      <c r="B3" s="296"/>
      <c r="C3" s="389" t="s">
        <v>183</v>
      </c>
      <c r="D3" s="389"/>
      <c r="E3" s="389"/>
      <c r="F3" s="389"/>
      <c r="G3" s="389"/>
      <c r="H3" s="389"/>
      <c r="I3" s="389"/>
      <c r="J3" s="389"/>
      <c r="K3" s="389" t="s">
        <v>183</v>
      </c>
      <c r="L3" s="389"/>
      <c r="M3" s="389"/>
      <c r="N3" s="389"/>
      <c r="O3" s="389"/>
      <c r="P3" s="389"/>
      <c r="Q3" s="389"/>
      <c r="R3" s="389"/>
      <c r="S3" s="389" t="s">
        <v>183</v>
      </c>
      <c r="T3" s="389"/>
      <c r="U3" s="389"/>
      <c r="V3" s="389"/>
      <c r="W3" s="389"/>
      <c r="X3" s="389"/>
      <c r="Y3" s="389"/>
      <c r="Z3" s="389"/>
      <c r="AA3" s="389" t="s">
        <v>183</v>
      </c>
      <c r="AB3" s="389"/>
      <c r="AC3" s="389"/>
      <c r="AD3" s="389"/>
      <c r="AE3" s="389"/>
      <c r="AF3" s="389"/>
      <c r="AG3" s="389"/>
      <c r="AH3" s="389"/>
      <c r="AI3" s="389" t="s">
        <v>183</v>
      </c>
      <c r="AJ3" s="389"/>
      <c r="AK3" s="389"/>
      <c r="AL3" s="389"/>
      <c r="AM3" s="389"/>
      <c r="AN3" s="389"/>
      <c r="AO3" s="389"/>
      <c r="AP3" s="389"/>
      <c r="AQ3" s="388" t="s">
        <v>183</v>
      </c>
      <c r="AR3" s="388"/>
      <c r="AS3" s="388"/>
      <c r="AT3" s="388"/>
    </row>
    <row r="4" spans="2:46" s="105" customFormat="1" ht="39" customHeight="1" thickBot="1">
      <c r="B4" s="305" t="s">
        <v>28</v>
      </c>
      <c r="C4" s="380" t="s">
        <v>68</v>
      </c>
      <c r="D4" s="381"/>
      <c r="E4" s="382"/>
      <c r="F4" s="383"/>
      <c r="G4" s="361" t="s">
        <v>143</v>
      </c>
      <c r="H4" s="362"/>
      <c r="I4" s="363"/>
      <c r="J4" s="364"/>
      <c r="K4" s="384" t="s">
        <v>89</v>
      </c>
      <c r="L4" s="385"/>
      <c r="M4" s="386"/>
      <c r="N4" s="387"/>
      <c r="O4" s="361" t="s">
        <v>48</v>
      </c>
      <c r="P4" s="362"/>
      <c r="Q4" s="363"/>
      <c r="R4" s="364"/>
      <c r="S4" s="365" t="s">
        <v>18</v>
      </c>
      <c r="T4" s="366"/>
      <c r="U4" s="367"/>
      <c r="V4" s="368"/>
      <c r="W4" s="361" t="s">
        <v>41</v>
      </c>
      <c r="X4" s="362"/>
      <c r="Y4" s="363"/>
      <c r="Z4" s="364"/>
      <c r="AA4" s="361" t="s">
        <v>182</v>
      </c>
      <c r="AB4" s="362"/>
      <c r="AC4" s="363"/>
      <c r="AD4" s="364"/>
      <c r="AE4" s="361" t="s">
        <v>195</v>
      </c>
      <c r="AF4" s="362"/>
      <c r="AG4" s="363"/>
      <c r="AH4" s="376"/>
      <c r="AI4" s="369" t="s">
        <v>198</v>
      </c>
      <c r="AJ4" s="370"/>
      <c r="AK4" s="371"/>
      <c r="AL4" s="372"/>
      <c r="AM4" s="369" t="s">
        <v>201</v>
      </c>
      <c r="AN4" s="370"/>
      <c r="AO4" s="371"/>
      <c r="AP4" s="372"/>
      <c r="AQ4" s="373" t="s">
        <v>202</v>
      </c>
      <c r="AR4" s="374"/>
      <c r="AS4" s="374"/>
      <c r="AT4" s="375"/>
    </row>
    <row r="5" spans="2:48" s="211" customFormat="1" ht="27" thickBot="1">
      <c r="B5" s="305"/>
      <c r="C5" s="304" t="s">
        <v>211</v>
      </c>
      <c r="D5" s="253" t="s">
        <v>276</v>
      </c>
      <c r="E5" s="253" t="s">
        <v>292</v>
      </c>
      <c r="F5" s="254" t="s">
        <v>212</v>
      </c>
      <c r="G5" s="304" t="s">
        <v>211</v>
      </c>
      <c r="H5" s="253" t="s">
        <v>276</v>
      </c>
      <c r="I5" s="253" t="s">
        <v>292</v>
      </c>
      <c r="J5" s="254" t="s">
        <v>212</v>
      </c>
      <c r="K5" s="304" t="s">
        <v>211</v>
      </c>
      <c r="L5" s="253" t="s">
        <v>276</v>
      </c>
      <c r="M5" s="253" t="s">
        <v>292</v>
      </c>
      <c r="N5" s="254" t="s">
        <v>212</v>
      </c>
      <c r="O5" s="304" t="s">
        <v>211</v>
      </c>
      <c r="P5" s="253" t="s">
        <v>276</v>
      </c>
      <c r="Q5" s="253" t="s">
        <v>292</v>
      </c>
      <c r="R5" s="254" t="s">
        <v>212</v>
      </c>
      <c r="S5" s="255" t="s">
        <v>211</v>
      </c>
      <c r="T5" s="253" t="s">
        <v>276</v>
      </c>
      <c r="U5" s="253" t="s">
        <v>292</v>
      </c>
      <c r="V5" s="256" t="s">
        <v>212</v>
      </c>
      <c r="W5" s="304" t="s">
        <v>211</v>
      </c>
      <c r="X5" s="253" t="s">
        <v>276</v>
      </c>
      <c r="Y5" s="253" t="s">
        <v>292</v>
      </c>
      <c r="Z5" s="254" t="s">
        <v>212</v>
      </c>
      <c r="AA5" s="240" t="s">
        <v>211</v>
      </c>
      <c r="AB5" s="253" t="s">
        <v>276</v>
      </c>
      <c r="AC5" s="253" t="s">
        <v>292</v>
      </c>
      <c r="AD5" s="236" t="s">
        <v>212</v>
      </c>
      <c r="AE5" s="240" t="s">
        <v>211</v>
      </c>
      <c r="AF5" s="253" t="s">
        <v>276</v>
      </c>
      <c r="AG5" s="253" t="s">
        <v>292</v>
      </c>
      <c r="AH5" s="342" t="s">
        <v>212</v>
      </c>
      <c r="AI5" s="240" t="s">
        <v>211</v>
      </c>
      <c r="AJ5" s="253" t="s">
        <v>276</v>
      </c>
      <c r="AK5" s="253" t="s">
        <v>292</v>
      </c>
      <c r="AL5" s="236" t="s">
        <v>212</v>
      </c>
      <c r="AM5" s="240" t="s">
        <v>211</v>
      </c>
      <c r="AN5" s="253" t="s">
        <v>276</v>
      </c>
      <c r="AO5" s="253" t="s">
        <v>292</v>
      </c>
      <c r="AP5" s="236" t="s">
        <v>212</v>
      </c>
      <c r="AQ5" s="240" t="s">
        <v>211</v>
      </c>
      <c r="AR5" s="253" t="s">
        <v>276</v>
      </c>
      <c r="AS5" s="253" t="s">
        <v>292</v>
      </c>
      <c r="AT5" s="236" t="s">
        <v>212</v>
      </c>
      <c r="AV5" s="353"/>
    </row>
    <row r="6" spans="2:48" s="18" customFormat="1" ht="18" customHeight="1">
      <c r="B6" s="306" t="s">
        <v>139</v>
      </c>
      <c r="C6" s="166">
        <f aca="true" t="shared" si="0" ref="C6:R6">C7+C8</f>
        <v>0</v>
      </c>
      <c r="D6" s="77">
        <f t="shared" si="0"/>
        <v>691</v>
      </c>
      <c r="E6" s="77">
        <f t="shared" si="0"/>
        <v>1612</v>
      </c>
      <c r="F6" s="78">
        <f t="shared" si="0"/>
        <v>921</v>
      </c>
      <c r="G6" s="166">
        <f t="shared" si="0"/>
        <v>0</v>
      </c>
      <c r="H6" s="77">
        <f t="shared" si="0"/>
        <v>14469</v>
      </c>
      <c r="I6" s="77">
        <f t="shared" si="0"/>
        <v>18543</v>
      </c>
      <c r="J6" s="78">
        <f t="shared" si="0"/>
        <v>4074</v>
      </c>
      <c r="K6" s="166">
        <f t="shared" si="0"/>
        <v>0</v>
      </c>
      <c r="L6" s="77">
        <f t="shared" si="0"/>
        <v>802</v>
      </c>
      <c r="M6" s="77">
        <f t="shared" si="0"/>
        <v>1532</v>
      </c>
      <c r="N6" s="78">
        <f t="shared" si="0"/>
        <v>730</v>
      </c>
      <c r="O6" s="166">
        <f t="shared" si="0"/>
        <v>19299</v>
      </c>
      <c r="P6" s="166">
        <f t="shared" si="0"/>
        <v>22292</v>
      </c>
      <c r="Q6" s="77">
        <f t="shared" si="0"/>
        <v>22956</v>
      </c>
      <c r="R6" s="78">
        <f t="shared" si="0"/>
        <v>664</v>
      </c>
      <c r="S6" s="320">
        <f aca="true" t="shared" si="1" ref="S6:U11">C6+G6+K6+O6</f>
        <v>19299</v>
      </c>
      <c r="T6" s="257">
        <f t="shared" si="1"/>
        <v>38254</v>
      </c>
      <c r="U6" s="257">
        <f t="shared" si="1"/>
        <v>44643</v>
      </c>
      <c r="V6" s="78">
        <f>V7+V8</f>
        <v>6389</v>
      </c>
      <c r="W6" s="166">
        <f>W7+W8</f>
        <v>862419</v>
      </c>
      <c r="X6" s="77">
        <f>SUM(X7:X8)</f>
        <v>887010</v>
      </c>
      <c r="Y6" s="77">
        <f>SUM(Y7:Y8)</f>
        <v>893623</v>
      </c>
      <c r="Z6" s="78">
        <f>Z7+Z8</f>
        <v>6613</v>
      </c>
      <c r="AA6" s="328">
        <f aca="true" t="shared" si="2" ref="AA6:AC11">S6+W6</f>
        <v>881718</v>
      </c>
      <c r="AB6" s="258">
        <f t="shared" si="2"/>
        <v>925264</v>
      </c>
      <c r="AC6" s="258">
        <f t="shared" si="2"/>
        <v>938266</v>
      </c>
      <c r="AD6" s="78">
        <f>AD7+AD8</f>
        <v>13002</v>
      </c>
      <c r="AE6" s="335">
        <f aca="true" t="shared" si="3" ref="AE6:AG11">AA6</f>
        <v>881718</v>
      </c>
      <c r="AF6" s="219">
        <f t="shared" si="3"/>
        <v>925264</v>
      </c>
      <c r="AG6" s="219">
        <f t="shared" si="3"/>
        <v>938266</v>
      </c>
      <c r="AH6" s="343">
        <f aca="true" t="shared" si="4" ref="AH6:AT6">AH7+AH8</f>
        <v>13002</v>
      </c>
      <c r="AI6" s="166">
        <f t="shared" si="4"/>
        <v>873797</v>
      </c>
      <c r="AJ6" s="77">
        <f t="shared" si="4"/>
        <v>903085</v>
      </c>
      <c r="AK6" s="77">
        <f t="shared" si="4"/>
        <v>912087</v>
      </c>
      <c r="AL6" s="220">
        <f t="shared" si="4"/>
        <v>9002</v>
      </c>
      <c r="AM6" s="166">
        <f t="shared" si="4"/>
        <v>7921</v>
      </c>
      <c r="AN6" s="77">
        <f t="shared" si="4"/>
        <v>22179</v>
      </c>
      <c r="AO6" s="77">
        <f t="shared" si="4"/>
        <v>26179</v>
      </c>
      <c r="AP6" s="220">
        <f t="shared" si="4"/>
        <v>4000</v>
      </c>
      <c r="AQ6" s="166">
        <f t="shared" si="4"/>
        <v>0</v>
      </c>
      <c r="AR6" s="77">
        <f t="shared" si="4"/>
        <v>0</v>
      </c>
      <c r="AS6" s="77">
        <f t="shared" si="4"/>
        <v>0</v>
      </c>
      <c r="AT6" s="220">
        <f t="shared" si="4"/>
        <v>0</v>
      </c>
      <c r="AU6" s="35"/>
      <c r="AV6" s="353">
        <f aca="true" t="shared" si="5" ref="AV6:AV28">AL6+AP6</f>
        <v>13002</v>
      </c>
    </row>
    <row r="7" spans="2:48" s="18" customFormat="1" ht="18" customHeight="1">
      <c r="B7" s="307" t="s">
        <v>137</v>
      </c>
      <c r="C7" s="167"/>
      <c r="D7" s="93"/>
      <c r="E7" s="93"/>
      <c r="F7" s="91">
        <f>E7-D7</f>
        <v>0</v>
      </c>
      <c r="G7" s="167"/>
      <c r="H7" s="93"/>
      <c r="I7" s="93"/>
      <c r="J7" s="91">
        <f>I7-H7</f>
        <v>0</v>
      </c>
      <c r="K7" s="167"/>
      <c r="L7" s="93"/>
      <c r="M7" s="93"/>
      <c r="N7" s="91">
        <f>M7-L7</f>
        <v>0</v>
      </c>
      <c r="O7" s="167"/>
      <c r="P7" s="93"/>
      <c r="Q7" s="93"/>
      <c r="R7" s="91">
        <f>Q7-P7</f>
        <v>0</v>
      </c>
      <c r="S7" s="321">
        <f t="shared" si="1"/>
        <v>0</v>
      </c>
      <c r="T7" s="259">
        <f t="shared" si="1"/>
        <v>0</v>
      </c>
      <c r="U7" s="259">
        <f t="shared" si="1"/>
        <v>0</v>
      </c>
      <c r="V7" s="91">
        <f>U7-T7</f>
        <v>0</v>
      </c>
      <c r="W7" s="167">
        <v>852498</v>
      </c>
      <c r="X7" s="93">
        <v>872682</v>
      </c>
      <c r="Y7" s="93">
        <v>879759</v>
      </c>
      <c r="Z7" s="91">
        <f>Y7-X7</f>
        <v>7077</v>
      </c>
      <c r="AA7" s="329">
        <f t="shared" si="2"/>
        <v>852498</v>
      </c>
      <c r="AB7" s="259">
        <f t="shared" si="2"/>
        <v>872682</v>
      </c>
      <c r="AC7" s="259">
        <f t="shared" si="2"/>
        <v>879759</v>
      </c>
      <c r="AD7" s="91">
        <f>AC7-AB7</f>
        <v>7077</v>
      </c>
      <c r="AE7" s="167">
        <f t="shared" si="3"/>
        <v>852498</v>
      </c>
      <c r="AF7" s="93">
        <f t="shared" si="3"/>
        <v>872682</v>
      </c>
      <c r="AG7" s="93">
        <f t="shared" si="3"/>
        <v>879759</v>
      </c>
      <c r="AH7" s="299">
        <f>AG7-AF7</f>
        <v>7077</v>
      </c>
      <c r="AI7" s="167">
        <v>852498</v>
      </c>
      <c r="AJ7" s="93">
        <v>872682</v>
      </c>
      <c r="AK7" s="93">
        <f>852498+13917+6267+7077</f>
        <v>879759</v>
      </c>
      <c r="AL7" s="91">
        <f>AK7-AJ7</f>
        <v>7077</v>
      </c>
      <c r="AM7" s="167"/>
      <c r="AN7" s="93"/>
      <c r="AO7" s="93"/>
      <c r="AP7" s="91">
        <f>AO7-AN7</f>
        <v>0</v>
      </c>
      <c r="AQ7" s="167"/>
      <c r="AR7" s="93"/>
      <c r="AS7" s="93"/>
      <c r="AT7" s="91">
        <f>AS7-AR7</f>
        <v>0</v>
      </c>
      <c r="AU7" s="35"/>
      <c r="AV7" s="353">
        <f t="shared" si="5"/>
        <v>7077</v>
      </c>
    </row>
    <row r="8" spans="2:48" s="18" customFormat="1" ht="18" customHeight="1">
      <c r="B8" s="307" t="s">
        <v>144</v>
      </c>
      <c r="C8" s="167"/>
      <c r="D8" s="93">
        <v>691</v>
      </c>
      <c r="E8" s="93">
        <v>1612</v>
      </c>
      <c r="F8" s="91">
        <f>E8-D8</f>
        <v>921</v>
      </c>
      <c r="G8" s="167"/>
      <c r="H8" s="93">
        <v>14469</v>
      </c>
      <c r="I8" s="93">
        <v>18543</v>
      </c>
      <c r="J8" s="91">
        <f>I8-H8</f>
        <v>4074</v>
      </c>
      <c r="K8" s="167"/>
      <c r="L8" s="93">
        <v>802</v>
      </c>
      <c r="M8" s="93">
        <v>1532</v>
      </c>
      <c r="N8" s="91">
        <f>M8-L8</f>
        <v>730</v>
      </c>
      <c r="O8" s="167">
        <f>19299</f>
        <v>19299</v>
      </c>
      <c r="P8" s="93">
        <v>22292</v>
      </c>
      <c r="Q8" s="93">
        <v>22956</v>
      </c>
      <c r="R8" s="91">
        <f>Q8-P8</f>
        <v>664</v>
      </c>
      <c r="S8" s="321">
        <f t="shared" si="1"/>
        <v>19299</v>
      </c>
      <c r="T8" s="259">
        <f t="shared" si="1"/>
        <v>38254</v>
      </c>
      <c r="U8" s="259">
        <f t="shared" si="1"/>
        <v>44643</v>
      </c>
      <c r="V8" s="91">
        <f>U8-T8</f>
        <v>6389</v>
      </c>
      <c r="W8" s="167">
        <f>2000+7921</f>
        <v>9921</v>
      </c>
      <c r="X8" s="93">
        <v>14328</v>
      </c>
      <c r="Y8" s="93">
        <v>13864</v>
      </c>
      <c r="Z8" s="91">
        <f>Y8-X8</f>
        <v>-464</v>
      </c>
      <c r="AA8" s="329">
        <f t="shared" si="2"/>
        <v>29220</v>
      </c>
      <c r="AB8" s="259">
        <f t="shared" si="2"/>
        <v>52582</v>
      </c>
      <c r="AC8" s="259">
        <f t="shared" si="2"/>
        <v>58507</v>
      </c>
      <c r="AD8" s="91">
        <f>AC8-AB8</f>
        <v>5925</v>
      </c>
      <c r="AE8" s="167">
        <f t="shared" si="3"/>
        <v>29220</v>
      </c>
      <c r="AF8" s="93">
        <f t="shared" si="3"/>
        <v>52582</v>
      </c>
      <c r="AG8" s="93">
        <f t="shared" si="3"/>
        <v>58507</v>
      </c>
      <c r="AH8" s="299">
        <f>AG8-AF8</f>
        <v>5925</v>
      </c>
      <c r="AI8" s="167">
        <v>21299</v>
      </c>
      <c r="AJ8" s="93">
        <v>30403</v>
      </c>
      <c r="AK8" s="93">
        <f>21299+3949+(5613-350-108)+664+74+921+730-464</f>
        <v>32328</v>
      </c>
      <c r="AL8" s="91">
        <f>AK8-AJ8</f>
        <v>1925</v>
      </c>
      <c r="AM8" s="167">
        <v>7921</v>
      </c>
      <c r="AN8" s="93">
        <v>22179</v>
      </c>
      <c r="AO8" s="93">
        <f>7921+13800+(350+108)+4000</f>
        <v>26179</v>
      </c>
      <c r="AP8" s="91">
        <f>AO8-AN8</f>
        <v>4000</v>
      </c>
      <c r="AQ8" s="167"/>
      <c r="AR8" s="93"/>
      <c r="AS8" s="93"/>
      <c r="AT8" s="91">
        <f>AS8-AR8</f>
        <v>0</v>
      </c>
      <c r="AU8" s="35"/>
      <c r="AV8" s="353">
        <f t="shared" si="5"/>
        <v>5925</v>
      </c>
    </row>
    <row r="9" spans="2:48" s="18" customFormat="1" ht="18" customHeight="1">
      <c r="B9" s="308" t="s">
        <v>91</v>
      </c>
      <c r="C9" s="168"/>
      <c r="D9" s="76"/>
      <c r="E9" s="76"/>
      <c r="F9" s="29">
        <f>E9-D9</f>
        <v>0</v>
      </c>
      <c r="G9" s="168"/>
      <c r="H9" s="76"/>
      <c r="I9" s="76"/>
      <c r="J9" s="29">
        <f>I9-H9</f>
        <v>0</v>
      </c>
      <c r="K9" s="168"/>
      <c r="L9" s="76"/>
      <c r="M9" s="76"/>
      <c r="N9" s="29">
        <f>M9-L9</f>
        <v>0</v>
      </c>
      <c r="O9" s="168"/>
      <c r="P9" s="76"/>
      <c r="Q9" s="76"/>
      <c r="R9" s="29">
        <f>Q9-P9</f>
        <v>0</v>
      </c>
      <c r="S9" s="321">
        <f t="shared" si="1"/>
        <v>0</v>
      </c>
      <c r="T9" s="259">
        <f t="shared" si="1"/>
        <v>0</v>
      </c>
      <c r="U9" s="259">
        <f t="shared" si="1"/>
        <v>0</v>
      </c>
      <c r="V9" s="29">
        <f>U9-T9</f>
        <v>0</v>
      </c>
      <c r="W9" s="168">
        <v>424107</v>
      </c>
      <c r="X9" s="76">
        <v>424107</v>
      </c>
      <c r="Y9" s="76">
        <v>442615</v>
      </c>
      <c r="Z9" s="29">
        <f>Y9-X9</f>
        <v>18508</v>
      </c>
      <c r="AA9" s="329">
        <f t="shared" si="2"/>
        <v>424107</v>
      </c>
      <c r="AB9" s="261">
        <f t="shared" si="2"/>
        <v>424107</v>
      </c>
      <c r="AC9" s="261">
        <f t="shared" si="2"/>
        <v>442615</v>
      </c>
      <c r="AD9" s="29">
        <f>AC9-AB9</f>
        <v>18508</v>
      </c>
      <c r="AE9" s="336">
        <f t="shared" si="3"/>
        <v>424107</v>
      </c>
      <c r="AF9" s="221">
        <f t="shared" si="3"/>
        <v>424107</v>
      </c>
      <c r="AG9" s="221">
        <f t="shared" si="3"/>
        <v>442615</v>
      </c>
      <c r="AH9" s="344">
        <f>AG9-AF9</f>
        <v>18508</v>
      </c>
      <c r="AI9" s="168">
        <v>424107</v>
      </c>
      <c r="AJ9" s="76">
        <v>424107</v>
      </c>
      <c r="AK9" s="76">
        <f>424107+18508</f>
        <v>442615</v>
      </c>
      <c r="AL9" s="222">
        <f>AK9-AJ9</f>
        <v>18508</v>
      </c>
      <c r="AM9" s="168"/>
      <c r="AN9" s="76"/>
      <c r="AO9" s="76"/>
      <c r="AP9" s="222">
        <f>AO9-AN9</f>
        <v>0</v>
      </c>
      <c r="AQ9" s="168"/>
      <c r="AR9" s="76"/>
      <c r="AS9" s="76"/>
      <c r="AT9" s="222">
        <f>AS9-AR9</f>
        <v>0</v>
      </c>
      <c r="AU9" s="35"/>
      <c r="AV9" s="353">
        <f t="shared" si="5"/>
        <v>18508</v>
      </c>
    </row>
    <row r="10" spans="2:48" s="18" customFormat="1" ht="18" customHeight="1">
      <c r="B10" s="308" t="s">
        <v>92</v>
      </c>
      <c r="C10" s="168">
        <v>1900</v>
      </c>
      <c r="D10" s="76">
        <v>1900</v>
      </c>
      <c r="E10" s="76">
        <v>1900</v>
      </c>
      <c r="F10" s="29">
        <f>E10-D10</f>
        <v>0</v>
      </c>
      <c r="G10" s="168">
        <v>67755</v>
      </c>
      <c r="H10" s="76">
        <v>67755</v>
      </c>
      <c r="I10" s="76">
        <v>72597</v>
      </c>
      <c r="J10" s="29">
        <f>I10-H10</f>
        <v>4842</v>
      </c>
      <c r="K10" s="168">
        <v>3100</v>
      </c>
      <c r="L10" s="76">
        <v>3100</v>
      </c>
      <c r="M10" s="76">
        <v>4000</v>
      </c>
      <c r="N10" s="29">
        <f>M10-L10</f>
        <v>900</v>
      </c>
      <c r="O10" s="168">
        <v>1300</v>
      </c>
      <c r="P10" s="76">
        <v>1300</v>
      </c>
      <c r="Q10" s="76">
        <v>1300</v>
      </c>
      <c r="R10" s="29">
        <f>Q10-P10</f>
        <v>0</v>
      </c>
      <c r="S10" s="321">
        <f t="shared" si="1"/>
        <v>74055</v>
      </c>
      <c r="T10" s="259">
        <f t="shared" si="1"/>
        <v>74055</v>
      </c>
      <c r="U10" s="259">
        <f t="shared" si="1"/>
        <v>79797</v>
      </c>
      <c r="V10" s="29">
        <f>U10-T10</f>
        <v>5742</v>
      </c>
      <c r="W10" s="168">
        <f>35646+8635</f>
        <v>44281</v>
      </c>
      <c r="X10" s="76">
        <v>72005</v>
      </c>
      <c r="Y10" s="76">
        <v>101449</v>
      </c>
      <c r="Z10" s="29">
        <f>Y10-X10</f>
        <v>29444</v>
      </c>
      <c r="AA10" s="329">
        <f t="shared" si="2"/>
        <v>118336</v>
      </c>
      <c r="AB10" s="261">
        <f t="shared" si="2"/>
        <v>146060</v>
      </c>
      <c r="AC10" s="261">
        <f t="shared" si="2"/>
        <v>181246</v>
      </c>
      <c r="AD10" s="29">
        <f>AC10-AB10</f>
        <v>35186</v>
      </c>
      <c r="AE10" s="336">
        <f t="shared" si="3"/>
        <v>118336</v>
      </c>
      <c r="AF10" s="221">
        <f t="shared" si="3"/>
        <v>146060</v>
      </c>
      <c r="AG10" s="221">
        <f t="shared" si="3"/>
        <v>181246</v>
      </c>
      <c r="AH10" s="344">
        <f>AG10-AF10</f>
        <v>35186</v>
      </c>
      <c r="AI10" s="168">
        <v>71946</v>
      </c>
      <c r="AJ10" s="76">
        <v>97343</v>
      </c>
      <c r="AK10" s="76">
        <f>71946+22491+(5233-2327)+4842+900+29424</f>
        <v>132509</v>
      </c>
      <c r="AL10" s="222">
        <f>AK10-AJ10</f>
        <v>35166</v>
      </c>
      <c r="AM10" s="168">
        <v>46390</v>
      </c>
      <c r="AN10" s="76">
        <v>48717</v>
      </c>
      <c r="AO10" s="76">
        <f>46390+2327+20</f>
        <v>48737</v>
      </c>
      <c r="AP10" s="222">
        <f>AO10-AN10</f>
        <v>20</v>
      </c>
      <c r="AQ10" s="168"/>
      <c r="AR10" s="76"/>
      <c r="AS10" s="76"/>
      <c r="AT10" s="222">
        <f>AS10-AR10</f>
        <v>0</v>
      </c>
      <c r="AU10" s="35"/>
      <c r="AV10" s="353">
        <f t="shared" si="5"/>
        <v>35186</v>
      </c>
    </row>
    <row r="11" spans="2:48" s="18" customFormat="1" ht="18" customHeight="1" thickBot="1">
      <c r="B11" s="309" t="s">
        <v>94</v>
      </c>
      <c r="C11" s="169"/>
      <c r="D11" s="84">
        <v>1684</v>
      </c>
      <c r="E11" s="84">
        <v>1684</v>
      </c>
      <c r="F11" s="82">
        <f>E11-D11</f>
        <v>0</v>
      </c>
      <c r="G11" s="169"/>
      <c r="H11" s="84">
        <v>950</v>
      </c>
      <c r="I11" s="84">
        <v>13050</v>
      </c>
      <c r="J11" s="82">
        <f>I11-H11</f>
        <v>12100</v>
      </c>
      <c r="K11" s="169"/>
      <c r="L11" s="84"/>
      <c r="M11" s="84"/>
      <c r="N11" s="82">
        <f>M11-L11</f>
        <v>0</v>
      </c>
      <c r="O11" s="169"/>
      <c r="P11" s="84"/>
      <c r="Q11" s="84"/>
      <c r="R11" s="82">
        <f>Q11-P11</f>
        <v>0</v>
      </c>
      <c r="S11" s="321">
        <f t="shared" si="1"/>
        <v>0</v>
      </c>
      <c r="T11" s="263">
        <f t="shared" si="1"/>
        <v>2634</v>
      </c>
      <c r="U11" s="263">
        <f t="shared" si="1"/>
        <v>14734</v>
      </c>
      <c r="V11" s="82">
        <f>U11-T11</f>
        <v>12100</v>
      </c>
      <c r="W11" s="169">
        <v>533</v>
      </c>
      <c r="X11" s="84">
        <v>3261</v>
      </c>
      <c r="Y11" s="84">
        <v>3332</v>
      </c>
      <c r="Z11" s="82">
        <f>Y11-X11</f>
        <v>71</v>
      </c>
      <c r="AA11" s="330">
        <f t="shared" si="2"/>
        <v>533</v>
      </c>
      <c r="AB11" s="264">
        <f t="shared" si="2"/>
        <v>5895</v>
      </c>
      <c r="AC11" s="264">
        <f t="shared" si="2"/>
        <v>18066</v>
      </c>
      <c r="AD11" s="82">
        <f>AC11-AB11</f>
        <v>12171</v>
      </c>
      <c r="AE11" s="337">
        <f t="shared" si="3"/>
        <v>533</v>
      </c>
      <c r="AF11" s="223">
        <f t="shared" si="3"/>
        <v>5895</v>
      </c>
      <c r="AG11" s="223">
        <f t="shared" si="3"/>
        <v>18066</v>
      </c>
      <c r="AH11" s="345">
        <f>AG11-AF11</f>
        <v>12171</v>
      </c>
      <c r="AI11" s="169"/>
      <c r="AJ11" s="84"/>
      <c r="AK11" s="84"/>
      <c r="AL11" s="224">
        <f>AK11-AJ11</f>
        <v>0</v>
      </c>
      <c r="AM11" s="169">
        <v>533</v>
      </c>
      <c r="AN11" s="84">
        <v>5895</v>
      </c>
      <c r="AO11" s="84">
        <f>533+2078+(1684+950+650)+12100+71</f>
        <v>18066</v>
      </c>
      <c r="AP11" s="224">
        <f>AO11-AN11</f>
        <v>12171</v>
      </c>
      <c r="AQ11" s="169"/>
      <c r="AR11" s="84"/>
      <c r="AS11" s="84"/>
      <c r="AT11" s="224">
        <f>AS11-AR11</f>
        <v>0</v>
      </c>
      <c r="AU11" s="35"/>
      <c r="AV11" s="353">
        <f t="shared" si="5"/>
        <v>12171</v>
      </c>
    </row>
    <row r="12" spans="2:48" s="20" customFormat="1" ht="18" customHeight="1" thickBot="1">
      <c r="B12" s="310" t="s">
        <v>127</v>
      </c>
      <c r="C12" s="170">
        <f aca="true" t="shared" si="6" ref="C12:AT12">C6+C9+C10+C11</f>
        <v>1900</v>
      </c>
      <c r="D12" s="171">
        <f t="shared" si="6"/>
        <v>4275</v>
      </c>
      <c r="E12" s="171">
        <f t="shared" si="6"/>
        <v>5196</v>
      </c>
      <c r="F12" s="31">
        <f t="shared" si="6"/>
        <v>921</v>
      </c>
      <c r="G12" s="170">
        <f t="shared" si="6"/>
        <v>67755</v>
      </c>
      <c r="H12" s="171">
        <f t="shared" si="6"/>
        <v>83174</v>
      </c>
      <c r="I12" s="171">
        <f t="shared" si="6"/>
        <v>104190</v>
      </c>
      <c r="J12" s="31">
        <f t="shared" si="6"/>
        <v>21016</v>
      </c>
      <c r="K12" s="170">
        <f t="shared" si="6"/>
        <v>3100</v>
      </c>
      <c r="L12" s="171">
        <f t="shared" si="6"/>
        <v>3902</v>
      </c>
      <c r="M12" s="171">
        <f t="shared" si="6"/>
        <v>5532</v>
      </c>
      <c r="N12" s="31">
        <f t="shared" si="6"/>
        <v>1630</v>
      </c>
      <c r="O12" s="170">
        <f t="shared" si="6"/>
        <v>20599</v>
      </c>
      <c r="P12" s="171">
        <f t="shared" si="6"/>
        <v>23592</v>
      </c>
      <c r="Q12" s="171">
        <f t="shared" si="6"/>
        <v>24256</v>
      </c>
      <c r="R12" s="31">
        <f t="shared" si="6"/>
        <v>664</v>
      </c>
      <c r="S12" s="322">
        <f t="shared" si="6"/>
        <v>93354</v>
      </c>
      <c r="T12" s="265">
        <f t="shared" si="6"/>
        <v>114943</v>
      </c>
      <c r="U12" s="265">
        <f t="shared" si="6"/>
        <v>139174</v>
      </c>
      <c r="V12" s="31">
        <f t="shared" si="6"/>
        <v>24231</v>
      </c>
      <c r="W12" s="170">
        <f t="shared" si="6"/>
        <v>1331340</v>
      </c>
      <c r="X12" s="171">
        <f t="shared" si="6"/>
        <v>1386383</v>
      </c>
      <c r="Y12" s="171">
        <f t="shared" si="6"/>
        <v>1441019</v>
      </c>
      <c r="Z12" s="31">
        <f t="shared" si="6"/>
        <v>54636</v>
      </c>
      <c r="AA12" s="185">
        <f t="shared" si="6"/>
        <v>1424694</v>
      </c>
      <c r="AB12" s="99">
        <f t="shared" si="6"/>
        <v>1501326</v>
      </c>
      <c r="AC12" s="99">
        <f t="shared" si="6"/>
        <v>1580193</v>
      </c>
      <c r="AD12" s="31">
        <f t="shared" si="6"/>
        <v>78867</v>
      </c>
      <c r="AE12" s="170">
        <f t="shared" si="6"/>
        <v>1424694</v>
      </c>
      <c r="AF12" s="99">
        <f t="shared" si="6"/>
        <v>1501326</v>
      </c>
      <c r="AG12" s="99">
        <f t="shared" si="6"/>
        <v>1580193</v>
      </c>
      <c r="AH12" s="303">
        <f t="shared" si="6"/>
        <v>78867</v>
      </c>
      <c r="AI12" s="170">
        <f t="shared" si="6"/>
        <v>1369850</v>
      </c>
      <c r="AJ12" s="171">
        <f t="shared" si="6"/>
        <v>1424535</v>
      </c>
      <c r="AK12" s="171">
        <f t="shared" si="6"/>
        <v>1487211</v>
      </c>
      <c r="AL12" s="98">
        <f t="shared" si="6"/>
        <v>62676</v>
      </c>
      <c r="AM12" s="170">
        <f t="shared" si="6"/>
        <v>54844</v>
      </c>
      <c r="AN12" s="171">
        <f t="shared" si="6"/>
        <v>76791</v>
      </c>
      <c r="AO12" s="171">
        <f t="shared" si="6"/>
        <v>92982</v>
      </c>
      <c r="AP12" s="98">
        <f t="shared" si="6"/>
        <v>16191</v>
      </c>
      <c r="AQ12" s="170">
        <f t="shared" si="6"/>
        <v>0</v>
      </c>
      <c r="AR12" s="171">
        <f t="shared" si="6"/>
        <v>0</v>
      </c>
      <c r="AS12" s="171">
        <f t="shared" si="6"/>
        <v>0</v>
      </c>
      <c r="AT12" s="98">
        <f t="shared" si="6"/>
        <v>0</v>
      </c>
      <c r="AU12" s="35"/>
      <c r="AV12" s="353">
        <f t="shared" si="5"/>
        <v>78867</v>
      </c>
    </row>
    <row r="13" spans="2:48" s="18" customFormat="1" ht="18" customHeight="1">
      <c r="B13" s="306" t="s">
        <v>110</v>
      </c>
      <c r="C13" s="172">
        <f>C14</f>
        <v>0</v>
      </c>
      <c r="D13" s="172">
        <f>D14</f>
        <v>0</v>
      </c>
      <c r="E13" s="172">
        <f>E14</f>
        <v>0</v>
      </c>
      <c r="F13" s="28">
        <f>E13-D13</f>
        <v>0</v>
      </c>
      <c r="G13" s="172">
        <f>G14</f>
        <v>0</v>
      </c>
      <c r="H13" s="173">
        <f>H14</f>
        <v>0</v>
      </c>
      <c r="I13" s="173">
        <f>I14</f>
        <v>0</v>
      </c>
      <c r="J13" s="28">
        <f>I13-H13</f>
        <v>0</v>
      </c>
      <c r="K13" s="172">
        <f>K14</f>
        <v>0</v>
      </c>
      <c r="L13" s="173">
        <f>L14</f>
        <v>0</v>
      </c>
      <c r="M13" s="173">
        <f>M14</f>
        <v>0</v>
      </c>
      <c r="N13" s="28">
        <f>M13-L13</f>
        <v>0</v>
      </c>
      <c r="O13" s="172">
        <f>O14</f>
        <v>0</v>
      </c>
      <c r="P13" s="173">
        <f>P14</f>
        <v>0</v>
      </c>
      <c r="Q13" s="173">
        <f>Q14</f>
        <v>0</v>
      </c>
      <c r="R13" s="28">
        <f>Q13-P13</f>
        <v>0</v>
      </c>
      <c r="S13" s="323">
        <f aca="true" t="shared" si="7" ref="S13:U18">C13+G13+K13+O13</f>
        <v>0</v>
      </c>
      <c r="T13" s="267">
        <f t="shared" si="7"/>
        <v>0</v>
      </c>
      <c r="U13" s="267">
        <f t="shared" si="7"/>
        <v>0</v>
      </c>
      <c r="V13" s="28">
        <f>U13-T13</f>
        <v>0</v>
      </c>
      <c r="W13" s="172">
        <v>100000</v>
      </c>
      <c r="X13" s="173">
        <v>106228</v>
      </c>
      <c r="Y13" s="173">
        <v>135534</v>
      </c>
      <c r="Z13" s="28">
        <f>Y13-X13</f>
        <v>29306</v>
      </c>
      <c r="AA13" s="331">
        <f aca="true" t="shared" si="8" ref="AA13:AC18">S13+W13</f>
        <v>100000</v>
      </c>
      <c r="AB13" s="269">
        <f t="shared" si="8"/>
        <v>106228</v>
      </c>
      <c r="AC13" s="269">
        <f t="shared" si="8"/>
        <v>135534</v>
      </c>
      <c r="AD13" s="28">
        <f>AC13-AB13</f>
        <v>29306</v>
      </c>
      <c r="AE13" s="338">
        <f aca="true" t="shared" si="9" ref="AE13:AG18">AA13</f>
        <v>100000</v>
      </c>
      <c r="AF13" s="225">
        <f t="shared" si="9"/>
        <v>106228</v>
      </c>
      <c r="AG13" s="225">
        <f t="shared" si="9"/>
        <v>135534</v>
      </c>
      <c r="AH13" s="346">
        <f>AG13-AF13</f>
        <v>29306</v>
      </c>
      <c r="AI13" s="172">
        <v>100000</v>
      </c>
      <c r="AJ13" s="172">
        <v>106228</v>
      </c>
      <c r="AK13" s="172">
        <v>135534</v>
      </c>
      <c r="AL13" s="226">
        <f>AK13-AJ13</f>
        <v>29306</v>
      </c>
      <c r="AM13" s="172"/>
      <c r="AN13" s="173"/>
      <c r="AO13" s="173"/>
      <c r="AP13" s="226">
        <f>AO13-AN13</f>
        <v>0</v>
      </c>
      <c r="AQ13" s="172"/>
      <c r="AR13" s="173"/>
      <c r="AS13" s="173"/>
      <c r="AT13" s="226">
        <f>AS13-AR13</f>
        <v>0</v>
      </c>
      <c r="AU13" s="35"/>
      <c r="AV13" s="353">
        <f t="shared" si="5"/>
        <v>29306</v>
      </c>
    </row>
    <row r="14" spans="2:48" s="18" customFormat="1" ht="18" customHeight="1">
      <c r="B14" s="311" t="s">
        <v>125</v>
      </c>
      <c r="C14" s="174"/>
      <c r="D14" s="175"/>
      <c r="E14" s="175"/>
      <c r="F14" s="97">
        <f>E14-D14</f>
        <v>0</v>
      </c>
      <c r="G14" s="174"/>
      <c r="H14" s="175"/>
      <c r="I14" s="175"/>
      <c r="J14" s="97">
        <f>I14-H14</f>
        <v>0</v>
      </c>
      <c r="K14" s="174"/>
      <c r="L14" s="175"/>
      <c r="M14" s="175"/>
      <c r="N14" s="97">
        <f>M14-L14</f>
        <v>0</v>
      </c>
      <c r="O14" s="174"/>
      <c r="P14" s="175"/>
      <c r="Q14" s="175"/>
      <c r="R14" s="97">
        <f>Q14-P14</f>
        <v>0</v>
      </c>
      <c r="S14" s="323">
        <f t="shared" si="7"/>
        <v>0</v>
      </c>
      <c r="T14" s="267">
        <f t="shared" si="7"/>
        <v>0</v>
      </c>
      <c r="U14" s="267">
        <f t="shared" si="7"/>
        <v>0</v>
      </c>
      <c r="V14" s="97">
        <f>U14-T14</f>
        <v>0</v>
      </c>
      <c r="W14" s="174">
        <v>100000</v>
      </c>
      <c r="X14" s="175">
        <v>106228</v>
      </c>
      <c r="Y14" s="175">
        <v>115259</v>
      </c>
      <c r="Z14" s="97">
        <f>Y14-X14</f>
        <v>9031</v>
      </c>
      <c r="AA14" s="331">
        <f t="shared" si="8"/>
        <v>100000</v>
      </c>
      <c r="AB14" s="267">
        <f t="shared" si="8"/>
        <v>106228</v>
      </c>
      <c r="AC14" s="267">
        <f t="shared" si="8"/>
        <v>115259</v>
      </c>
      <c r="AD14" s="97">
        <f>AC14-AB14</f>
        <v>9031</v>
      </c>
      <c r="AE14" s="174">
        <f t="shared" si="9"/>
        <v>100000</v>
      </c>
      <c r="AF14" s="175">
        <f t="shared" si="9"/>
        <v>106228</v>
      </c>
      <c r="AG14" s="175">
        <f t="shared" si="9"/>
        <v>115259</v>
      </c>
      <c r="AH14" s="300">
        <f>AG14-AF14</f>
        <v>9031</v>
      </c>
      <c r="AI14" s="174">
        <v>100000</v>
      </c>
      <c r="AJ14" s="175">
        <v>106228</v>
      </c>
      <c r="AK14" s="175">
        <v>115259</v>
      </c>
      <c r="AL14" s="97">
        <f>AK14-AJ14</f>
        <v>9031</v>
      </c>
      <c r="AM14" s="174"/>
      <c r="AN14" s="175"/>
      <c r="AO14" s="175"/>
      <c r="AP14" s="97">
        <f>AO14-AN14</f>
        <v>0</v>
      </c>
      <c r="AQ14" s="174"/>
      <c r="AR14" s="175"/>
      <c r="AS14" s="175"/>
      <c r="AT14" s="97">
        <f>AS14-AR14</f>
        <v>0</v>
      </c>
      <c r="AU14" s="35"/>
      <c r="AV14" s="353">
        <f t="shared" si="5"/>
        <v>9031</v>
      </c>
    </row>
    <row r="15" spans="2:48" s="18" customFormat="1" ht="18" customHeight="1">
      <c r="B15" s="308" t="s">
        <v>93</v>
      </c>
      <c r="C15" s="168"/>
      <c r="D15" s="76"/>
      <c r="E15" s="76"/>
      <c r="F15" s="29">
        <f>E15-D15</f>
        <v>0</v>
      </c>
      <c r="G15" s="168"/>
      <c r="H15" s="76"/>
      <c r="I15" s="76"/>
      <c r="J15" s="29">
        <f>I15-H15</f>
        <v>0</v>
      </c>
      <c r="K15" s="168"/>
      <c r="L15" s="76"/>
      <c r="M15" s="76"/>
      <c r="N15" s="29">
        <f>M15-L15</f>
        <v>0</v>
      </c>
      <c r="O15" s="168"/>
      <c r="P15" s="76"/>
      <c r="Q15" s="76"/>
      <c r="R15" s="29">
        <f>Q15-P15</f>
        <v>0</v>
      </c>
      <c r="S15" s="323">
        <f t="shared" si="7"/>
        <v>0</v>
      </c>
      <c r="T15" s="259">
        <f t="shared" si="7"/>
        <v>0</v>
      </c>
      <c r="U15" s="259">
        <f t="shared" si="7"/>
        <v>0</v>
      </c>
      <c r="V15" s="29">
        <f>U15-T15</f>
        <v>0</v>
      </c>
      <c r="W15" s="168">
        <v>76415</v>
      </c>
      <c r="X15" s="76">
        <v>56415</v>
      </c>
      <c r="Y15" s="76">
        <v>36496</v>
      </c>
      <c r="Z15" s="29">
        <f>Y15-X15</f>
        <v>-19919</v>
      </c>
      <c r="AA15" s="329">
        <f t="shared" si="8"/>
        <v>76415</v>
      </c>
      <c r="AB15" s="261">
        <f t="shared" si="8"/>
        <v>56415</v>
      </c>
      <c r="AC15" s="261">
        <f t="shared" si="8"/>
        <v>36496</v>
      </c>
      <c r="AD15" s="29">
        <f>AC15-AB15</f>
        <v>-19919</v>
      </c>
      <c r="AE15" s="336">
        <f t="shared" si="9"/>
        <v>76415</v>
      </c>
      <c r="AF15" s="221">
        <f t="shared" si="9"/>
        <v>56415</v>
      </c>
      <c r="AG15" s="221">
        <f t="shared" si="9"/>
        <v>36496</v>
      </c>
      <c r="AH15" s="344">
        <f>AG15-AF15</f>
        <v>-19919</v>
      </c>
      <c r="AI15" s="168">
        <v>76415</v>
      </c>
      <c r="AJ15" s="76">
        <f>76415-20000</f>
        <v>56415</v>
      </c>
      <c r="AK15" s="76">
        <v>36496</v>
      </c>
      <c r="AL15" s="222">
        <f>AK15-AJ15</f>
        <v>-19919</v>
      </c>
      <c r="AM15" s="168"/>
      <c r="AN15" s="76"/>
      <c r="AO15" s="76"/>
      <c r="AP15" s="222">
        <f>AO15-AN15</f>
        <v>0</v>
      </c>
      <c r="AQ15" s="168"/>
      <c r="AR15" s="76"/>
      <c r="AS15" s="76"/>
      <c r="AT15" s="222">
        <f>AS15-AR15</f>
        <v>0</v>
      </c>
      <c r="AU15" s="35"/>
      <c r="AV15" s="353">
        <f t="shared" si="5"/>
        <v>-19919</v>
      </c>
    </row>
    <row r="16" spans="2:48" s="18" customFormat="1" ht="18" customHeight="1">
      <c r="B16" s="308" t="s">
        <v>74</v>
      </c>
      <c r="C16" s="168">
        <f aca="true" t="shared" si="10" ref="C16:R16">SUM(C17:C18)</f>
        <v>0</v>
      </c>
      <c r="D16" s="76">
        <f t="shared" si="10"/>
        <v>0</v>
      </c>
      <c r="E16" s="76">
        <f t="shared" si="10"/>
        <v>0</v>
      </c>
      <c r="F16" s="29">
        <f t="shared" si="10"/>
        <v>0</v>
      </c>
      <c r="G16" s="168">
        <f t="shared" si="10"/>
        <v>0</v>
      </c>
      <c r="H16" s="76">
        <f t="shared" si="10"/>
        <v>0</v>
      </c>
      <c r="I16" s="76">
        <f t="shared" si="10"/>
        <v>0</v>
      </c>
      <c r="J16" s="29">
        <f t="shared" si="10"/>
        <v>0</v>
      </c>
      <c r="K16" s="168">
        <f t="shared" si="10"/>
        <v>0</v>
      </c>
      <c r="L16" s="76">
        <f t="shared" si="10"/>
        <v>0</v>
      </c>
      <c r="M16" s="76">
        <f t="shared" si="10"/>
        <v>0</v>
      </c>
      <c r="N16" s="29">
        <f t="shared" si="10"/>
        <v>0</v>
      </c>
      <c r="O16" s="168">
        <f t="shared" si="10"/>
        <v>0</v>
      </c>
      <c r="P16" s="76">
        <f t="shared" si="10"/>
        <v>0</v>
      </c>
      <c r="Q16" s="76">
        <f t="shared" si="10"/>
        <v>0</v>
      </c>
      <c r="R16" s="29">
        <f t="shared" si="10"/>
        <v>0</v>
      </c>
      <c r="S16" s="321">
        <f t="shared" si="7"/>
        <v>0</v>
      </c>
      <c r="T16" s="259">
        <f t="shared" si="7"/>
        <v>0</v>
      </c>
      <c r="U16" s="259">
        <f t="shared" si="7"/>
        <v>0</v>
      </c>
      <c r="V16" s="29">
        <f>SUM(V17:V18)</f>
        <v>0</v>
      </c>
      <c r="W16" s="168">
        <f>SUM(W17:W18)</f>
        <v>26964</v>
      </c>
      <c r="X16" s="76">
        <f>SUM(X17:X18)</f>
        <v>26250</v>
      </c>
      <c r="Y16" s="76">
        <f>SUM(Y17:Y18)</f>
        <v>17980</v>
      </c>
      <c r="Z16" s="29">
        <f>SUM(Z17:Z18)</f>
        <v>-8270</v>
      </c>
      <c r="AA16" s="329">
        <f t="shared" si="8"/>
        <v>26964</v>
      </c>
      <c r="AB16" s="261">
        <f t="shared" si="8"/>
        <v>26250</v>
      </c>
      <c r="AC16" s="261">
        <f t="shared" si="8"/>
        <v>17980</v>
      </c>
      <c r="AD16" s="29">
        <f>SUM(AD17:AD18)</f>
        <v>-8270</v>
      </c>
      <c r="AE16" s="336">
        <f t="shared" si="9"/>
        <v>26964</v>
      </c>
      <c r="AF16" s="221">
        <f t="shared" si="9"/>
        <v>26250</v>
      </c>
      <c r="AG16" s="221">
        <f t="shared" si="9"/>
        <v>17980</v>
      </c>
      <c r="AH16" s="344">
        <f aca="true" t="shared" si="11" ref="AH16:AT16">SUM(AH17:AH18)</f>
        <v>-8270</v>
      </c>
      <c r="AI16" s="168">
        <f t="shared" si="11"/>
        <v>20567</v>
      </c>
      <c r="AJ16" s="76">
        <f t="shared" si="11"/>
        <v>19853</v>
      </c>
      <c r="AK16" s="76">
        <f t="shared" si="11"/>
        <v>9789</v>
      </c>
      <c r="AL16" s="222">
        <f t="shared" si="11"/>
        <v>-10064</v>
      </c>
      <c r="AM16" s="168">
        <f t="shared" si="11"/>
        <v>6397</v>
      </c>
      <c r="AN16" s="76">
        <f t="shared" si="11"/>
        <v>6397</v>
      </c>
      <c r="AO16" s="76">
        <f t="shared" si="11"/>
        <v>8191</v>
      </c>
      <c r="AP16" s="222">
        <f t="shared" si="11"/>
        <v>1794</v>
      </c>
      <c r="AQ16" s="168">
        <f t="shared" si="11"/>
        <v>0</v>
      </c>
      <c r="AR16" s="76">
        <f t="shared" si="11"/>
        <v>0</v>
      </c>
      <c r="AS16" s="76">
        <f t="shared" si="11"/>
        <v>0</v>
      </c>
      <c r="AT16" s="222">
        <f t="shared" si="11"/>
        <v>0</v>
      </c>
      <c r="AU16" s="35"/>
      <c r="AV16" s="353">
        <f t="shared" si="5"/>
        <v>-8270</v>
      </c>
    </row>
    <row r="17" spans="2:48" s="18" customFormat="1" ht="18" customHeight="1">
      <c r="B17" s="312" t="s">
        <v>184</v>
      </c>
      <c r="C17" s="167"/>
      <c r="D17" s="93"/>
      <c r="E17" s="93"/>
      <c r="F17" s="91">
        <f>E17-D17</f>
        <v>0</v>
      </c>
      <c r="G17" s="167"/>
      <c r="H17" s="93"/>
      <c r="I17" s="93"/>
      <c r="J17" s="91">
        <f>I17-H17</f>
        <v>0</v>
      </c>
      <c r="K17" s="167"/>
      <c r="L17" s="93"/>
      <c r="M17" s="93"/>
      <c r="N17" s="91">
        <f>M17-L17</f>
        <v>0</v>
      </c>
      <c r="O17" s="167"/>
      <c r="P17" s="93"/>
      <c r="Q17" s="93"/>
      <c r="R17" s="91">
        <f>Q17-P17</f>
        <v>0</v>
      </c>
      <c r="S17" s="321">
        <f t="shared" si="7"/>
        <v>0</v>
      </c>
      <c r="T17" s="259">
        <f t="shared" si="7"/>
        <v>0</v>
      </c>
      <c r="U17" s="259">
        <f t="shared" si="7"/>
        <v>0</v>
      </c>
      <c r="V17" s="91">
        <f>U17-T17</f>
        <v>0</v>
      </c>
      <c r="W17" s="167">
        <v>14530</v>
      </c>
      <c r="X17" s="93">
        <v>15166</v>
      </c>
      <c r="Y17" s="93">
        <v>16960</v>
      </c>
      <c r="Z17" s="91">
        <f>Y17-X17</f>
        <v>1794</v>
      </c>
      <c r="AA17" s="329">
        <f t="shared" si="8"/>
        <v>14530</v>
      </c>
      <c r="AB17" s="259">
        <f t="shared" si="8"/>
        <v>15166</v>
      </c>
      <c r="AC17" s="259">
        <f t="shared" si="8"/>
        <v>16960</v>
      </c>
      <c r="AD17" s="91">
        <f>AC17-AB17</f>
        <v>1794</v>
      </c>
      <c r="AE17" s="167">
        <f t="shared" si="9"/>
        <v>14530</v>
      </c>
      <c r="AF17" s="93">
        <f t="shared" si="9"/>
        <v>15166</v>
      </c>
      <c r="AG17" s="93">
        <f t="shared" si="9"/>
        <v>16960</v>
      </c>
      <c r="AH17" s="299">
        <f>AG17-AF17</f>
        <v>1794</v>
      </c>
      <c r="AI17" s="167">
        <v>8133</v>
      </c>
      <c r="AJ17" s="93">
        <v>8769</v>
      </c>
      <c r="AK17" s="93">
        <f>8133+636</f>
        <v>8769</v>
      </c>
      <c r="AL17" s="91">
        <f>AK17-AJ17</f>
        <v>0</v>
      </c>
      <c r="AM17" s="167">
        <v>6397</v>
      </c>
      <c r="AN17" s="93">
        <v>6397</v>
      </c>
      <c r="AO17" s="93">
        <f>6397+1794</f>
        <v>8191</v>
      </c>
      <c r="AP17" s="91">
        <f>AO17-AN17</f>
        <v>1794</v>
      </c>
      <c r="AQ17" s="167"/>
      <c r="AR17" s="93"/>
      <c r="AS17" s="93"/>
      <c r="AT17" s="91">
        <f>AS17-AR17</f>
        <v>0</v>
      </c>
      <c r="AU17" s="35"/>
      <c r="AV17" s="353">
        <f t="shared" si="5"/>
        <v>1794</v>
      </c>
    </row>
    <row r="18" spans="2:48" s="18" customFormat="1" ht="18" customHeight="1" thickBot="1">
      <c r="B18" s="312" t="s">
        <v>185</v>
      </c>
      <c r="C18" s="176"/>
      <c r="D18" s="177"/>
      <c r="E18" s="177"/>
      <c r="F18" s="96">
        <f>E18-D18</f>
        <v>0</v>
      </c>
      <c r="G18" s="176"/>
      <c r="H18" s="177"/>
      <c r="I18" s="177"/>
      <c r="J18" s="96">
        <f>I18-H18</f>
        <v>0</v>
      </c>
      <c r="K18" s="176"/>
      <c r="L18" s="177"/>
      <c r="M18" s="177"/>
      <c r="N18" s="96">
        <f>M18-L18</f>
        <v>0</v>
      </c>
      <c r="O18" s="176"/>
      <c r="P18" s="177"/>
      <c r="Q18" s="177"/>
      <c r="R18" s="96">
        <f>Q18-P18</f>
        <v>0</v>
      </c>
      <c r="S18" s="321">
        <f t="shared" si="7"/>
        <v>0</v>
      </c>
      <c r="T18" s="263">
        <f t="shared" si="7"/>
        <v>0</v>
      </c>
      <c r="U18" s="263">
        <f t="shared" si="7"/>
        <v>0</v>
      </c>
      <c r="V18" s="96">
        <f>U18-T18</f>
        <v>0</v>
      </c>
      <c r="W18" s="176">
        <v>12434</v>
      </c>
      <c r="X18" s="177">
        <v>11084</v>
      </c>
      <c r="Y18" s="177">
        <v>1020</v>
      </c>
      <c r="Z18" s="96">
        <f>Y18-X18</f>
        <v>-10064</v>
      </c>
      <c r="AA18" s="330">
        <f t="shared" si="8"/>
        <v>12434</v>
      </c>
      <c r="AB18" s="263">
        <f t="shared" si="8"/>
        <v>11084</v>
      </c>
      <c r="AC18" s="263">
        <f t="shared" si="8"/>
        <v>1020</v>
      </c>
      <c r="AD18" s="96">
        <f>AC18-AB18</f>
        <v>-10064</v>
      </c>
      <c r="AE18" s="176">
        <f t="shared" si="9"/>
        <v>12434</v>
      </c>
      <c r="AF18" s="177">
        <f t="shared" si="9"/>
        <v>11084</v>
      </c>
      <c r="AG18" s="177">
        <f t="shared" si="9"/>
        <v>1020</v>
      </c>
      <c r="AH18" s="301">
        <f>AG18-AF18</f>
        <v>-10064</v>
      </c>
      <c r="AI18" s="176">
        <v>12434</v>
      </c>
      <c r="AJ18" s="177">
        <v>11084</v>
      </c>
      <c r="AK18" s="177">
        <f>12434-2370+1020-10064</f>
        <v>1020</v>
      </c>
      <c r="AL18" s="96">
        <f>AK18-AJ18</f>
        <v>-10064</v>
      </c>
      <c r="AM18" s="176"/>
      <c r="AN18" s="177"/>
      <c r="AO18" s="177"/>
      <c r="AP18" s="96">
        <f>AO18-AN18</f>
        <v>0</v>
      </c>
      <c r="AQ18" s="176"/>
      <c r="AR18" s="177"/>
      <c r="AS18" s="177"/>
      <c r="AT18" s="96">
        <f>AS18-AR18</f>
        <v>0</v>
      </c>
      <c r="AU18" s="35"/>
      <c r="AV18" s="353">
        <f t="shared" si="5"/>
        <v>-10064</v>
      </c>
    </row>
    <row r="19" spans="2:48" s="20" customFormat="1" ht="18" customHeight="1" thickBot="1">
      <c r="B19" s="310" t="s">
        <v>128</v>
      </c>
      <c r="C19" s="170">
        <f aca="true" t="shared" si="12" ref="C19:AT19">C16+C15+C13</f>
        <v>0</v>
      </c>
      <c r="D19" s="171">
        <f t="shared" si="12"/>
        <v>0</v>
      </c>
      <c r="E19" s="171">
        <f t="shared" si="12"/>
        <v>0</v>
      </c>
      <c r="F19" s="31">
        <f t="shared" si="12"/>
        <v>0</v>
      </c>
      <c r="G19" s="170">
        <f t="shared" si="12"/>
        <v>0</v>
      </c>
      <c r="H19" s="171">
        <f t="shared" si="12"/>
        <v>0</v>
      </c>
      <c r="I19" s="171">
        <f t="shared" si="12"/>
        <v>0</v>
      </c>
      <c r="J19" s="31">
        <f t="shared" si="12"/>
        <v>0</v>
      </c>
      <c r="K19" s="170">
        <f t="shared" si="12"/>
        <v>0</v>
      </c>
      <c r="L19" s="171">
        <f t="shared" si="12"/>
        <v>0</v>
      </c>
      <c r="M19" s="171">
        <f t="shared" si="12"/>
        <v>0</v>
      </c>
      <c r="N19" s="31">
        <f t="shared" si="12"/>
        <v>0</v>
      </c>
      <c r="O19" s="170">
        <f t="shared" si="12"/>
        <v>0</v>
      </c>
      <c r="P19" s="171">
        <f t="shared" si="12"/>
        <v>0</v>
      </c>
      <c r="Q19" s="171">
        <f t="shared" si="12"/>
        <v>0</v>
      </c>
      <c r="R19" s="31">
        <f t="shared" si="12"/>
        <v>0</v>
      </c>
      <c r="S19" s="322">
        <f t="shared" si="12"/>
        <v>0</v>
      </c>
      <c r="T19" s="265">
        <f t="shared" si="12"/>
        <v>0</v>
      </c>
      <c r="U19" s="265">
        <f t="shared" si="12"/>
        <v>0</v>
      </c>
      <c r="V19" s="31">
        <f t="shared" si="12"/>
        <v>0</v>
      </c>
      <c r="W19" s="170">
        <f t="shared" si="12"/>
        <v>203379</v>
      </c>
      <c r="X19" s="171">
        <f t="shared" si="12"/>
        <v>188893</v>
      </c>
      <c r="Y19" s="171">
        <f t="shared" si="12"/>
        <v>190010</v>
      </c>
      <c r="Z19" s="31">
        <f t="shared" si="12"/>
        <v>1117</v>
      </c>
      <c r="AA19" s="185">
        <f t="shared" si="12"/>
        <v>203379</v>
      </c>
      <c r="AB19" s="99">
        <f t="shared" si="12"/>
        <v>188893</v>
      </c>
      <c r="AC19" s="99">
        <f t="shared" si="12"/>
        <v>190010</v>
      </c>
      <c r="AD19" s="31">
        <f t="shared" si="12"/>
        <v>1117</v>
      </c>
      <c r="AE19" s="170">
        <f t="shared" si="12"/>
        <v>203379</v>
      </c>
      <c r="AF19" s="99">
        <f t="shared" si="12"/>
        <v>188893</v>
      </c>
      <c r="AG19" s="99">
        <f t="shared" si="12"/>
        <v>190010</v>
      </c>
      <c r="AH19" s="303">
        <f t="shared" si="12"/>
        <v>1117</v>
      </c>
      <c r="AI19" s="170">
        <f t="shared" si="12"/>
        <v>196982</v>
      </c>
      <c r="AJ19" s="171">
        <f t="shared" si="12"/>
        <v>182496</v>
      </c>
      <c r="AK19" s="171">
        <f t="shared" si="12"/>
        <v>181819</v>
      </c>
      <c r="AL19" s="98">
        <f t="shared" si="12"/>
        <v>-677</v>
      </c>
      <c r="AM19" s="170">
        <f t="shared" si="12"/>
        <v>6397</v>
      </c>
      <c r="AN19" s="171">
        <f t="shared" si="12"/>
        <v>6397</v>
      </c>
      <c r="AO19" s="171">
        <f t="shared" si="12"/>
        <v>8191</v>
      </c>
      <c r="AP19" s="98">
        <f t="shared" si="12"/>
        <v>1794</v>
      </c>
      <c r="AQ19" s="170">
        <f t="shared" si="12"/>
        <v>0</v>
      </c>
      <c r="AR19" s="171">
        <f t="shared" si="12"/>
        <v>0</v>
      </c>
      <c r="AS19" s="171">
        <f t="shared" si="12"/>
        <v>0</v>
      </c>
      <c r="AT19" s="98">
        <f t="shared" si="12"/>
        <v>0</v>
      </c>
      <c r="AU19" s="35"/>
      <c r="AV19" s="353">
        <f t="shared" si="5"/>
        <v>1117</v>
      </c>
    </row>
    <row r="20" spans="2:48" s="20" customFormat="1" ht="18" customHeight="1" thickBot="1">
      <c r="B20" s="313" t="s">
        <v>126</v>
      </c>
      <c r="C20" s="178">
        <f aca="true" t="shared" si="13" ref="C20:AT20">C19+C12</f>
        <v>1900</v>
      </c>
      <c r="D20" s="179">
        <f t="shared" si="13"/>
        <v>4275</v>
      </c>
      <c r="E20" s="179">
        <f t="shared" si="13"/>
        <v>5196</v>
      </c>
      <c r="F20" s="86">
        <f t="shared" si="13"/>
        <v>921</v>
      </c>
      <c r="G20" s="178">
        <f t="shared" si="13"/>
        <v>67755</v>
      </c>
      <c r="H20" s="179">
        <f t="shared" si="13"/>
        <v>83174</v>
      </c>
      <c r="I20" s="179">
        <f t="shared" si="13"/>
        <v>104190</v>
      </c>
      <c r="J20" s="86">
        <f t="shared" si="13"/>
        <v>21016</v>
      </c>
      <c r="K20" s="178">
        <f t="shared" si="13"/>
        <v>3100</v>
      </c>
      <c r="L20" s="179">
        <f t="shared" si="13"/>
        <v>3902</v>
      </c>
      <c r="M20" s="179">
        <f t="shared" si="13"/>
        <v>5532</v>
      </c>
      <c r="N20" s="86">
        <f t="shared" si="13"/>
        <v>1630</v>
      </c>
      <c r="O20" s="178">
        <f t="shared" si="13"/>
        <v>20599</v>
      </c>
      <c r="P20" s="179">
        <f t="shared" si="13"/>
        <v>23592</v>
      </c>
      <c r="Q20" s="179">
        <f t="shared" si="13"/>
        <v>24256</v>
      </c>
      <c r="R20" s="86">
        <f t="shared" si="13"/>
        <v>664</v>
      </c>
      <c r="S20" s="324">
        <f t="shared" si="13"/>
        <v>93354</v>
      </c>
      <c r="T20" s="271">
        <f t="shared" si="13"/>
        <v>114943</v>
      </c>
      <c r="U20" s="271">
        <f t="shared" si="13"/>
        <v>139174</v>
      </c>
      <c r="V20" s="86">
        <f t="shared" si="13"/>
        <v>24231</v>
      </c>
      <c r="W20" s="178">
        <f t="shared" si="13"/>
        <v>1534719</v>
      </c>
      <c r="X20" s="179">
        <f t="shared" si="13"/>
        <v>1575276</v>
      </c>
      <c r="Y20" s="179">
        <f t="shared" si="13"/>
        <v>1631029</v>
      </c>
      <c r="Z20" s="86">
        <f t="shared" si="13"/>
        <v>55753</v>
      </c>
      <c r="AA20" s="332">
        <f t="shared" si="13"/>
        <v>1628073</v>
      </c>
      <c r="AB20" s="227">
        <f t="shared" si="13"/>
        <v>1690219</v>
      </c>
      <c r="AC20" s="227">
        <f t="shared" si="13"/>
        <v>1770203</v>
      </c>
      <c r="AD20" s="86">
        <f t="shared" si="13"/>
        <v>79984</v>
      </c>
      <c r="AE20" s="178">
        <f t="shared" si="13"/>
        <v>1628073</v>
      </c>
      <c r="AF20" s="227">
        <f t="shared" si="13"/>
        <v>1690219</v>
      </c>
      <c r="AG20" s="227">
        <f t="shared" si="13"/>
        <v>1770203</v>
      </c>
      <c r="AH20" s="347">
        <f t="shared" si="13"/>
        <v>79984</v>
      </c>
      <c r="AI20" s="178">
        <f t="shared" si="13"/>
        <v>1566832</v>
      </c>
      <c r="AJ20" s="179">
        <f t="shared" si="13"/>
        <v>1607031</v>
      </c>
      <c r="AK20" s="179">
        <f t="shared" si="13"/>
        <v>1669030</v>
      </c>
      <c r="AL20" s="228">
        <f t="shared" si="13"/>
        <v>61999</v>
      </c>
      <c r="AM20" s="178">
        <f t="shared" si="13"/>
        <v>61241</v>
      </c>
      <c r="AN20" s="179">
        <f t="shared" si="13"/>
        <v>83188</v>
      </c>
      <c r="AO20" s="179">
        <f t="shared" si="13"/>
        <v>101173</v>
      </c>
      <c r="AP20" s="228">
        <f t="shared" si="13"/>
        <v>17985</v>
      </c>
      <c r="AQ20" s="178">
        <f t="shared" si="13"/>
        <v>0</v>
      </c>
      <c r="AR20" s="179">
        <f t="shared" si="13"/>
        <v>0</v>
      </c>
      <c r="AS20" s="179">
        <f t="shared" si="13"/>
        <v>0</v>
      </c>
      <c r="AT20" s="228">
        <f t="shared" si="13"/>
        <v>0</v>
      </c>
      <c r="AU20" s="35"/>
      <c r="AV20" s="353">
        <f t="shared" si="5"/>
        <v>79984</v>
      </c>
    </row>
    <row r="21" spans="2:48" s="18" customFormat="1" ht="18" customHeight="1">
      <c r="B21" s="314" t="s">
        <v>90</v>
      </c>
      <c r="C21" s="166">
        <f>SUM(C22:C23)</f>
        <v>0</v>
      </c>
      <c r="D21" s="77">
        <f>SUM(D22:D23)</f>
        <v>1308</v>
      </c>
      <c r="E21" s="77">
        <f>SUM(E22:E23)</f>
        <v>1308</v>
      </c>
      <c r="F21" s="78">
        <f>E21-D21</f>
        <v>0</v>
      </c>
      <c r="G21" s="166">
        <f>SUM(G22:G23)</f>
        <v>0</v>
      </c>
      <c r="H21" s="77">
        <f>SUM(H22:H23)</f>
        <v>218</v>
      </c>
      <c r="I21" s="77">
        <f>SUM(I22:I23)</f>
        <v>218</v>
      </c>
      <c r="J21" s="78">
        <f>I21-H21</f>
        <v>0</v>
      </c>
      <c r="K21" s="166">
        <f>SUM(K22:K23)</f>
        <v>0</v>
      </c>
      <c r="L21" s="77">
        <f>SUM(L22:L23)</f>
        <v>8228</v>
      </c>
      <c r="M21" s="77">
        <f>SUM(M22:M23)</f>
        <v>8228</v>
      </c>
      <c r="N21" s="78">
        <f>M21-L21</f>
        <v>0</v>
      </c>
      <c r="O21" s="166">
        <f>SUM(O22:O23)</f>
        <v>0</v>
      </c>
      <c r="P21" s="77">
        <f>SUM(P22:P23)</f>
        <v>14025</v>
      </c>
      <c r="Q21" s="77">
        <f>SUM(Q22:Q23)</f>
        <v>14025</v>
      </c>
      <c r="R21" s="78">
        <f>Q21-P21</f>
        <v>0</v>
      </c>
      <c r="S21" s="320">
        <f aca="true" t="shared" si="14" ref="S21:U24">C21+G21+K21+O21</f>
        <v>0</v>
      </c>
      <c r="T21" s="257">
        <f t="shared" si="14"/>
        <v>23779</v>
      </c>
      <c r="U21" s="257">
        <f t="shared" si="14"/>
        <v>23779</v>
      </c>
      <c r="V21" s="78">
        <f>U21-T21</f>
        <v>0</v>
      </c>
      <c r="W21" s="166">
        <f>SUM(W22:W23)</f>
        <v>163814</v>
      </c>
      <c r="X21" s="77">
        <f>SUM(X22:X23)</f>
        <v>172121</v>
      </c>
      <c r="Y21" s="77">
        <f>SUM(Y22:Y23)</f>
        <v>172121</v>
      </c>
      <c r="Z21" s="78">
        <f>Y21-X21</f>
        <v>0</v>
      </c>
      <c r="AA21" s="328">
        <f aca="true" t="shared" si="15" ref="AA21:AC24">S21+W21</f>
        <v>163814</v>
      </c>
      <c r="AB21" s="258">
        <f t="shared" si="15"/>
        <v>195900</v>
      </c>
      <c r="AC21" s="258">
        <f t="shared" si="15"/>
        <v>195900</v>
      </c>
      <c r="AD21" s="78">
        <f>AC21-AB21</f>
        <v>0</v>
      </c>
      <c r="AE21" s="335">
        <f aca="true" t="shared" si="16" ref="AE21:AG23">AA21</f>
        <v>163814</v>
      </c>
      <c r="AF21" s="219">
        <f t="shared" si="16"/>
        <v>195900</v>
      </c>
      <c r="AG21" s="219">
        <f t="shared" si="16"/>
        <v>195900</v>
      </c>
      <c r="AH21" s="343">
        <f>AG21-AF21</f>
        <v>0</v>
      </c>
      <c r="AI21" s="166">
        <f>SUM(AI22:AI23)</f>
        <v>160150</v>
      </c>
      <c r="AJ21" s="77">
        <f>SUM(AJ22:AJ23)</f>
        <v>192236</v>
      </c>
      <c r="AK21" s="77">
        <f>SUM(AK22:AK23)</f>
        <v>192236</v>
      </c>
      <c r="AL21" s="220">
        <f>AK21-AJ21</f>
        <v>0</v>
      </c>
      <c r="AM21" s="166">
        <f>SUM(AM22:AM23)</f>
        <v>3664</v>
      </c>
      <c r="AN21" s="77">
        <f>SUM(AN22:AN23)</f>
        <v>3664</v>
      </c>
      <c r="AO21" s="77">
        <f>SUM(AO22:AO23)</f>
        <v>3664</v>
      </c>
      <c r="AP21" s="220">
        <f>AO21-AN21</f>
        <v>0</v>
      </c>
      <c r="AQ21" s="166">
        <f>SUM(AQ22:AQ23)</f>
        <v>0</v>
      </c>
      <c r="AR21" s="77">
        <f>SUM(AR22:AR23)</f>
        <v>0</v>
      </c>
      <c r="AS21" s="77">
        <f>SUM(AS22:AS23)</f>
        <v>0</v>
      </c>
      <c r="AT21" s="220">
        <f>AS21-AR21</f>
        <v>0</v>
      </c>
      <c r="AU21" s="35"/>
      <c r="AV21" s="353">
        <f t="shared" si="5"/>
        <v>0</v>
      </c>
    </row>
    <row r="22" spans="2:48" s="18" customFormat="1" ht="18" customHeight="1">
      <c r="B22" s="311" t="s">
        <v>129</v>
      </c>
      <c r="C22" s="167"/>
      <c r="D22" s="93">
        <v>1308</v>
      </c>
      <c r="E22" s="93">
        <v>1308</v>
      </c>
      <c r="F22" s="91">
        <f>E22-D22</f>
        <v>0</v>
      </c>
      <c r="G22" s="167"/>
      <c r="H22" s="93">
        <v>218</v>
      </c>
      <c r="I22" s="93">
        <v>218</v>
      </c>
      <c r="J22" s="91">
        <f>I22-H22</f>
        <v>0</v>
      </c>
      <c r="K22" s="167"/>
      <c r="L22" s="93">
        <v>8228</v>
      </c>
      <c r="M22" s="93">
        <v>8228</v>
      </c>
      <c r="N22" s="91">
        <f>M22-L22</f>
        <v>0</v>
      </c>
      <c r="O22" s="167"/>
      <c r="P22" s="93">
        <v>14025</v>
      </c>
      <c r="Q22" s="93">
        <v>14025</v>
      </c>
      <c r="R22" s="91">
        <f>Q22-P22</f>
        <v>0</v>
      </c>
      <c r="S22" s="321">
        <f t="shared" si="14"/>
        <v>0</v>
      </c>
      <c r="T22" s="259">
        <f t="shared" si="14"/>
        <v>23779</v>
      </c>
      <c r="U22" s="259">
        <f t="shared" si="14"/>
        <v>23779</v>
      </c>
      <c r="V22" s="91">
        <f>U22-T22</f>
        <v>0</v>
      </c>
      <c r="W22" s="167">
        <f>130000+3664</f>
        <v>133664</v>
      </c>
      <c r="X22" s="93">
        <f>172121-30150</f>
        <v>141971</v>
      </c>
      <c r="Y22" s="93">
        <f>172121-30150</f>
        <v>141971</v>
      </c>
      <c r="Z22" s="91">
        <f>Y22-X22</f>
        <v>0</v>
      </c>
      <c r="AA22" s="329">
        <f t="shared" si="15"/>
        <v>133664</v>
      </c>
      <c r="AB22" s="259">
        <f t="shared" si="15"/>
        <v>165750</v>
      </c>
      <c r="AC22" s="259">
        <f t="shared" si="15"/>
        <v>165750</v>
      </c>
      <c r="AD22" s="91">
        <f>AC22-AB22</f>
        <v>0</v>
      </c>
      <c r="AE22" s="167">
        <f t="shared" si="16"/>
        <v>133664</v>
      </c>
      <c r="AF22" s="93">
        <f t="shared" si="16"/>
        <v>165750</v>
      </c>
      <c r="AG22" s="93">
        <f t="shared" si="16"/>
        <v>165750</v>
      </c>
      <c r="AH22" s="299">
        <f>AG22-AF22</f>
        <v>0</v>
      </c>
      <c r="AI22" s="167">
        <v>130000</v>
      </c>
      <c r="AJ22" s="93">
        <f>130000+1308+218+8228+14025+8307</f>
        <v>162086</v>
      </c>
      <c r="AK22" s="93">
        <f>130000+1308+218+8228+14025+8307</f>
        <v>162086</v>
      </c>
      <c r="AL22" s="91">
        <f>AK22-AJ22</f>
        <v>0</v>
      </c>
      <c r="AM22" s="167">
        <v>3664</v>
      </c>
      <c r="AN22" s="93">
        <v>3664</v>
      </c>
      <c r="AO22" s="93">
        <v>3664</v>
      </c>
      <c r="AP22" s="91">
        <f>AO22-AN22</f>
        <v>0</v>
      </c>
      <c r="AQ22" s="167"/>
      <c r="AR22" s="93"/>
      <c r="AS22" s="93"/>
      <c r="AT22" s="91">
        <f>AS22-AR22</f>
        <v>0</v>
      </c>
      <c r="AU22" s="35"/>
      <c r="AV22" s="353">
        <f t="shared" si="5"/>
        <v>0</v>
      </c>
    </row>
    <row r="23" spans="2:48" s="18" customFormat="1" ht="18" customHeight="1">
      <c r="B23" s="315" t="s">
        <v>130</v>
      </c>
      <c r="C23" s="176"/>
      <c r="D23" s="177"/>
      <c r="E23" s="177"/>
      <c r="F23" s="96">
        <f>E23-D23</f>
        <v>0</v>
      </c>
      <c r="G23" s="176"/>
      <c r="H23" s="177"/>
      <c r="I23" s="177"/>
      <c r="J23" s="96">
        <f>I23-H23</f>
        <v>0</v>
      </c>
      <c r="K23" s="176"/>
      <c r="L23" s="177"/>
      <c r="M23" s="177"/>
      <c r="N23" s="96">
        <f>M23-L23</f>
        <v>0</v>
      </c>
      <c r="O23" s="176"/>
      <c r="P23" s="177"/>
      <c r="Q23" s="177"/>
      <c r="R23" s="96">
        <f>Q23-P23</f>
        <v>0</v>
      </c>
      <c r="S23" s="325">
        <f t="shared" si="14"/>
        <v>0</v>
      </c>
      <c r="T23" s="263">
        <f t="shared" si="14"/>
        <v>0</v>
      </c>
      <c r="U23" s="263">
        <f t="shared" si="14"/>
        <v>0</v>
      </c>
      <c r="V23" s="96">
        <f>U23-T23</f>
        <v>0</v>
      </c>
      <c r="W23" s="176">
        <v>30150</v>
      </c>
      <c r="X23" s="177">
        <v>30150</v>
      </c>
      <c r="Y23" s="177">
        <v>30150</v>
      </c>
      <c r="Z23" s="96">
        <f>Y23-X23</f>
        <v>0</v>
      </c>
      <c r="AA23" s="330">
        <f t="shared" si="15"/>
        <v>30150</v>
      </c>
      <c r="AB23" s="263">
        <f t="shared" si="15"/>
        <v>30150</v>
      </c>
      <c r="AC23" s="263">
        <f t="shared" si="15"/>
        <v>30150</v>
      </c>
      <c r="AD23" s="96">
        <f>AC23-AB23</f>
        <v>0</v>
      </c>
      <c r="AE23" s="176">
        <f t="shared" si="16"/>
        <v>30150</v>
      </c>
      <c r="AF23" s="177">
        <f t="shared" si="16"/>
        <v>30150</v>
      </c>
      <c r="AG23" s="177">
        <f t="shared" si="16"/>
        <v>30150</v>
      </c>
      <c r="AH23" s="301">
        <f>AG23-AF23</f>
        <v>0</v>
      </c>
      <c r="AI23" s="176">
        <v>30150</v>
      </c>
      <c r="AJ23" s="177">
        <v>30150</v>
      </c>
      <c r="AK23" s="177">
        <v>30150</v>
      </c>
      <c r="AL23" s="96">
        <f>AK23-AJ23</f>
        <v>0</v>
      </c>
      <c r="AM23" s="176"/>
      <c r="AN23" s="177"/>
      <c r="AO23" s="177"/>
      <c r="AP23" s="96">
        <f>AO23-AN23</f>
        <v>0</v>
      </c>
      <c r="AQ23" s="176"/>
      <c r="AR23" s="177"/>
      <c r="AS23" s="177"/>
      <c r="AT23" s="96">
        <f>AS23-AR23</f>
        <v>0</v>
      </c>
      <c r="AU23" s="35"/>
      <c r="AV23" s="353">
        <f t="shared" si="5"/>
        <v>0</v>
      </c>
    </row>
    <row r="24" spans="2:48" s="18" customFormat="1" ht="18" customHeight="1" thickBot="1">
      <c r="B24" s="316" t="s">
        <v>181</v>
      </c>
      <c r="C24" s="180">
        <v>33062</v>
      </c>
      <c r="D24" s="181">
        <v>35525</v>
      </c>
      <c r="E24" s="181">
        <v>35711</v>
      </c>
      <c r="F24" s="30">
        <f>E24-D24</f>
        <v>186</v>
      </c>
      <c r="G24" s="180">
        <v>39602</v>
      </c>
      <c r="H24" s="181">
        <v>40179</v>
      </c>
      <c r="I24" s="181">
        <v>40620</v>
      </c>
      <c r="J24" s="30">
        <f>I24-H24</f>
        <v>441</v>
      </c>
      <c r="K24" s="180">
        <v>35820</v>
      </c>
      <c r="L24" s="181">
        <v>39856</v>
      </c>
      <c r="M24" s="181">
        <v>39037</v>
      </c>
      <c r="N24" s="30">
        <f>M24-L24</f>
        <v>-819</v>
      </c>
      <c r="O24" s="180">
        <f>282956+300</f>
        <v>283256</v>
      </c>
      <c r="P24" s="181">
        <v>276420</v>
      </c>
      <c r="Q24" s="181">
        <v>276788</v>
      </c>
      <c r="R24" s="30">
        <f>Q24-P24</f>
        <v>368</v>
      </c>
      <c r="S24" s="326">
        <f t="shared" si="14"/>
        <v>391740</v>
      </c>
      <c r="T24" s="273">
        <f t="shared" si="14"/>
        <v>391980</v>
      </c>
      <c r="U24" s="273">
        <f t="shared" si="14"/>
        <v>392156</v>
      </c>
      <c r="V24" s="30">
        <f>U24-T24</f>
        <v>176</v>
      </c>
      <c r="W24" s="180"/>
      <c r="X24" s="181"/>
      <c r="Y24" s="181"/>
      <c r="Z24" s="30">
        <f>Y24-X24</f>
        <v>0</v>
      </c>
      <c r="AA24" s="333">
        <f t="shared" si="15"/>
        <v>391740</v>
      </c>
      <c r="AB24" s="275">
        <f t="shared" si="15"/>
        <v>391980</v>
      </c>
      <c r="AC24" s="275">
        <f t="shared" si="15"/>
        <v>392156</v>
      </c>
      <c r="AD24" s="30">
        <f>AC24-AB24</f>
        <v>176</v>
      </c>
      <c r="AE24" s="339">
        <f>AA24-S24</f>
        <v>0</v>
      </c>
      <c r="AF24" s="229">
        <f>AB24-T24</f>
        <v>0</v>
      </c>
      <c r="AG24" s="229">
        <f>AC24-U24</f>
        <v>0</v>
      </c>
      <c r="AH24" s="348">
        <f>AG24-AF24</f>
        <v>0</v>
      </c>
      <c r="AI24" s="180"/>
      <c r="AJ24" s="181"/>
      <c r="AK24" s="181"/>
      <c r="AL24" s="230">
        <f>AK24-AJ24</f>
        <v>0</v>
      </c>
      <c r="AM24" s="180"/>
      <c r="AN24" s="181"/>
      <c r="AO24" s="181"/>
      <c r="AP24" s="230">
        <f>AO24-AN24</f>
        <v>0</v>
      </c>
      <c r="AQ24" s="180"/>
      <c r="AR24" s="181"/>
      <c r="AS24" s="181"/>
      <c r="AT24" s="230">
        <f>AS24-AR24</f>
        <v>0</v>
      </c>
      <c r="AU24" s="35"/>
      <c r="AV24" s="353">
        <f t="shared" si="5"/>
        <v>0</v>
      </c>
    </row>
    <row r="25" spans="2:48" s="20" customFormat="1" ht="18" customHeight="1" thickBot="1">
      <c r="B25" s="310" t="s">
        <v>131</v>
      </c>
      <c r="C25" s="170">
        <f aca="true" t="shared" si="17" ref="C25:AT25">SUM(C21+C24)</f>
        <v>33062</v>
      </c>
      <c r="D25" s="171">
        <f t="shared" si="17"/>
        <v>36833</v>
      </c>
      <c r="E25" s="171">
        <f t="shared" si="17"/>
        <v>37019</v>
      </c>
      <c r="F25" s="31">
        <f t="shared" si="17"/>
        <v>186</v>
      </c>
      <c r="G25" s="170">
        <f t="shared" si="17"/>
        <v>39602</v>
      </c>
      <c r="H25" s="171">
        <f t="shared" si="17"/>
        <v>40397</v>
      </c>
      <c r="I25" s="171">
        <f t="shared" si="17"/>
        <v>40838</v>
      </c>
      <c r="J25" s="31">
        <f t="shared" si="17"/>
        <v>441</v>
      </c>
      <c r="K25" s="170">
        <f t="shared" si="17"/>
        <v>35820</v>
      </c>
      <c r="L25" s="171">
        <f t="shared" si="17"/>
        <v>48084</v>
      </c>
      <c r="M25" s="171">
        <f t="shared" si="17"/>
        <v>47265</v>
      </c>
      <c r="N25" s="31">
        <f t="shared" si="17"/>
        <v>-819</v>
      </c>
      <c r="O25" s="170">
        <f t="shared" si="17"/>
        <v>283256</v>
      </c>
      <c r="P25" s="171">
        <f t="shared" si="17"/>
        <v>290445</v>
      </c>
      <c r="Q25" s="171">
        <f t="shared" si="17"/>
        <v>290813</v>
      </c>
      <c r="R25" s="31">
        <f t="shared" si="17"/>
        <v>368</v>
      </c>
      <c r="S25" s="322">
        <f t="shared" si="17"/>
        <v>391740</v>
      </c>
      <c r="T25" s="265">
        <f t="shared" si="17"/>
        <v>415759</v>
      </c>
      <c r="U25" s="265">
        <f t="shared" si="17"/>
        <v>415935</v>
      </c>
      <c r="V25" s="31">
        <f t="shared" si="17"/>
        <v>176</v>
      </c>
      <c r="W25" s="170">
        <f t="shared" si="17"/>
        <v>163814</v>
      </c>
      <c r="X25" s="171">
        <f t="shared" si="17"/>
        <v>172121</v>
      </c>
      <c r="Y25" s="171">
        <f t="shared" si="17"/>
        <v>172121</v>
      </c>
      <c r="Z25" s="31">
        <f t="shared" si="17"/>
        <v>0</v>
      </c>
      <c r="AA25" s="185">
        <f t="shared" si="17"/>
        <v>555554</v>
      </c>
      <c r="AB25" s="99">
        <f t="shared" si="17"/>
        <v>587880</v>
      </c>
      <c r="AC25" s="99">
        <f t="shared" si="17"/>
        <v>588056</v>
      </c>
      <c r="AD25" s="31">
        <f t="shared" si="17"/>
        <v>176</v>
      </c>
      <c r="AE25" s="170">
        <f t="shared" si="17"/>
        <v>163814</v>
      </c>
      <c r="AF25" s="99">
        <f t="shared" si="17"/>
        <v>195900</v>
      </c>
      <c r="AG25" s="99">
        <f t="shared" si="17"/>
        <v>195900</v>
      </c>
      <c r="AH25" s="303">
        <f t="shared" si="17"/>
        <v>0</v>
      </c>
      <c r="AI25" s="170">
        <f t="shared" si="17"/>
        <v>160150</v>
      </c>
      <c r="AJ25" s="171">
        <f t="shared" si="17"/>
        <v>192236</v>
      </c>
      <c r="AK25" s="171">
        <f t="shared" si="17"/>
        <v>192236</v>
      </c>
      <c r="AL25" s="98">
        <f t="shared" si="17"/>
        <v>0</v>
      </c>
      <c r="AM25" s="170">
        <f t="shared" si="17"/>
        <v>3664</v>
      </c>
      <c r="AN25" s="171">
        <f t="shared" si="17"/>
        <v>3664</v>
      </c>
      <c r="AO25" s="171">
        <f t="shared" si="17"/>
        <v>3664</v>
      </c>
      <c r="AP25" s="98">
        <f t="shared" si="17"/>
        <v>0</v>
      </c>
      <c r="AQ25" s="170">
        <f t="shared" si="17"/>
        <v>0</v>
      </c>
      <c r="AR25" s="171">
        <f t="shared" si="17"/>
        <v>0</v>
      </c>
      <c r="AS25" s="171">
        <f t="shared" si="17"/>
        <v>0</v>
      </c>
      <c r="AT25" s="98">
        <f t="shared" si="17"/>
        <v>0</v>
      </c>
      <c r="AU25" s="35"/>
      <c r="AV25" s="353">
        <f t="shared" si="5"/>
        <v>0</v>
      </c>
    </row>
    <row r="26" spans="2:48" s="20" customFormat="1" ht="18" customHeight="1" thickBot="1">
      <c r="B26" s="317" t="s">
        <v>30</v>
      </c>
      <c r="C26" s="182">
        <f aca="true" t="shared" si="18" ref="C26:AT26">C12+C19+C25</f>
        <v>34962</v>
      </c>
      <c r="D26" s="183">
        <f t="shared" si="18"/>
        <v>41108</v>
      </c>
      <c r="E26" s="183">
        <f t="shared" si="18"/>
        <v>42215</v>
      </c>
      <c r="F26" s="32">
        <f t="shared" si="18"/>
        <v>1107</v>
      </c>
      <c r="G26" s="182">
        <f t="shared" si="18"/>
        <v>107357</v>
      </c>
      <c r="H26" s="183">
        <f t="shared" si="18"/>
        <v>123571</v>
      </c>
      <c r="I26" s="183">
        <f t="shared" si="18"/>
        <v>145028</v>
      </c>
      <c r="J26" s="32">
        <f t="shared" si="18"/>
        <v>21457</v>
      </c>
      <c r="K26" s="182">
        <f t="shared" si="18"/>
        <v>38920</v>
      </c>
      <c r="L26" s="183">
        <f t="shared" si="18"/>
        <v>51986</v>
      </c>
      <c r="M26" s="183">
        <f t="shared" si="18"/>
        <v>52797</v>
      </c>
      <c r="N26" s="32">
        <f t="shared" si="18"/>
        <v>811</v>
      </c>
      <c r="O26" s="182">
        <f t="shared" si="18"/>
        <v>303855</v>
      </c>
      <c r="P26" s="183">
        <f t="shared" si="18"/>
        <v>314037</v>
      </c>
      <c r="Q26" s="183">
        <f t="shared" si="18"/>
        <v>315069</v>
      </c>
      <c r="R26" s="32">
        <f t="shared" si="18"/>
        <v>1032</v>
      </c>
      <c r="S26" s="327">
        <f t="shared" si="18"/>
        <v>485094</v>
      </c>
      <c r="T26" s="277">
        <f t="shared" si="18"/>
        <v>530702</v>
      </c>
      <c r="U26" s="277">
        <f t="shared" si="18"/>
        <v>555109</v>
      </c>
      <c r="V26" s="32">
        <f t="shared" si="18"/>
        <v>24407</v>
      </c>
      <c r="W26" s="182">
        <f t="shared" si="18"/>
        <v>1698533</v>
      </c>
      <c r="X26" s="183">
        <f t="shared" si="18"/>
        <v>1747397</v>
      </c>
      <c r="Y26" s="183">
        <f t="shared" si="18"/>
        <v>1803150</v>
      </c>
      <c r="Z26" s="32">
        <f t="shared" si="18"/>
        <v>55753</v>
      </c>
      <c r="AA26" s="334">
        <f t="shared" si="18"/>
        <v>2183627</v>
      </c>
      <c r="AB26" s="231">
        <f t="shared" si="18"/>
        <v>2278099</v>
      </c>
      <c r="AC26" s="231">
        <f t="shared" si="18"/>
        <v>2358259</v>
      </c>
      <c r="AD26" s="32">
        <f t="shared" si="18"/>
        <v>80160</v>
      </c>
      <c r="AE26" s="182">
        <f t="shared" si="18"/>
        <v>1791887</v>
      </c>
      <c r="AF26" s="231">
        <f t="shared" si="18"/>
        <v>1886119</v>
      </c>
      <c r="AG26" s="231">
        <f t="shared" si="18"/>
        <v>1966103</v>
      </c>
      <c r="AH26" s="349">
        <f t="shared" si="18"/>
        <v>79984</v>
      </c>
      <c r="AI26" s="182">
        <f t="shared" si="18"/>
        <v>1726982</v>
      </c>
      <c r="AJ26" s="183">
        <f t="shared" si="18"/>
        <v>1799267</v>
      </c>
      <c r="AK26" s="183">
        <f t="shared" si="18"/>
        <v>1861266</v>
      </c>
      <c r="AL26" s="232">
        <f t="shared" si="18"/>
        <v>61999</v>
      </c>
      <c r="AM26" s="182">
        <f t="shared" si="18"/>
        <v>64905</v>
      </c>
      <c r="AN26" s="183">
        <f t="shared" si="18"/>
        <v>86852</v>
      </c>
      <c r="AO26" s="183">
        <f t="shared" si="18"/>
        <v>104837</v>
      </c>
      <c r="AP26" s="232">
        <f t="shared" si="18"/>
        <v>17985</v>
      </c>
      <c r="AQ26" s="182">
        <f t="shared" si="18"/>
        <v>0</v>
      </c>
      <c r="AR26" s="183">
        <f t="shared" si="18"/>
        <v>0</v>
      </c>
      <c r="AS26" s="183">
        <f t="shared" si="18"/>
        <v>0</v>
      </c>
      <c r="AT26" s="232">
        <f t="shared" si="18"/>
        <v>0</v>
      </c>
      <c r="AU26" s="35"/>
      <c r="AV26" s="353">
        <f t="shared" si="5"/>
        <v>79984</v>
      </c>
    </row>
    <row r="27" spans="19:48" s="215" customFormat="1" ht="14.25" thickBot="1">
      <c r="S27" s="216"/>
      <c r="T27" s="216"/>
      <c r="U27" s="216"/>
      <c r="V27" s="216"/>
      <c r="AA27" s="190"/>
      <c r="AB27" s="190"/>
      <c r="AC27" s="190"/>
      <c r="AD27" s="190"/>
      <c r="AF27" s="190"/>
      <c r="AG27" s="190"/>
      <c r="AH27" s="190"/>
      <c r="AJ27" s="190"/>
      <c r="AK27" s="190"/>
      <c r="AL27" s="190"/>
      <c r="AN27" s="190"/>
      <c r="AO27" s="190"/>
      <c r="AP27" s="190"/>
      <c r="AR27" s="190"/>
      <c r="AS27" s="190"/>
      <c r="AT27" s="190"/>
      <c r="AU27" s="217"/>
      <c r="AV27" s="353">
        <f t="shared" si="5"/>
        <v>0</v>
      </c>
    </row>
    <row r="28" spans="2:48" s="18" customFormat="1" ht="38.25" customHeight="1" thickBot="1">
      <c r="B28" s="305" t="s">
        <v>31</v>
      </c>
      <c r="C28" s="380" t="s">
        <v>68</v>
      </c>
      <c r="D28" s="381"/>
      <c r="E28" s="382"/>
      <c r="F28" s="383"/>
      <c r="G28" s="361" t="s">
        <v>143</v>
      </c>
      <c r="H28" s="362"/>
      <c r="I28" s="363"/>
      <c r="J28" s="364"/>
      <c r="K28" s="384" t="s">
        <v>89</v>
      </c>
      <c r="L28" s="385"/>
      <c r="M28" s="386"/>
      <c r="N28" s="387"/>
      <c r="O28" s="361" t="s">
        <v>48</v>
      </c>
      <c r="P28" s="362"/>
      <c r="Q28" s="363"/>
      <c r="R28" s="364"/>
      <c r="S28" s="365" t="s">
        <v>18</v>
      </c>
      <c r="T28" s="366"/>
      <c r="U28" s="367"/>
      <c r="V28" s="368"/>
      <c r="W28" s="361" t="s">
        <v>41</v>
      </c>
      <c r="X28" s="362"/>
      <c r="Y28" s="363"/>
      <c r="Z28" s="364"/>
      <c r="AA28" s="377" t="s">
        <v>182</v>
      </c>
      <c r="AB28" s="378"/>
      <c r="AC28" s="378"/>
      <c r="AD28" s="379"/>
      <c r="AE28" s="361" t="s">
        <v>195</v>
      </c>
      <c r="AF28" s="362"/>
      <c r="AG28" s="363"/>
      <c r="AH28" s="376"/>
      <c r="AI28" s="369" t="s">
        <v>198</v>
      </c>
      <c r="AJ28" s="370"/>
      <c r="AK28" s="371"/>
      <c r="AL28" s="372"/>
      <c r="AM28" s="369" t="s">
        <v>201</v>
      </c>
      <c r="AN28" s="370"/>
      <c r="AO28" s="371"/>
      <c r="AP28" s="372"/>
      <c r="AQ28" s="373" t="s">
        <v>202</v>
      </c>
      <c r="AR28" s="374"/>
      <c r="AS28" s="374"/>
      <c r="AT28" s="375"/>
      <c r="AU28" s="35"/>
      <c r="AV28" s="353">
        <f t="shared" si="5"/>
        <v>0</v>
      </c>
    </row>
    <row r="29" spans="2:48" s="211" customFormat="1" ht="27" thickBot="1">
      <c r="B29" s="305"/>
      <c r="C29" s="249" t="s">
        <v>211</v>
      </c>
      <c r="D29" s="248" t="s">
        <v>276</v>
      </c>
      <c r="E29" s="248" t="s">
        <v>292</v>
      </c>
      <c r="F29" s="252" t="s">
        <v>212</v>
      </c>
      <c r="G29" s="249" t="s">
        <v>211</v>
      </c>
      <c r="H29" s="248" t="s">
        <v>276</v>
      </c>
      <c r="I29" s="248" t="s">
        <v>292</v>
      </c>
      <c r="J29" s="252" t="s">
        <v>212</v>
      </c>
      <c r="K29" s="249" t="s">
        <v>211</v>
      </c>
      <c r="L29" s="248" t="s">
        <v>276</v>
      </c>
      <c r="M29" s="248" t="s">
        <v>292</v>
      </c>
      <c r="N29" s="252" t="s">
        <v>212</v>
      </c>
      <c r="O29" s="249" t="s">
        <v>211</v>
      </c>
      <c r="P29" s="248" t="s">
        <v>276</v>
      </c>
      <c r="Q29" s="248" t="s">
        <v>292</v>
      </c>
      <c r="R29" s="252" t="s">
        <v>212</v>
      </c>
      <c r="S29" s="255" t="s">
        <v>211</v>
      </c>
      <c r="T29" s="248" t="s">
        <v>276</v>
      </c>
      <c r="U29" s="248" t="s">
        <v>292</v>
      </c>
      <c r="V29" s="256" t="s">
        <v>212</v>
      </c>
      <c r="W29" s="249" t="s">
        <v>211</v>
      </c>
      <c r="X29" s="248" t="s">
        <v>276</v>
      </c>
      <c r="Y29" s="248" t="s">
        <v>292</v>
      </c>
      <c r="Z29" s="252" t="s">
        <v>212</v>
      </c>
      <c r="AA29" s="213" t="s">
        <v>211</v>
      </c>
      <c r="AB29" s="248" t="s">
        <v>276</v>
      </c>
      <c r="AC29" s="248" t="s">
        <v>292</v>
      </c>
      <c r="AD29" s="214" t="s">
        <v>212</v>
      </c>
      <c r="AE29" s="213" t="s">
        <v>211</v>
      </c>
      <c r="AF29" s="248" t="s">
        <v>276</v>
      </c>
      <c r="AG29" s="248" t="s">
        <v>292</v>
      </c>
      <c r="AH29" s="341" t="s">
        <v>212</v>
      </c>
      <c r="AI29" s="213" t="s">
        <v>211</v>
      </c>
      <c r="AJ29" s="248" t="s">
        <v>276</v>
      </c>
      <c r="AK29" s="248" t="s">
        <v>292</v>
      </c>
      <c r="AL29" s="214" t="s">
        <v>212</v>
      </c>
      <c r="AM29" s="213" t="s">
        <v>211</v>
      </c>
      <c r="AN29" s="248" t="s">
        <v>276</v>
      </c>
      <c r="AO29" s="248" t="s">
        <v>292</v>
      </c>
      <c r="AP29" s="214" t="s">
        <v>212</v>
      </c>
      <c r="AQ29" s="213" t="s">
        <v>211</v>
      </c>
      <c r="AR29" s="248" t="s">
        <v>276</v>
      </c>
      <c r="AS29" s="248" t="s">
        <v>292</v>
      </c>
      <c r="AT29" s="214" t="s">
        <v>212</v>
      </c>
      <c r="AV29" s="353"/>
    </row>
    <row r="30" spans="2:48" s="18" customFormat="1" ht="18" customHeight="1">
      <c r="B30" s="306" t="s">
        <v>32</v>
      </c>
      <c r="C30" s="172">
        <v>17424</v>
      </c>
      <c r="D30" s="173">
        <v>19049</v>
      </c>
      <c r="E30" s="173">
        <v>20050</v>
      </c>
      <c r="F30" s="28">
        <f>E30-D30</f>
        <v>1001</v>
      </c>
      <c r="G30" s="172">
        <v>31248</v>
      </c>
      <c r="H30" s="173">
        <v>31666</v>
      </c>
      <c r="I30" s="173">
        <f>32114-1</f>
        <v>32113</v>
      </c>
      <c r="J30" s="28">
        <f>I30-H30</f>
        <v>447</v>
      </c>
      <c r="K30" s="172">
        <v>23554</v>
      </c>
      <c r="L30" s="173">
        <v>24774</v>
      </c>
      <c r="M30" s="173">
        <v>25038</v>
      </c>
      <c r="N30" s="28">
        <f>M30-L30</f>
        <v>264</v>
      </c>
      <c r="O30" s="172">
        <v>182447</v>
      </c>
      <c r="P30" s="173">
        <v>185950</v>
      </c>
      <c r="Q30" s="173">
        <v>186647</v>
      </c>
      <c r="R30" s="28">
        <f>Q30-P30</f>
        <v>697</v>
      </c>
      <c r="S30" s="323">
        <f aca="true" t="shared" si="19" ref="S30:U33">C30+G30+K30+O30</f>
        <v>254673</v>
      </c>
      <c r="T30" s="267">
        <f t="shared" si="19"/>
        <v>261439</v>
      </c>
      <c r="U30" s="267">
        <f t="shared" si="19"/>
        <v>263848</v>
      </c>
      <c r="V30" s="268">
        <f>U30-T30</f>
        <v>2409</v>
      </c>
      <c r="W30" s="172">
        <f>17099+14956</f>
        <v>32055</v>
      </c>
      <c r="X30" s="173">
        <v>34146</v>
      </c>
      <c r="Y30" s="173">
        <v>36328</v>
      </c>
      <c r="Z30" s="28">
        <f>Y30-X30</f>
        <v>2182</v>
      </c>
      <c r="AA30" s="331">
        <f aca="true" t="shared" si="20" ref="AA30:AC33">S30+W30</f>
        <v>286728</v>
      </c>
      <c r="AB30" s="269">
        <f t="shared" si="20"/>
        <v>295585</v>
      </c>
      <c r="AC30" s="269">
        <f t="shared" si="20"/>
        <v>300176</v>
      </c>
      <c r="AD30" s="270">
        <f>AC30-AB30</f>
        <v>4591</v>
      </c>
      <c r="AE30" s="338">
        <f aca="true" t="shared" si="21" ref="AE30:AG33">AA30</f>
        <v>286728</v>
      </c>
      <c r="AF30" s="225">
        <f t="shared" si="21"/>
        <v>295585</v>
      </c>
      <c r="AG30" s="225">
        <f t="shared" si="21"/>
        <v>300176</v>
      </c>
      <c r="AH30" s="346">
        <f>AG30-AF30</f>
        <v>4591</v>
      </c>
      <c r="AI30" s="166">
        <v>202551</v>
      </c>
      <c r="AJ30" s="77">
        <v>209205</v>
      </c>
      <c r="AK30" s="77">
        <f>202551+405+125+158+930+247+(171+609+57+236+1062+2573+81)+697+189+1001+264+60</f>
        <v>211416</v>
      </c>
      <c r="AL30" s="226">
        <f>AK30-AJ30</f>
        <v>2211</v>
      </c>
      <c r="AM30" s="172">
        <v>27777</v>
      </c>
      <c r="AN30" s="173">
        <v>29980</v>
      </c>
      <c r="AO30" s="173">
        <f>27777+703+(440+1060)+259+2121</f>
        <v>32360</v>
      </c>
      <c r="AP30" s="226">
        <f>AO30-AN30</f>
        <v>2380</v>
      </c>
      <c r="AQ30" s="166">
        <v>56400</v>
      </c>
      <c r="AR30" s="77">
        <v>56400</v>
      </c>
      <c r="AS30" s="77">
        <v>56400</v>
      </c>
      <c r="AT30" s="226">
        <f>AS30-AR30</f>
        <v>0</v>
      </c>
      <c r="AU30" s="35"/>
      <c r="AV30" s="353">
        <f aca="true" t="shared" si="22" ref="AV30:AV49">AL30+AP30</f>
        <v>4591</v>
      </c>
    </row>
    <row r="31" spans="2:48" s="18" customFormat="1" ht="18" customHeight="1">
      <c r="B31" s="308" t="s">
        <v>33</v>
      </c>
      <c r="C31" s="168">
        <v>4662</v>
      </c>
      <c r="D31" s="76">
        <v>4997</v>
      </c>
      <c r="E31" s="76">
        <v>5114</v>
      </c>
      <c r="F31" s="29">
        <f>E31-D31</f>
        <v>117</v>
      </c>
      <c r="G31" s="168">
        <v>8821</v>
      </c>
      <c r="H31" s="76">
        <v>8899</v>
      </c>
      <c r="I31" s="76">
        <f>8912+1</f>
        <v>8913</v>
      </c>
      <c r="J31" s="29">
        <f>I31-H31</f>
        <v>14</v>
      </c>
      <c r="K31" s="168">
        <v>6284</v>
      </c>
      <c r="L31" s="76">
        <v>6541</v>
      </c>
      <c r="M31" s="76">
        <v>6588</v>
      </c>
      <c r="N31" s="29">
        <f>M31-L31</f>
        <v>47</v>
      </c>
      <c r="O31" s="168">
        <v>54203</v>
      </c>
      <c r="P31" s="76">
        <v>55030</v>
      </c>
      <c r="Q31" s="76">
        <v>55289</v>
      </c>
      <c r="R31" s="29">
        <f>Q31-P31</f>
        <v>259</v>
      </c>
      <c r="S31" s="323">
        <f t="shared" si="19"/>
        <v>73970</v>
      </c>
      <c r="T31" s="259">
        <f t="shared" si="19"/>
        <v>75467</v>
      </c>
      <c r="U31" s="259">
        <f t="shared" si="19"/>
        <v>75904</v>
      </c>
      <c r="V31" s="260">
        <f>U31-T31</f>
        <v>437</v>
      </c>
      <c r="W31" s="168">
        <f>4617+4499</f>
        <v>9116</v>
      </c>
      <c r="X31" s="76">
        <v>9410</v>
      </c>
      <c r="Y31" s="76">
        <v>10235</v>
      </c>
      <c r="Z31" s="29">
        <f>Y31-X31</f>
        <v>825</v>
      </c>
      <c r="AA31" s="329">
        <f t="shared" si="20"/>
        <v>83086</v>
      </c>
      <c r="AB31" s="261">
        <f t="shared" si="20"/>
        <v>84877</v>
      </c>
      <c r="AC31" s="261">
        <f t="shared" si="20"/>
        <v>86139</v>
      </c>
      <c r="AD31" s="262">
        <f>AC31-AB31</f>
        <v>1262</v>
      </c>
      <c r="AE31" s="336">
        <f t="shared" si="21"/>
        <v>83086</v>
      </c>
      <c r="AF31" s="221">
        <f t="shared" si="21"/>
        <v>84877</v>
      </c>
      <c r="AG31" s="221">
        <f t="shared" si="21"/>
        <v>86139</v>
      </c>
      <c r="AH31" s="344">
        <f>AG31-AF31</f>
        <v>1262</v>
      </c>
      <c r="AI31" s="168">
        <v>59522</v>
      </c>
      <c r="AJ31" s="76">
        <v>60902</v>
      </c>
      <c r="AK31" s="76">
        <f>59522+100+30+40+223-10+(46+82+15+33+217+604)+259+13+117+47-378</f>
        <v>60960</v>
      </c>
      <c r="AL31" s="222">
        <f>AK31-AJ31</f>
        <v>58</v>
      </c>
      <c r="AM31" s="168">
        <v>8337</v>
      </c>
      <c r="AN31" s="76">
        <v>8748</v>
      </c>
      <c r="AO31" s="76">
        <f>8337+(107+304)+1203</f>
        <v>9951</v>
      </c>
      <c r="AP31" s="222">
        <v>1204</v>
      </c>
      <c r="AQ31" s="168">
        <v>15227</v>
      </c>
      <c r="AR31" s="76">
        <v>15227</v>
      </c>
      <c r="AS31" s="76">
        <v>15227</v>
      </c>
      <c r="AT31" s="222">
        <f>AS31-AR31</f>
        <v>0</v>
      </c>
      <c r="AU31" s="35"/>
      <c r="AV31" s="353">
        <f t="shared" si="22"/>
        <v>1262</v>
      </c>
    </row>
    <row r="32" spans="2:48" s="18" customFormat="1" ht="18" customHeight="1">
      <c r="B32" s="308" t="s">
        <v>17</v>
      </c>
      <c r="C32" s="168">
        <v>12876</v>
      </c>
      <c r="D32" s="76">
        <v>15274</v>
      </c>
      <c r="E32" s="76">
        <v>14858</v>
      </c>
      <c r="F32" s="29">
        <f>E32-D32</f>
        <v>-416</v>
      </c>
      <c r="G32" s="168">
        <v>65788</v>
      </c>
      <c r="H32" s="76">
        <v>81506</v>
      </c>
      <c r="I32" s="76">
        <v>102120</v>
      </c>
      <c r="J32" s="29">
        <f>I32-H32</f>
        <v>20614</v>
      </c>
      <c r="K32" s="168">
        <v>9082</v>
      </c>
      <c r="L32" s="76">
        <v>15435</v>
      </c>
      <c r="M32" s="76">
        <v>15935</v>
      </c>
      <c r="N32" s="29">
        <f>M32-L32</f>
        <v>500</v>
      </c>
      <c r="O32" s="168">
        <f>64905+300</f>
        <v>65205</v>
      </c>
      <c r="P32" s="76">
        <v>68295</v>
      </c>
      <c r="Q32" s="76">
        <v>61896</v>
      </c>
      <c r="R32" s="29">
        <f>Q32-P32</f>
        <v>-6399</v>
      </c>
      <c r="S32" s="323">
        <f t="shared" si="19"/>
        <v>152951</v>
      </c>
      <c r="T32" s="259">
        <f t="shared" si="19"/>
        <v>180510</v>
      </c>
      <c r="U32" s="259">
        <f t="shared" si="19"/>
        <v>194809</v>
      </c>
      <c r="V32" s="260">
        <f>U32-T32</f>
        <v>14299</v>
      </c>
      <c r="W32" s="168">
        <f>290816+44358+750</f>
        <v>335924</v>
      </c>
      <c r="X32" s="76">
        <v>369483</v>
      </c>
      <c r="Y32" s="76">
        <v>383553</v>
      </c>
      <c r="Z32" s="29">
        <f>Y32-X32</f>
        <v>14070</v>
      </c>
      <c r="AA32" s="329">
        <f t="shared" si="20"/>
        <v>488875</v>
      </c>
      <c r="AB32" s="261">
        <f t="shared" si="20"/>
        <v>549993</v>
      </c>
      <c r="AC32" s="261">
        <f t="shared" si="20"/>
        <v>578362</v>
      </c>
      <c r="AD32" s="262">
        <f>AC32-AB32</f>
        <v>28369</v>
      </c>
      <c r="AE32" s="336">
        <f t="shared" si="21"/>
        <v>488875</v>
      </c>
      <c r="AF32" s="221">
        <f t="shared" si="21"/>
        <v>549993</v>
      </c>
      <c r="AG32" s="221">
        <f t="shared" si="21"/>
        <v>578362</v>
      </c>
      <c r="AH32" s="344">
        <f>AG32-AF32</f>
        <v>28369</v>
      </c>
      <c r="AI32" s="168">
        <f>387473+300</f>
        <v>387773</v>
      </c>
      <c r="AJ32" s="76">
        <v>418839</v>
      </c>
      <c r="AK32" s="76">
        <f>387473+300+1858+886+4122+2785+7255+1778+(-3467+2231+305+13313)-6398+10685-416+500+15375</f>
        <v>438585</v>
      </c>
      <c r="AL32" s="222">
        <f>AK32-AJ32</f>
        <v>19746</v>
      </c>
      <c r="AM32" s="168">
        <f>80880+750</f>
        <v>81630</v>
      </c>
      <c r="AN32" s="76">
        <v>111682</v>
      </c>
      <c r="AO32" s="76">
        <f>80880+750+13132+8159+(540+5167+3054)+9928-1305</f>
        <v>120305</v>
      </c>
      <c r="AP32" s="222">
        <f>AO32-AN32</f>
        <v>8623</v>
      </c>
      <c r="AQ32" s="168">
        <v>19472</v>
      </c>
      <c r="AR32" s="76">
        <v>19472</v>
      </c>
      <c r="AS32" s="76">
        <v>19472</v>
      </c>
      <c r="AT32" s="222">
        <f>AS32-AR32</f>
        <v>0</v>
      </c>
      <c r="AU32" s="35"/>
      <c r="AV32" s="353">
        <f t="shared" si="22"/>
        <v>28369</v>
      </c>
    </row>
    <row r="33" spans="2:48" s="18" customFormat="1" ht="18" customHeight="1">
      <c r="B33" s="308" t="s">
        <v>34</v>
      </c>
      <c r="C33" s="168"/>
      <c r="D33" s="76"/>
      <c r="E33" s="76"/>
      <c r="F33" s="29">
        <f>E33-D33</f>
        <v>0</v>
      </c>
      <c r="G33" s="168"/>
      <c r="H33" s="76"/>
      <c r="I33" s="76"/>
      <c r="J33" s="29">
        <f>I33-H33</f>
        <v>0</v>
      </c>
      <c r="K33" s="168"/>
      <c r="L33" s="76"/>
      <c r="M33" s="76"/>
      <c r="N33" s="29">
        <f>M33-L33</f>
        <v>0</v>
      </c>
      <c r="O33" s="168"/>
      <c r="P33" s="76"/>
      <c r="Q33" s="76"/>
      <c r="R33" s="29">
        <f>Q33-P33</f>
        <v>0</v>
      </c>
      <c r="S33" s="323">
        <f t="shared" si="19"/>
        <v>0</v>
      </c>
      <c r="T33" s="259">
        <f t="shared" si="19"/>
        <v>0</v>
      </c>
      <c r="U33" s="259">
        <f t="shared" si="19"/>
        <v>0</v>
      </c>
      <c r="V33" s="260">
        <f>U33-T33</f>
        <v>0</v>
      </c>
      <c r="W33" s="168">
        <f>25800</f>
        <v>25800</v>
      </c>
      <c r="X33" s="76">
        <f>25800</f>
        <v>25800</v>
      </c>
      <c r="Y33" s="76">
        <v>24962</v>
      </c>
      <c r="Z33" s="29">
        <f>Y33-X33</f>
        <v>-838</v>
      </c>
      <c r="AA33" s="329">
        <f t="shared" si="20"/>
        <v>25800</v>
      </c>
      <c r="AB33" s="261">
        <f t="shared" si="20"/>
        <v>25800</v>
      </c>
      <c r="AC33" s="261">
        <f t="shared" si="20"/>
        <v>24962</v>
      </c>
      <c r="AD33" s="262">
        <f>AC33-AB33</f>
        <v>-838</v>
      </c>
      <c r="AE33" s="336">
        <f t="shared" si="21"/>
        <v>25800</v>
      </c>
      <c r="AF33" s="221">
        <f t="shared" si="21"/>
        <v>25800</v>
      </c>
      <c r="AG33" s="221">
        <f t="shared" si="21"/>
        <v>24962</v>
      </c>
      <c r="AH33" s="344">
        <f>AG33-AF33</f>
        <v>-838</v>
      </c>
      <c r="AI33" s="168">
        <v>25800</v>
      </c>
      <c r="AJ33" s="76">
        <v>25800</v>
      </c>
      <c r="AK33" s="76">
        <f>25800-838</f>
        <v>24962</v>
      </c>
      <c r="AL33" s="222">
        <f>AK33-AJ33</f>
        <v>-838</v>
      </c>
      <c r="AM33" s="168"/>
      <c r="AN33" s="76"/>
      <c r="AO33" s="76"/>
      <c r="AP33" s="222">
        <f>AO33-AN33</f>
        <v>0</v>
      </c>
      <c r="AQ33" s="168"/>
      <c r="AR33" s="76"/>
      <c r="AS33" s="76"/>
      <c r="AT33" s="222">
        <f>AS33-AR33</f>
        <v>0</v>
      </c>
      <c r="AU33" s="35"/>
      <c r="AV33" s="353">
        <f t="shared" si="22"/>
        <v>-838</v>
      </c>
    </row>
    <row r="34" spans="2:48" s="18" customFormat="1" ht="18" customHeight="1">
      <c r="B34" s="308" t="s">
        <v>140</v>
      </c>
      <c r="C34" s="168">
        <f aca="true" t="shared" si="23" ref="C34:AT34">SUM(C35:C38)</f>
        <v>0</v>
      </c>
      <c r="D34" s="76">
        <f t="shared" si="23"/>
        <v>0</v>
      </c>
      <c r="E34" s="76">
        <f t="shared" si="23"/>
        <v>0</v>
      </c>
      <c r="F34" s="29">
        <f t="shared" si="23"/>
        <v>0</v>
      </c>
      <c r="G34" s="168">
        <f t="shared" si="23"/>
        <v>0</v>
      </c>
      <c r="H34" s="76">
        <f t="shared" si="23"/>
        <v>0</v>
      </c>
      <c r="I34" s="76">
        <f t="shared" si="23"/>
        <v>0</v>
      </c>
      <c r="J34" s="29">
        <f t="shared" si="23"/>
        <v>0</v>
      </c>
      <c r="K34" s="168">
        <f t="shared" si="23"/>
        <v>0</v>
      </c>
      <c r="L34" s="76">
        <f t="shared" si="23"/>
        <v>0</v>
      </c>
      <c r="M34" s="76">
        <f t="shared" si="23"/>
        <v>0</v>
      </c>
      <c r="N34" s="29">
        <f t="shared" si="23"/>
        <v>0</v>
      </c>
      <c r="O34" s="168">
        <f t="shared" si="23"/>
        <v>0</v>
      </c>
      <c r="P34" s="76">
        <f t="shared" si="23"/>
        <v>798</v>
      </c>
      <c r="Q34" s="76">
        <f t="shared" si="23"/>
        <v>853</v>
      </c>
      <c r="R34" s="29">
        <f t="shared" si="23"/>
        <v>55</v>
      </c>
      <c r="S34" s="321">
        <f t="shared" si="23"/>
        <v>0</v>
      </c>
      <c r="T34" s="259">
        <f t="shared" si="23"/>
        <v>798</v>
      </c>
      <c r="U34" s="259">
        <f t="shared" si="23"/>
        <v>853</v>
      </c>
      <c r="V34" s="260">
        <f t="shared" si="23"/>
        <v>55</v>
      </c>
      <c r="W34" s="168">
        <f t="shared" si="23"/>
        <v>644391</v>
      </c>
      <c r="X34" s="76">
        <f t="shared" si="23"/>
        <v>656696</v>
      </c>
      <c r="Y34" s="76">
        <f t="shared" si="23"/>
        <v>659140</v>
      </c>
      <c r="Z34" s="29">
        <f t="shared" si="23"/>
        <v>2444</v>
      </c>
      <c r="AA34" s="329">
        <f t="shared" si="23"/>
        <v>644391</v>
      </c>
      <c r="AB34" s="261">
        <f t="shared" si="23"/>
        <v>657494</v>
      </c>
      <c r="AC34" s="261">
        <f t="shared" si="23"/>
        <v>659993</v>
      </c>
      <c r="AD34" s="262">
        <f t="shared" si="23"/>
        <v>2499</v>
      </c>
      <c r="AE34" s="336">
        <f t="shared" si="23"/>
        <v>644391</v>
      </c>
      <c r="AF34" s="221">
        <f t="shared" si="23"/>
        <v>657494</v>
      </c>
      <c r="AG34" s="221">
        <f t="shared" si="23"/>
        <v>659993</v>
      </c>
      <c r="AH34" s="344">
        <f t="shared" si="23"/>
        <v>2499</v>
      </c>
      <c r="AI34" s="168">
        <f t="shared" si="23"/>
        <v>621389</v>
      </c>
      <c r="AJ34" s="76">
        <f t="shared" si="23"/>
        <v>633738</v>
      </c>
      <c r="AK34" s="76">
        <f t="shared" si="23"/>
        <v>640250</v>
      </c>
      <c r="AL34" s="222">
        <f t="shared" si="23"/>
        <v>6512</v>
      </c>
      <c r="AM34" s="168">
        <f t="shared" si="23"/>
        <v>23002</v>
      </c>
      <c r="AN34" s="76">
        <f t="shared" si="23"/>
        <v>23065</v>
      </c>
      <c r="AO34" s="76">
        <f t="shared" si="23"/>
        <v>19052</v>
      </c>
      <c r="AP34" s="222">
        <f t="shared" si="23"/>
        <v>-4013</v>
      </c>
      <c r="AQ34" s="168">
        <f t="shared" si="23"/>
        <v>0</v>
      </c>
      <c r="AR34" s="76">
        <f t="shared" si="23"/>
        <v>0</v>
      </c>
      <c r="AS34" s="76">
        <f t="shared" si="23"/>
        <v>0</v>
      </c>
      <c r="AT34" s="222">
        <f t="shared" si="23"/>
        <v>0</v>
      </c>
      <c r="AU34" s="35"/>
      <c r="AV34" s="353">
        <f t="shared" si="22"/>
        <v>2499</v>
      </c>
    </row>
    <row r="35" spans="2:48" s="18" customFormat="1" ht="18" customHeight="1">
      <c r="B35" s="311" t="s">
        <v>132</v>
      </c>
      <c r="C35" s="167"/>
      <c r="D35" s="93"/>
      <c r="E35" s="93"/>
      <c r="F35" s="91">
        <f>E35-D35</f>
        <v>0</v>
      </c>
      <c r="G35" s="167"/>
      <c r="H35" s="93"/>
      <c r="I35" s="93"/>
      <c r="J35" s="91">
        <f>I35-H35</f>
        <v>0</v>
      </c>
      <c r="K35" s="167"/>
      <c r="L35" s="93"/>
      <c r="M35" s="93"/>
      <c r="N35" s="91">
        <f>M35-L35</f>
        <v>0</v>
      </c>
      <c r="O35" s="167"/>
      <c r="P35" s="93"/>
      <c r="Q35" s="93"/>
      <c r="R35" s="91">
        <f>Q35-P35</f>
        <v>0</v>
      </c>
      <c r="S35" s="321">
        <f aca="true" t="shared" si="24" ref="S35:U38">C35+G35+K35+O35</f>
        <v>0</v>
      </c>
      <c r="T35" s="259">
        <f t="shared" si="24"/>
        <v>0</v>
      </c>
      <c r="U35" s="259">
        <f t="shared" si="24"/>
        <v>0</v>
      </c>
      <c r="V35" s="260">
        <f>U35-T35</f>
        <v>0</v>
      </c>
      <c r="W35" s="167">
        <v>113976</v>
      </c>
      <c r="X35" s="93">
        <v>115684</v>
      </c>
      <c r="Y35" s="93">
        <v>115723</v>
      </c>
      <c r="Z35" s="91">
        <f>Y35-X35</f>
        <v>39</v>
      </c>
      <c r="AA35" s="329">
        <f aca="true" t="shared" si="25" ref="AA35:AC38">S35+W35</f>
        <v>113976</v>
      </c>
      <c r="AB35" s="259">
        <f t="shared" si="25"/>
        <v>115684</v>
      </c>
      <c r="AC35" s="259">
        <f t="shared" si="25"/>
        <v>115723</v>
      </c>
      <c r="AD35" s="260">
        <f>AC35-AB35</f>
        <v>39</v>
      </c>
      <c r="AE35" s="167">
        <f aca="true" t="shared" si="26" ref="AE35:AG38">AA35</f>
        <v>113976</v>
      </c>
      <c r="AF35" s="93">
        <f t="shared" si="26"/>
        <v>115684</v>
      </c>
      <c r="AG35" s="93">
        <f t="shared" si="26"/>
        <v>115723</v>
      </c>
      <c r="AH35" s="299">
        <f>AG35-AF35</f>
        <v>39</v>
      </c>
      <c r="AI35" s="167">
        <v>113976</v>
      </c>
      <c r="AJ35" s="93">
        <v>115684</v>
      </c>
      <c r="AK35" s="93">
        <f>113976+1704+4+39</f>
        <v>115723</v>
      </c>
      <c r="AL35" s="91">
        <f>AK35-AJ35</f>
        <v>39</v>
      </c>
      <c r="AM35" s="167"/>
      <c r="AN35" s="93"/>
      <c r="AO35" s="93"/>
      <c r="AP35" s="91">
        <f>AO35-AN35</f>
        <v>0</v>
      </c>
      <c r="AQ35" s="167"/>
      <c r="AR35" s="93"/>
      <c r="AS35" s="93"/>
      <c r="AT35" s="91">
        <f>AS35-AR35</f>
        <v>0</v>
      </c>
      <c r="AU35" s="35"/>
      <c r="AV35" s="353">
        <f t="shared" si="22"/>
        <v>39</v>
      </c>
    </row>
    <row r="36" spans="2:48" s="18" customFormat="1" ht="18" customHeight="1">
      <c r="B36" s="311" t="s">
        <v>145</v>
      </c>
      <c r="C36" s="167"/>
      <c r="D36" s="93"/>
      <c r="E36" s="93"/>
      <c r="F36" s="91">
        <f>E36-D36</f>
        <v>0</v>
      </c>
      <c r="G36" s="167"/>
      <c r="H36" s="93"/>
      <c r="I36" s="93"/>
      <c r="J36" s="91">
        <f>I36-H36</f>
        <v>0</v>
      </c>
      <c r="K36" s="167"/>
      <c r="L36" s="93"/>
      <c r="M36" s="93"/>
      <c r="N36" s="91">
        <f>M36-L36</f>
        <v>0</v>
      </c>
      <c r="O36" s="167"/>
      <c r="P36" s="93">
        <v>798</v>
      </c>
      <c r="Q36" s="93">
        <v>853</v>
      </c>
      <c r="R36" s="91">
        <f>Q36-P36</f>
        <v>55</v>
      </c>
      <c r="S36" s="321">
        <f t="shared" si="24"/>
        <v>0</v>
      </c>
      <c r="T36" s="259">
        <f t="shared" si="24"/>
        <v>798</v>
      </c>
      <c r="U36" s="259">
        <f t="shared" si="24"/>
        <v>853</v>
      </c>
      <c r="V36" s="260">
        <f>U36-T36</f>
        <v>55</v>
      </c>
      <c r="W36" s="167">
        <f>472271+1800</f>
        <v>474071</v>
      </c>
      <c r="X36" s="93">
        <v>495721</v>
      </c>
      <c r="Y36" s="93">
        <v>505954</v>
      </c>
      <c r="Z36" s="91">
        <f>Y36-X36</f>
        <v>10233</v>
      </c>
      <c r="AA36" s="329">
        <f t="shared" si="25"/>
        <v>474071</v>
      </c>
      <c r="AB36" s="259">
        <f t="shared" si="25"/>
        <v>496519</v>
      </c>
      <c r="AC36" s="259">
        <f t="shared" si="25"/>
        <v>506807</v>
      </c>
      <c r="AD36" s="260">
        <f>AC36-AB36</f>
        <v>10288</v>
      </c>
      <c r="AE36" s="167">
        <f t="shared" si="26"/>
        <v>474071</v>
      </c>
      <c r="AF36" s="93">
        <f t="shared" si="26"/>
        <v>496519</v>
      </c>
      <c r="AG36" s="93">
        <f t="shared" si="26"/>
        <v>506807</v>
      </c>
      <c r="AH36" s="299">
        <f>AG36-AF36</f>
        <v>10288</v>
      </c>
      <c r="AI36" s="167">
        <v>472271</v>
      </c>
      <c r="AJ36" s="93">
        <v>494719</v>
      </c>
      <c r="AK36" s="93">
        <f>472271+798+16481+5169+55+10153</f>
        <v>504927</v>
      </c>
      <c r="AL36" s="91">
        <f>AK36-AJ36</f>
        <v>10208</v>
      </c>
      <c r="AM36" s="167">
        <v>1800</v>
      </c>
      <c r="AN36" s="93">
        <v>1800</v>
      </c>
      <c r="AO36" s="93">
        <f>1800+80</f>
        <v>1880</v>
      </c>
      <c r="AP36" s="91">
        <f>AO36-AN36</f>
        <v>80</v>
      </c>
      <c r="AQ36" s="167"/>
      <c r="AR36" s="93"/>
      <c r="AS36" s="93"/>
      <c r="AT36" s="91">
        <f>AS36-AR36</f>
        <v>0</v>
      </c>
      <c r="AU36" s="35"/>
      <c r="AV36" s="353">
        <f t="shared" si="22"/>
        <v>10288</v>
      </c>
    </row>
    <row r="37" spans="2:48" s="18" customFormat="1" ht="18" customHeight="1">
      <c r="B37" s="311" t="s">
        <v>146</v>
      </c>
      <c r="C37" s="167"/>
      <c r="D37" s="93"/>
      <c r="E37" s="93"/>
      <c r="F37" s="91">
        <f>E37-D37</f>
        <v>0</v>
      </c>
      <c r="G37" s="167"/>
      <c r="H37" s="93"/>
      <c r="I37" s="93"/>
      <c r="J37" s="91">
        <f>I37-H37</f>
        <v>0</v>
      </c>
      <c r="K37" s="167"/>
      <c r="L37" s="93"/>
      <c r="M37" s="93"/>
      <c r="N37" s="91">
        <f>M37-L37</f>
        <v>0</v>
      </c>
      <c r="O37" s="167"/>
      <c r="P37" s="93"/>
      <c r="Q37" s="93"/>
      <c r="R37" s="91">
        <f>Q37-P37</f>
        <v>0</v>
      </c>
      <c r="S37" s="321">
        <f t="shared" si="24"/>
        <v>0</v>
      </c>
      <c r="T37" s="259">
        <f t="shared" si="24"/>
        <v>0</v>
      </c>
      <c r="U37" s="259">
        <f t="shared" si="24"/>
        <v>0</v>
      </c>
      <c r="V37" s="260">
        <f>U37-T37</f>
        <v>0</v>
      </c>
      <c r="W37" s="167">
        <f>19501+13052+100</f>
        <v>32653</v>
      </c>
      <c r="X37" s="93">
        <v>33649</v>
      </c>
      <c r="Y37" s="93">
        <v>33783</v>
      </c>
      <c r="Z37" s="91">
        <f>Y37-X37</f>
        <v>134</v>
      </c>
      <c r="AA37" s="329">
        <f t="shared" si="25"/>
        <v>32653</v>
      </c>
      <c r="AB37" s="259">
        <f t="shared" si="25"/>
        <v>33649</v>
      </c>
      <c r="AC37" s="259">
        <f t="shared" si="25"/>
        <v>33783</v>
      </c>
      <c r="AD37" s="260">
        <f>AC37-AB37</f>
        <v>134</v>
      </c>
      <c r="AE37" s="167">
        <f t="shared" si="26"/>
        <v>32653</v>
      </c>
      <c r="AF37" s="93">
        <f t="shared" si="26"/>
        <v>33649</v>
      </c>
      <c r="AG37" s="93">
        <f t="shared" si="26"/>
        <v>33783</v>
      </c>
      <c r="AH37" s="299">
        <f>AG37-AF37</f>
        <v>134</v>
      </c>
      <c r="AI37" s="167">
        <v>19501</v>
      </c>
      <c r="AJ37" s="93">
        <v>20434</v>
      </c>
      <c r="AK37" s="93">
        <f>19501+932+1-1161</f>
        <v>19273</v>
      </c>
      <c r="AL37" s="91">
        <f>AK37-AJ37</f>
        <v>-1161</v>
      </c>
      <c r="AM37" s="167">
        <f>13052+100</f>
        <v>13152</v>
      </c>
      <c r="AN37" s="93">
        <v>13215</v>
      </c>
      <c r="AO37" s="93">
        <f>13052+100-161+224+1295</f>
        <v>14510</v>
      </c>
      <c r="AP37" s="91">
        <f>AO37-AN37</f>
        <v>1295</v>
      </c>
      <c r="AQ37" s="167"/>
      <c r="AR37" s="93"/>
      <c r="AS37" s="93"/>
      <c r="AT37" s="91">
        <f>AS37-AR37</f>
        <v>0</v>
      </c>
      <c r="AU37" s="35"/>
      <c r="AV37" s="353">
        <f t="shared" si="22"/>
        <v>134</v>
      </c>
    </row>
    <row r="38" spans="2:48" s="18" customFormat="1" ht="18" customHeight="1" thickBot="1">
      <c r="B38" s="311" t="s">
        <v>141</v>
      </c>
      <c r="C38" s="180"/>
      <c r="D38" s="181"/>
      <c r="E38" s="181"/>
      <c r="F38" s="30">
        <f>E38-D38</f>
        <v>0</v>
      </c>
      <c r="G38" s="180"/>
      <c r="H38" s="181"/>
      <c r="I38" s="181"/>
      <c r="J38" s="30">
        <f>I38-H38</f>
        <v>0</v>
      </c>
      <c r="K38" s="180"/>
      <c r="L38" s="181"/>
      <c r="M38" s="181"/>
      <c r="N38" s="30">
        <f>M38-L38</f>
        <v>0</v>
      </c>
      <c r="O38" s="180"/>
      <c r="P38" s="181"/>
      <c r="Q38" s="181"/>
      <c r="R38" s="30">
        <f>Q38-P38</f>
        <v>0</v>
      </c>
      <c r="S38" s="321">
        <f t="shared" si="24"/>
        <v>0</v>
      </c>
      <c r="T38" s="273">
        <f t="shared" si="24"/>
        <v>0</v>
      </c>
      <c r="U38" s="273">
        <f t="shared" si="24"/>
        <v>0</v>
      </c>
      <c r="V38" s="274">
        <f>U38-T38</f>
        <v>0</v>
      </c>
      <c r="W38" s="180">
        <f>11362+8050-750-100-300+5429</f>
        <v>23691</v>
      </c>
      <c r="X38" s="181">
        <v>11642</v>
      </c>
      <c r="Y38" s="181">
        <v>3680</v>
      </c>
      <c r="Z38" s="30">
        <f>Y38-X38</f>
        <v>-7962</v>
      </c>
      <c r="AA38" s="333">
        <f t="shared" si="25"/>
        <v>23691</v>
      </c>
      <c r="AB38" s="275">
        <f t="shared" si="25"/>
        <v>11642</v>
      </c>
      <c r="AC38" s="275">
        <f t="shared" si="25"/>
        <v>3680</v>
      </c>
      <c r="AD38" s="276">
        <f>AC38-AB38</f>
        <v>-7962</v>
      </c>
      <c r="AE38" s="339">
        <f t="shared" si="26"/>
        <v>23691</v>
      </c>
      <c r="AF38" s="229">
        <f t="shared" si="26"/>
        <v>11642</v>
      </c>
      <c r="AG38" s="229">
        <f t="shared" si="26"/>
        <v>3680</v>
      </c>
      <c r="AH38" s="348">
        <f>AG38-AF38</f>
        <v>-7962</v>
      </c>
      <c r="AI38" s="180">
        <f>11362-750-100-300+5429</f>
        <v>15641</v>
      </c>
      <c r="AJ38" s="181">
        <v>2901</v>
      </c>
      <c r="AK38" s="181">
        <f>11362-750-100-300+5429-7435-1778+1-3528-2574</f>
        <v>327</v>
      </c>
      <c r="AL38" s="230">
        <f>AK38-AJ38</f>
        <v>-2574</v>
      </c>
      <c r="AM38" s="180">
        <v>8050</v>
      </c>
      <c r="AN38" s="181">
        <v>8050</v>
      </c>
      <c r="AO38" s="181">
        <f>8050-5388</f>
        <v>2662</v>
      </c>
      <c r="AP38" s="230">
        <f>AO38-AN38</f>
        <v>-5388</v>
      </c>
      <c r="AQ38" s="180"/>
      <c r="AR38" s="181"/>
      <c r="AS38" s="181"/>
      <c r="AT38" s="230">
        <f>AS38-AR38</f>
        <v>0</v>
      </c>
      <c r="AU38" s="35"/>
      <c r="AV38" s="353">
        <f t="shared" si="22"/>
        <v>-7962</v>
      </c>
    </row>
    <row r="39" spans="2:48" s="18" customFormat="1" ht="18" customHeight="1" thickBot="1">
      <c r="B39" s="310" t="s">
        <v>133</v>
      </c>
      <c r="C39" s="170">
        <f aca="true" t="shared" si="27" ref="C39:AT39">C30+C31+C32+C33+C34</f>
        <v>34962</v>
      </c>
      <c r="D39" s="171">
        <f t="shared" si="27"/>
        <v>39320</v>
      </c>
      <c r="E39" s="171">
        <f t="shared" si="27"/>
        <v>40022</v>
      </c>
      <c r="F39" s="31">
        <f t="shared" si="27"/>
        <v>702</v>
      </c>
      <c r="G39" s="170">
        <f t="shared" si="27"/>
        <v>105857</v>
      </c>
      <c r="H39" s="171">
        <f t="shared" si="27"/>
        <v>122071</v>
      </c>
      <c r="I39" s="171">
        <f t="shared" si="27"/>
        <v>143146</v>
      </c>
      <c r="J39" s="31">
        <f t="shared" si="27"/>
        <v>21075</v>
      </c>
      <c r="K39" s="170">
        <f t="shared" si="27"/>
        <v>38920</v>
      </c>
      <c r="L39" s="171">
        <f t="shared" si="27"/>
        <v>46750</v>
      </c>
      <c r="M39" s="171">
        <f t="shared" si="27"/>
        <v>47561</v>
      </c>
      <c r="N39" s="31">
        <f t="shared" si="27"/>
        <v>811</v>
      </c>
      <c r="O39" s="170">
        <f t="shared" si="27"/>
        <v>301855</v>
      </c>
      <c r="P39" s="171">
        <f t="shared" si="27"/>
        <v>310073</v>
      </c>
      <c r="Q39" s="171">
        <f t="shared" si="27"/>
        <v>304685</v>
      </c>
      <c r="R39" s="31">
        <f t="shared" si="27"/>
        <v>-5388</v>
      </c>
      <c r="S39" s="322">
        <f t="shared" si="27"/>
        <v>481594</v>
      </c>
      <c r="T39" s="265">
        <f t="shared" si="27"/>
        <v>518214</v>
      </c>
      <c r="U39" s="265">
        <f t="shared" si="27"/>
        <v>535414</v>
      </c>
      <c r="V39" s="266">
        <f t="shared" si="27"/>
        <v>17200</v>
      </c>
      <c r="W39" s="170">
        <f t="shared" si="27"/>
        <v>1047286</v>
      </c>
      <c r="X39" s="171">
        <f t="shared" si="27"/>
        <v>1095535</v>
      </c>
      <c r="Y39" s="171">
        <f t="shared" si="27"/>
        <v>1114218</v>
      </c>
      <c r="Z39" s="31">
        <f t="shared" si="27"/>
        <v>18683</v>
      </c>
      <c r="AA39" s="185">
        <f t="shared" si="27"/>
        <v>1528880</v>
      </c>
      <c r="AB39" s="99">
        <f t="shared" si="27"/>
        <v>1613749</v>
      </c>
      <c r="AC39" s="99">
        <f t="shared" si="27"/>
        <v>1649632</v>
      </c>
      <c r="AD39" s="98">
        <f t="shared" si="27"/>
        <v>35883</v>
      </c>
      <c r="AE39" s="170">
        <f t="shared" si="27"/>
        <v>1528880</v>
      </c>
      <c r="AF39" s="99">
        <f t="shared" si="27"/>
        <v>1613749</v>
      </c>
      <c r="AG39" s="99">
        <f t="shared" si="27"/>
        <v>1649632</v>
      </c>
      <c r="AH39" s="303">
        <f t="shared" si="27"/>
        <v>35883</v>
      </c>
      <c r="AI39" s="170">
        <f t="shared" si="27"/>
        <v>1297035</v>
      </c>
      <c r="AJ39" s="171">
        <f t="shared" si="27"/>
        <v>1348484</v>
      </c>
      <c r="AK39" s="171">
        <f t="shared" si="27"/>
        <v>1376173</v>
      </c>
      <c r="AL39" s="98">
        <f t="shared" si="27"/>
        <v>27689</v>
      </c>
      <c r="AM39" s="170">
        <f t="shared" si="27"/>
        <v>140746</v>
      </c>
      <c r="AN39" s="171">
        <f t="shared" si="27"/>
        <v>173475</v>
      </c>
      <c r="AO39" s="171">
        <f t="shared" si="27"/>
        <v>181668</v>
      </c>
      <c r="AP39" s="98">
        <f t="shared" si="27"/>
        <v>8194</v>
      </c>
      <c r="AQ39" s="170">
        <f t="shared" si="27"/>
        <v>91099</v>
      </c>
      <c r="AR39" s="171">
        <f t="shared" si="27"/>
        <v>91099</v>
      </c>
      <c r="AS39" s="171">
        <f t="shared" si="27"/>
        <v>91099</v>
      </c>
      <c r="AT39" s="98">
        <f t="shared" si="27"/>
        <v>0</v>
      </c>
      <c r="AU39" s="35"/>
      <c r="AV39" s="353">
        <f t="shared" si="22"/>
        <v>35883</v>
      </c>
    </row>
    <row r="40" spans="2:48" s="18" customFormat="1" ht="18" customHeight="1">
      <c r="B40" s="306" t="s">
        <v>73</v>
      </c>
      <c r="C40" s="168"/>
      <c r="D40" s="76">
        <v>1788</v>
      </c>
      <c r="E40" s="76">
        <v>2193</v>
      </c>
      <c r="F40" s="29">
        <f>E40-D40</f>
        <v>405</v>
      </c>
      <c r="G40" s="168">
        <v>1500</v>
      </c>
      <c r="H40" s="76">
        <v>1500</v>
      </c>
      <c r="I40" s="76">
        <v>1882</v>
      </c>
      <c r="J40" s="29">
        <f>I40-H40</f>
        <v>382</v>
      </c>
      <c r="K40" s="168"/>
      <c r="L40" s="76">
        <v>5236</v>
      </c>
      <c r="M40" s="76">
        <v>5236</v>
      </c>
      <c r="N40" s="29">
        <f>M40-L40</f>
        <v>0</v>
      </c>
      <c r="O40" s="168">
        <v>2000</v>
      </c>
      <c r="P40" s="76">
        <v>3068</v>
      </c>
      <c r="Q40" s="76">
        <v>9488</v>
      </c>
      <c r="R40" s="29">
        <f>Q40-P40</f>
        <v>6420</v>
      </c>
      <c r="S40" s="321">
        <f aca="true" t="shared" si="28" ref="S40:U45">C40+G40+K40+O40</f>
        <v>3500</v>
      </c>
      <c r="T40" s="259">
        <f t="shared" si="28"/>
        <v>11592</v>
      </c>
      <c r="U40" s="259">
        <f t="shared" si="28"/>
        <v>18799</v>
      </c>
      <c r="V40" s="260">
        <f>U40-T40</f>
        <v>7207</v>
      </c>
      <c r="W40" s="168">
        <f>72500-3500</f>
        <v>69000</v>
      </c>
      <c r="X40" s="76">
        <v>50265</v>
      </c>
      <c r="Y40" s="76">
        <v>50370</v>
      </c>
      <c r="Z40" s="29">
        <f>Y40-X40</f>
        <v>105</v>
      </c>
      <c r="AA40" s="329">
        <f aca="true" t="shared" si="29" ref="AA40:AC45">S40+W40</f>
        <v>72500</v>
      </c>
      <c r="AB40" s="261">
        <f t="shared" si="29"/>
        <v>61857</v>
      </c>
      <c r="AC40" s="261">
        <f t="shared" si="29"/>
        <v>69169</v>
      </c>
      <c r="AD40" s="262">
        <f>AC40-AB40</f>
        <v>7312</v>
      </c>
      <c r="AE40" s="336">
        <f aca="true" t="shared" si="30" ref="AE40:AG41">AA40</f>
        <v>72500</v>
      </c>
      <c r="AF40" s="221">
        <f t="shared" si="30"/>
        <v>61857</v>
      </c>
      <c r="AG40" s="221">
        <f t="shared" si="30"/>
        <v>69169</v>
      </c>
      <c r="AH40" s="344">
        <f>AG40-AF40</f>
        <v>7312</v>
      </c>
      <c r="AI40" s="168">
        <v>72000</v>
      </c>
      <c r="AJ40" s="76">
        <v>61357</v>
      </c>
      <c r="AK40" s="76">
        <f>72000+1191+4110+1068-7360-9652+6420+382+405+105</f>
        <v>68669</v>
      </c>
      <c r="AL40" s="222">
        <f>AK40-AJ40</f>
        <v>7312</v>
      </c>
      <c r="AM40" s="168">
        <v>500</v>
      </c>
      <c r="AN40" s="76">
        <v>500</v>
      </c>
      <c r="AO40" s="76">
        <v>500</v>
      </c>
      <c r="AP40" s="222">
        <f>AO40-AN40</f>
        <v>0</v>
      </c>
      <c r="AQ40" s="168"/>
      <c r="AR40" s="76"/>
      <c r="AS40" s="76"/>
      <c r="AT40" s="222">
        <f>AS40-AR40</f>
        <v>0</v>
      </c>
      <c r="AU40" s="35"/>
      <c r="AV40" s="353">
        <f t="shared" si="22"/>
        <v>7312</v>
      </c>
    </row>
    <row r="41" spans="2:48" s="18" customFormat="1" ht="18" customHeight="1">
      <c r="B41" s="318" t="s">
        <v>19</v>
      </c>
      <c r="C41" s="172"/>
      <c r="D41" s="173"/>
      <c r="E41" s="173"/>
      <c r="F41" s="28">
        <f>E41-D41</f>
        <v>0</v>
      </c>
      <c r="G41" s="172"/>
      <c r="H41" s="173"/>
      <c r="I41" s="173"/>
      <c r="J41" s="28">
        <f>I41-H41</f>
        <v>0</v>
      </c>
      <c r="K41" s="172"/>
      <c r="L41" s="173"/>
      <c r="M41" s="173"/>
      <c r="N41" s="28">
        <f>M41-L41</f>
        <v>0</v>
      </c>
      <c r="O41" s="172"/>
      <c r="P41" s="173">
        <v>896</v>
      </c>
      <c r="Q41" s="173">
        <v>896</v>
      </c>
      <c r="R41" s="28">
        <f>Q41-P41</f>
        <v>0</v>
      </c>
      <c r="S41" s="321">
        <f t="shared" si="28"/>
        <v>0</v>
      </c>
      <c r="T41" s="267">
        <f t="shared" si="28"/>
        <v>896</v>
      </c>
      <c r="U41" s="267">
        <f t="shared" si="28"/>
        <v>896</v>
      </c>
      <c r="V41" s="268">
        <f>U41-T41</f>
        <v>0</v>
      </c>
      <c r="W41" s="172">
        <v>149418</v>
      </c>
      <c r="X41" s="173">
        <v>155633</v>
      </c>
      <c r="Y41" s="173">
        <v>188536</v>
      </c>
      <c r="Z41" s="28">
        <f>Y41-X41</f>
        <v>32903</v>
      </c>
      <c r="AA41" s="331">
        <f t="shared" si="29"/>
        <v>149418</v>
      </c>
      <c r="AB41" s="269">
        <f t="shared" si="29"/>
        <v>156529</v>
      </c>
      <c r="AC41" s="269">
        <f t="shared" si="29"/>
        <v>189432</v>
      </c>
      <c r="AD41" s="270">
        <f>AC41-AB41</f>
        <v>32903</v>
      </c>
      <c r="AE41" s="338">
        <f t="shared" si="30"/>
        <v>149418</v>
      </c>
      <c r="AF41" s="225">
        <f t="shared" si="30"/>
        <v>156529</v>
      </c>
      <c r="AG41" s="225">
        <f t="shared" si="30"/>
        <v>189432</v>
      </c>
      <c r="AH41" s="346">
        <f>AG41-AF41</f>
        <v>32903</v>
      </c>
      <c r="AI41" s="172">
        <v>149418</v>
      </c>
      <c r="AJ41" s="173">
        <v>157220</v>
      </c>
      <c r="AK41" s="173">
        <f>149418+896+7055-149+32903</f>
        <v>190123</v>
      </c>
      <c r="AL41" s="226">
        <f>AK41-AJ41</f>
        <v>32903</v>
      </c>
      <c r="AM41" s="172"/>
      <c r="AN41" s="173"/>
      <c r="AO41" s="173"/>
      <c r="AP41" s="226">
        <f>AO41-AN41</f>
        <v>0</v>
      </c>
      <c r="AQ41" s="172"/>
      <c r="AR41" s="173"/>
      <c r="AS41" s="173"/>
      <c r="AT41" s="226">
        <f>AS41-AR41</f>
        <v>0</v>
      </c>
      <c r="AU41" s="35"/>
      <c r="AV41" s="353">
        <f t="shared" si="22"/>
        <v>32903</v>
      </c>
    </row>
    <row r="42" spans="2:48" s="18" customFormat="1" ht="18" customHeight="1">
      <c r="B42" s="308" t="s">
        <v>116</v>
      </c>
      <c r="C42" s="168">
        <f aca="true" t="shared" si="31" ref="C42:R42">SUM(C43:C45)</f>
        <v>0</v>
      </c>
      <c r="D42" s="76">
        <f t="shared" si="31"/>
        <v>0</v>
      </c>
      <c r="E42" s="76">
        <f t="shared" si="31"/>
        <v>0</v>
      </c>
      <c r="F42" s="29">
        <f t="shared" si="31"/>
        <v>0</v>
      </c>
      <c r="G42" s="168">
        <f t="shared" si="31"/>
        <v>0</v>
      </c>
      <c r="H42" s="76">
        <f t="shared" si="31"/>
        <v>0</v>
      </c>
      <c r="I42" s="76">
        <f t="shared" si="31"/>
        <v>0</v>
      </c>
      <c r="J42" s="29">
        <f t="shared" si="31"/>
        <v>0</v>
      </c>
      <c r="K42" s="168">
        <f t="shared" si="31"/>
        <v>0</v>
      </c>
      <c r="L42" s="76">
        <f t="shared" si="31"/>
        <v>0</v>
      </c>
      <c r="M42" s="76">
        <f t="shared" si="31"/>
        <v>0</v>
      </c>
      <c r="N42" s="29">
        <f t="shared" si="31"/>
        <v>0</v>
      </c>
      <c r="O42" s="168">
        <f t="shared" si="31"/>
        <v>0</v>
      </c>
      <c r="P42" s="76">
        <f t="shared" si="31"/>
        <v>0</v>
      </c>
      <c r="Q42" s="76">
        <f t="shared" si="31"/>
        <v>0</v>
      </c>
      <c r="R42" s="29">
        <f t="shared" si="31"/>
        <v>0</v>
      </c>
      <c r="S42" s="321">
        <f t="shared" si="28"/>
        <v>0</v>
      </c>
      <c r="T42" s="259">
        <f t="shared" si="28"/>
        <v>0</v>
      </c>
      <c r="U42" s="259">
        <f t="shared" si="28"/>
        <v>0</v>
      </c>
      <c r="V42" s="260">
        <f>SUM(V43:V45)</f>
        <v>0</v>
      </c>
      <c r="W42" s="168">
        <f>SUM(W43:W45)</f>
        <v>11611</v>
      </c>
      <c r="X42" s="76">
        <f>SUM(X43:X45)</f>
        <v>24506</v>
      </c>
      <c r="Y42" s="76">
        <f>SUM(Y43:Y45)</f>
        <v>28392</v>
      </c>
      <c r="Z42" s="29">
        <f>SUM(Z43:Z45)</f>
        <v>3886</v>
      </c>
      <c r="AA42" s="329">
        <f t="shared" si="29"/>
        <v>11611</v>
      </c>
      <c r="AB42" s="261">
        <f t="shared" si="29"/>
        <v>24506</v>
      </c>
      <c r="AC42" s="261">
        <f t="shared" si="29"/>
        <v>28392</v>
      </c>
      <c r="AD42" s="262">
        <f aca="true" t="shared" si="32" ref="AD42:AT42">SUM(AD43:AD45)</f>
        <v>3886</v>
      </c>
      <c r="AE42" s="336">
        <f t="shared" si="32"/>
        <v>11611</v>
      </c>
      <c r="AF42" s="221">
        <f t="shared" si="32"/>
        <v>24506</v>
      </c>
      <c r="AG42" s="221">
        <f t="shared" si="32"/>
        <v>28392</v>
      </c>
      <c r="AH42" s="344">
        <f t="shared" si="32"/>
        <v>3886</v>
      </c>
      <c r="AI42" s="168">
        <f t="shared" si="32"/>
        <v>10151</v>
      </c>
      <c r="AJ42" s="168">
        <f t="shared" si="32"/>
        <v>20246</v>
      </c>
      <c r="AK42" s="76">
        <f t="shared" si="32"/>
        <v>25592</v>
      </c>
      <c r="AL42" s="222">
        <f t="shared" si="32"/>
        <v>5346</v>
      </c>
      <c r="AM42" s="168">
        <f t="shared" si="32"/>
        <v>1460</v>
      </c>
      <c r="AN42" s="76">
        <f t="shared" si="32"/>
        <v>4260</v>
      </c>
      <c r="AO42" s="76">
        <f t="shared" si="32"/>
        <v>2800</v>
      </c>
      <c r="AP42" s="222">
        <f t="shared" si="32"/>
        <v>-1460</v>
      </c>
      <c r="AQ42" s="168">
        <f t="shared" si="32"/>
        <v>0</v>
      </c>
      <c r="AR42" s="76">
        <f t="shared" si="32"/>
        <v>0</v>
      </c>
      <c r="AS42" s="76">
        <f t="shared" si="32"/>
        <v>0</v>
      </c>
      <c r="AT42" s="222">
        <f t="shared" si="32"/>
        <v>0</v>
      </c>
      <c r="AU42" s="35"/>
      <c r="AV42" s="353">
        <f t="shared" si="22"/>
        <v>3886</v>
      </c>
    </row>
    <row r="43" spans="2:48" s="18" customFormat="1" ht="18" customHeight="1">
      <c r="B43" s="311" t="s">
        <v>186</v>
      </c>
      <c r="C43" s="167"/>
      <c r="D43" s="93"/>
      <c r="E43" s="93"/>
      <c r="F43" s="91">
        <f>E43-D43</f>
        <v>0</v>
      </c>
      <c r="G43" s="167"/>
      <c r="H43" s="93"/>
      <c r="I43" s="93"/>
      <c r="J43" s="91">
        <f>I43-H43</f>
        <v>0</v>
      </c>
      <c r="K43" s="167"/>
      <c r="L43" s="93"/>
      <c r="M43" s="93"/>
      <c r="N43" s="91">
        <f>M43-L43</f>
        <v>0</v>
      </c>
      <c r="O43" s="167"/>
      <c r="P43" s="93"/>
      <c r="Q43" s="93"/>
      <c r="R43" s="91">
        <f>Q43-P43</f>
        <v>0</v>
      </c>
      <c r="S43" s="321">
        <f t="shared" si="28"/>
        <v>0</v>
      </c>
      <c r="T43" s="259">
        <f t="shared" si="28"/>
        <v>0</v>
      </c>
      <c r="U43" s="259">
        <f t="shared" si="28"/>
        <v>0</v>
      </c>
      <c r="V43" s="260">
        <f>U43-T43</f>
        <v>0</v>
      </c>
      <c r="W43" s="167">
        <v>1460</v>
      </c>
      <c r="X43" s="93">
        <v>1460</v>
      </c>
      <c r="Y43" s="93">
        <v>0</v>
      </c>
      <c r="Z43" s="91">
        <f>Y43-X43</f>
        <v>-1460</v>
      </c>
      <c r="AA43" s="329">
        <f t="shared" si="29"/>
        <v>1460</v>
      </c>
      <c r="AB43" s="259">
        <f t="shared" si="29"/>
        <v>1460</v>
      </c>
      <c r="AC43" s="259">
        <f t="shared" si="29"/>
        <v>0</v>
      </c>
      <c r="AD43" s="260">
        <f>AC43-AB43</f>
        <v>-1460</v>
      </c>
      <c r="AE43" s="167">
        <f aca="true" t="shared" si="33" ref="AE43:AG45">AA43</f>
        <v>1460</v>
      </c>
      <c r="AF43" s="93">
        <f t="shared" si="33"/>
        <v>1460</v>
      </c>
      <c r="AG43" s="93">
        <f t="shared" si="33"/>
        <v>0</v>
      </c>
      <c r="AH43" s="299">
        <f>AG43-AF43</f>
        <v>-1460</v>
      </c>
      <c r="AI43" s="167"/>
      <c r="AJ43" s="93"/>
      <c r="AK43" s="93"/>
      <c r="AL43" s="91">
        <f>AK43-AJ43</f>
        <v>0</v>
      </c>
      <c r="AM43" s="167">
        <v>1460</v>
      </c>
      <c r="AN43" s="93">
        <v>1460</v>
      </c>
      <c r="AO43" s="93">
        <f>1460-1460</f>
        <v>0</v>
      </c>
      <c r="AP43" s="91">
        <f>AO43-AN43</f>
        <v>-1460</v>
      </c>
      <c r="AQ43" s="167"/>
      <c r="AR43" s="93"/>
      <c r="AS43" s="93"/>
      <c r="AT43" s="91">
        <f>AS43-AR43</f>
        <v>0</v>
      </c>
      <c r="AU43" s="35"/>
      <c r="AV43" s="353">
        <f t="shared" si="22"/>
        <v>-1460</v>
      </c>
    </row>
    <row r="44" spans="2:48" s="18" customFormat="1" ht="18" customHeight="1">
      <c r="B44" s="311" t="s">
        <v>187</v>
      </c>
      <c r="C44" s="167"/>
      <c r="D44" s="93"/>
      <c r="E44" s="93"/>
      <c r="F44" s="91">
        <f>E44-D44</f>
        <v>0</v>
      </c>
      <c r="G44" s="167"/>
      <c r="H44" s="93"/>
      <c r="I44" s="93"/>
      <c r="J44" s="91">
        <f>I44-H44</f>
        <v>0</v>
      </c>
      <c r="K44" s="167"/>
      <c r="L44" s="93"/>
      <c r="M44" s="93"/>
      <c r="N44" s="91">
        <f>M44-L44</f>
        <v>0</v>
      </c>
      <c r="O44" s="167"/>
      <c r="P44" s="93"/>
      <c r="Q44" s="93"/>
      <c r="R44" s="91">
        <f>Q44-P44</f>
        <v>0</v>
      </c>
      <c r="S44" s="321">
        <f t="shared" si="28"/>
        <v>0</v>
      </c>
      <c r="T44" s="259">
        <f t="shared" si="28"/>
        <v>0</v>
      </c>
      <c r="U44" s="259">
        <f t="shared" si="28"/>
        <v>0</v>
      </c>
      <c r="V44" s="260">
        <f>U44-T44</f>
        <v>0</v>
      </c>
      <c r="W44" s="167">
        <v>10151</v>
      </c>
      <c r="X44" s="93">
        <v>11176</v>
      </c>
      <c r="Y44" s="93">
        <v>16522</v>
      </c>
      <c r="Z44" s="91">
        <f>Y44-X44</f>
        <v>5346</v>
      </c>
      <c r="AA44" s="329">
        <f t="shared" si="29"/>
        <v>10151</v>
      </c>
      <c r="AB44" s="259">
        <f t="shared" si="29"/>
        <v>11176</v>
      </c>
      <c r="AC44" s="259">
        <f t="shared" si="29"/>
        <v>16522</v>
      </c>
      <c r="AD44" s="260">
        <f>AC44-AB44</f>
        <v>5346</v>
      </c>
      <c r="AE44" s="167">
        <f t="shared" si="33"/>
        <v>10151</v>
      </c>
      <c r="AF44" s="93">
        <f t="shared" si="33"/>
        <v>11176</v>
      </c>
      <c r="AG44" s="93">
        <f t="shared" si="33"/>
        <v>16522</v>
      </c>
      <c r="AH44" s="299">
        <f>AG44-AF44</f>
        <v>5346</v>
      </c>
      <c r="AI44" s="167">
        <v>10151</v>
      </c>
      <c r="AJ44" s="93">
        <f>10151+1025</f>
        <v>11176</v>
      </c>
      <c r="AK44" s="93">
        <f>10151+1025+5346</f>
        <v>16522</v>
      </c>
      <c r="AL44" s="91">
        <f>AK44-AJ44</f>
        <v>5346</v>
      </c>
      <c r="AM44" s="167"/>
      <c r="AN44" s="93"/>
      <c r="AO44" s="93"/>
      <c r="AP44" s="91">
        <f>AO44-AN44</f>
        <v>0</v>
      </c>
      <c r="AQ44" s="167"/>
      <c r="AR44" s="93"/>
      <c r="AS44" s="93"/>
      <c r="AT44" s="91">
        <f>AS44-AR44</f>
        <v>0</v>
      </c>
      <c r="AU44" s="35"/>
      <c r="AV44" s="353">
        <f t="shared" si="22"/>
        <v>5346</v>
      </c>
    </row>
    <row r="45" spans="2:48" s="18" customFormat="1" ht="18" customHeight="1" thickBot="1">
      <c r="B45" s="311" t="s">
        <v>188</v>
      </c>
      <c r="C45" s="184"/>
      <c r="D45" s="95"/>
      <c r="E45" s="95"/>
      <c r="F45" s="92">
        <f>E45-D45</f>
        <v>0</v>
      </c>
      <c r="G45" s="184"/>
      <c r="H45" s="95"/>
      <c r="I45" s="95"/>
      <c r="J45" s="92">
        <f>I45-H45</f>
        <v>0</v>
      </c>
      <c r="K45" s="184"/>
      <c r="L45" s="95"/>
      <c r="M45" s="95"/>
      <c r="N45" s="92">
        <f>M45-L45</f>
        <v>0</v>
      </c>
      <c r="O45" s="184"/>
      <c r="P45" s="95"/>
      <c r="Q45" s="95"/>
      <c r="R45" s="92">
        <f>Q45-P45</f>
        <v>0</v>
      </c>
      <c r="S45" s="321">
        <f t="shared" si="28"/>
        <v>0</v>
      </c>
      <c r="T45" s="273">
        <f t="shared" si="28"/>
        <v>0</v>
      </c>
      <c r="U45" s="273">
        <f t="shared" si="28"/>
        <v>0</v>
      </c>
      <c r="V45" s="274">
        <f>U45-T45</f>
        <v>0</v>
      </c>
      <c r="W45" s="184"/>
      <c r="X45" s="95">
        <v>11870</v>
      </c>
      <c r="Y45" s="95">
        <v>11870</v>
      </c>
      <c r="Z45" s="92">
        <f>Y45-X45</f>
        <v>0</v>
      </c>
      <c r="AA45" s="333">
        <f t="shared" si="29"/>
        <v>0</v>
      </c>
      <c r="AB45" s="273">
        <f t="shared" si="29"/>
        <v>11870</v>
      </c>
      <c r="AC45" s="273">
        <f t="shared" si="29"/>
        <v>11870</v>
      </c>
      <c r="AD45" s="274">
        <f>AC45-AB45</f>
        <v>0</v>
      </c>
      <c r="AE45" s="184">
        <f t="shared" si="33"/>
        <v>0</v>
      </c>
      <c r="AF45" s="95">
        <f t="shared" si="33"/>
        <v>11870</v>
      </c>
      <c r="AG45" s="95">
        <f t="shared" si="33"/>
        <v>11870</v>
      </c>
      <c r="AH45" s="302">
        <f>AG45-AF45</f>
        <v>0</v>
      </c>
      <c r="AI45" s="184"/>
      <c r="AJ45" s="95">
        <v>9070</v>
      </c>
      <c r="AK45" s="95">
        <f>5075+3995</f>
        <v>9070</v>
      </c>
      <c r="AL45" s="92">
        <f>AK45-AJ45</f>
        <v>0</v>
      </c>
      <c r="AM45" s="184"/>
      <c r="AN45" s="95">
        <f>2200+600</f>
        <v>2800</v>
      </c>
      <c r="AO45" s="95">
        <f>2200+600</f>
        <v>2800</v>
      </c>
      <c r="AP45" s="92">
        <f>AO45-AN45</f>
        <v>0</v>
      </c>
      <c r="AQ45" s="184"/>
      <c r="AR45" s="95"/>
      <c r="AS45" s="95"/>
      <c r="AT45" s="92">
        <f>AS45-AR45</f>
        <v>0</v>
      </c>
      <c r="AU45" s="35"/>
      <c r="AV45" s="353">
        <f t="shared" si="22"/>
        <v>0</v>
      </c>
    </row>
    <row r="46" spans="2:48" s="18" customFormat="1" ht="18" customHeight="1" thickBot="1">
      <c r="B46" s="310" t="s">
        <v>134</v>
      </c>
      <c r="C46" s="170">
        <f aca="true" t="shared" si="34" ref="C46:AT46">C40+C41+C42</f>
        <v>0</v>
      </c>
      <c r="D46" s="171">
        <f t="shared" si="34"/>
        <v>1788</v>
      </c>
      <c r="E46" s="171">
        <f t="shared" si="34"/>
        <v>2193</v>
      </c>
      <c r="F46" s="31">
        <f t="shared" si="34"/>
        <v>405</v>
      </c>
      <c r="G46" s="170">
        <f t="shared" si="34"/>
        <v>1500</v>
      </c>
      <c r="H46" s="171">
        <f t="shared" si="34"/>
        <v>1500</v>
      </c>
      <c r="I46" s="171">
        <f t="shared" si="34"/>
        <v>1882</v>
      </c>
      <c r="J46" s="31">
        <f t="shared" si="34"/>
        <v>382</v>
      </c>
      <c r="K46" s="170">
        <f t="shared" si="34"/>
        <v>0</v>
      </c>
      <c r="L46" s="171">
        <f t="shared" si="34"/>
        <v>5236</v>
      </c>
      <c r="M46" s="171">
        <f t="shared" si="34"/>
        <v>5236</v>
      </c>
      <c r="N46" s="31">
        <f t="shared" si="34"/>
        <v>0</v>
      </c>
      <c r="O46" s="170">
        <f t="shared" si="34"/>
        <v>2000</v>
      </c>
      <c r="P46" s="171">
        <f t="shared" si="34"/>
        <v>3964</v>
      </c>
      <c r="Q46" s="171">
        <f t="shared" si="34"/>
        <v>10384</v>
      </c>
      <c r="R46" s="31">
        <f t="shared" si="34"/>
        <v>6420</v>
      </c>
      <c r="S46" s="322">
        <f t="shared" si="34"/>
        <v>3500</v>
      </c>
      <c r="T46" s="265">
        <f t="shared" si="34"/>
        <v>12488</v>
      </c>
      <c r="U46" s="265">
        <f t="shared" si="34"/>
        <v>19695</v>
      </c>
      <c r="V46" s="266">
        <f t="shared" si="34"/>
        <v>7207</v>
      </c>
      <c r="W46" s="170">
        <f t="shared" si="34"/>
        <v>230029</v>
      </c>
      <c r="X46" s="171">
        <f t="shared" si="34"/>
        <v>230404</v>
      </c>
      <c r="Y46" s="171">
        <f t="shared" si="34"/>
        <v>267298</v>
      </c>
      <c r="Z46" s="31">
        <f t="shared" si="34"/>
        <v>36894</v>
      </c>
      <c r="AA46" s="185">
        <f t="shared" si="34"/>
        <v>233529</v>
      </c>
      <c r="AB46" s="99">
        <f t="shared" si="34"/>
        <v>242892</v>
      </c>
      <c r="AC46" s="99">
        <f t="shared" si="34"/>
        <v>286993</v>
      </c>
      <c r="AD46" s="98">
        <f t="shared" si="34"/>
        <v>44101</v>
      </c>
      <c r="AE46" s="170">
        <f t="shared" si="34"/>
        <v>233529</v>
      </c>
      <c r="AF46" s="99">
        <f t="shared" si="34"/>
        <v>242892</v>
      </c>
      <c r="AG46" s="99">
        <f t="shared" si="34"/>
        <v>286993</v>
      </c>
      <c r="AH46" s="303">
        <f t="shared" si="34"/>
        <v>44101</v>
      </c>
      <c r="AI46" s="170">
        <f t="shared" si="34"/>
        <v>231569</v>
      </c>
      <c r="AJ46" s="171">
        <f t="shared" si="34"/>
        <v>238823</v>
      </c>
      <c r="AK46" s="171">
        <f t="shared" si="34"/>
        <v>284384</v>
      </c>
      <c r="AL46" s="98">
        <f t="shared" si="34"/>
        <v>45561</v>
      </c>
      <c r="AM46" s="170">
        <f t="shared" si="34"/>
        <v>1960</v>
      </c>
      <c r="AN46" s="171">
        <f t="shared" si="34"/>
        <v>4760</v>
      </c>
      <c r="AO46" s="171">
        <f t="shared" si="34"/>
        <v>3300</v>
      </c>
      <c r="AP46" s="98">
        <f t="shared" si="34"/>
        <v>-1460</v>
      </c>
      <c r="AQ46" s="170">
        <f t="shared" si="34"/>
        <v>0</v>
      </c>
      <c r="AR46" s="171">
        <f t="shared" si="34"/>
        <v>0</v>
      </c>
      <c r="AS46" s="171">
        <f t="shared" si="34"/>
        <v>0</v>
      </c>
      <c r="AT46" s="98">
        <f t="shared" si="34"/>
        <v>0</v>
      </c>
      <c r="AU46" s="35"/>
      <c r="AV46" s="353">
        <f t="shared" si="22"/>
        <v>44101</v>
      </c>
    </row>
    <row r="47" spans="2:48" s="20" customFormat="1" ht="18" customHeight="1" thickBot="1">
      <c r="B47" s="313" t="s">
        <v>135</v>
      </c>
      <c r="C47" s="178">
        <f aca="true" t="shared" si="35" ref="C47:AT47">C46+C39</f>
        <v>34962</v>
      </c>
      <c r="D47" s="179">
        <f t="shared" si="35"/>
        <v>41108</v>
      </c>
      <c r="E47" s="179">
        <f t="shared" si="35"/>
        <v>42215</v>
      </c>
      <c r="F47" s="86">
        <f t="shared" si="35"/>
        <v>1107</v>
      </c>
      <c r="G47" s="178">
        <f t="shared" si="35"/>
        <v>107357</v>
      </c>
      <c r="H47" s="179">
        <f t="shared" si="35"/>
        <v>123571</v>
      </c>
      <c r="I47" s="179">
        <f t="shared" si="35"/>
        <v>145028</v>
      </c>
      <c r="J47" s="86">
        <f t="shared" si="35"/>
        <v>21457</v>
      </c>
      <c r="K47" s="178">
        <f t="shared" si="35"/>
        <v>38920</v>
      </c>
      <c r="L47" s="179">
        <f t="shared" si="35"/>
        <v>51986</v>
      </c>
      <c r="M47" s="179">
        <f t="shared" si="35"/>
        <v>52797</v>
      </c>
      <c r="N47" s="86">
        <f t="shared" si="35"/>
        <v>811</v>
      </c>
      <c r="O47" s="178">
        <f t="shared" si="35"/>
        <v>303855</v>
      </c>
      <c r="P47" s="179">
        <f t="shared" si="35"/>
        <v>314037</v>
      </c>
      <c r="Q47" s="179">
        <f t="shared" si="35"/>
        <v>315069</v>
      </c>
      <c r="R47" s="86">
        <f t="shared" si="35"/>
        <v>1032</v>
      </c>
      <c r="S47" s="324">
        <f t="shared" si="35"/>
        <v>485094</v>
      </c>
      <c r="T47" s="271">
        <f t="shared" si="35"/>
        <v>530702</v>
      </c>
      <c r="U47" s="271">
        <f t="shared" si="35"/>
        <v>555109</v>
      </c>
      <c r="V47" s="272">
        <f t="shared" si="35"/>
        <v>24407</v>
      </c>
      <c r="W47" s="178">
        <f t="shared" si="35"/>
        <v>1277315</v>
      </c>
      <c r="X47" s="179">
        <f t="shared" si="35"/>
        <v>1325939</v>
      </c>
      <c r="Y47" s="179">
        <f t="shared" si="35"/>
        <v>1381516</v>
      </c>
      <c r="Z47" s="86">
        <f t="shared" si="35"/>
        <v>55577</v>
      </c>
      <c r="AA47" s="332">
        <f t="shared" si="35"/>
        <v>1762409</v>
      </c>
      <c r="AB47" s="227">
        <f t="shared" si="35"/>
        <v>1856641</v>
      </c>
      <c r="AC47" s="227">
        <f t="shared" si="35"/>
        <v>1936625</v>
      </c>
      <c r="AD47" s="228">
        <f t="shared" si="35"/>
        <v>79984</v>
      </c>
      <c r="AE47" s="178">
        <f t="shared" si="35"/>
        <v>1762409</v>
      </c>
      <c r="AF47" s="227">
        <f t="shared" si="35"/>
        <v>1856641</v>
      </c>
      <c r="AG47" s="227">
        <f t="shared" si="35"/>
        <v>1936625</v>
      </c>
      <c r="AH47" s="347">
        <f t="shared" si="35"/>
        <v>79984</v>
      </c>
      <c r="AI47" s="178">
        <f t="shared" si="35"/>
        <v>1528604</v>
      </c>
      <c r="AJ47" s="179">
        <f t="shared" si="35"/>
        <v>1587307</v>
      </c>
      <c r="AK47" s="179">
        <f t="shared" si="35"/>
        <v>1660557</v>
      </c>
      <c r="AL47" s="228">
        <f t="shared" si="35"/>
        <v>73250</v>
      </c>
      <c r="AM47" s="178">
        <f t="shared" si="35"/>
        <v>142706</v>
      </c>
      <c r="AN47" s="179">
        <f t="shared" si="35"/>
        <v>178235</v>
      </c>
      <c r="AO47" s="179">
        <f t="shared" si="35"/>
        <v>184968</v>
      </c>
      <c r="AP47" s="228">
        <f t="shared" si="35"/>
        <v>6734</v>
      </c>
      <c r="AQ47" s="178">
        <f t="shared" si="35"/>
        <v>91099</v>
      </c>
      <c r="AR47" s="179">
        <f t="shared" si="35"/>
        <v>91099</v>
      </c>
      <c r="AS47" s="179">
        <f t="shared" si="35"/>
        <v>91099</v>
      </c>
      <c r="AT47" s="228">
        <f t="shared" si="35"/>
        <v>0</v>
      </c>
      <c r="AU47" s="35"/>
      <c r="AV47" s="353">
        <f t="shared" si="22"/>
        <v>79984</v>
      </c>
    </row>
    <row r="48" spans="2:48" s="18" customFormat="1" ht="18" customHeight="1" thickBot="1">
      <c r="B48" s="319" t="s">
        <v>136</v>
      </c>
      <c r="C48" s="185">
        <v>0</v>
      </c>
      <c r="D48" s="99">
        <v>0</v>
      </c>
      <c r="E48" s="99">
        <v>0</v>
      </c>
      <c r="F48" s="98">
        <f>E48-D48</f>
        <v>0</v>
      </c>
      <c r="G48" s="185">
        <v>0</v>
      </c>
      <c r="H48" s="99">
        <v>0</v>
      </c>
      <c r="I48" s="99">
        <v>0</v>
      </c>
      <c r="J48" s="98">
        <f>I48-H48</f>
        <v>0</v>
      </c>
      <c r="K48" s="185">
        <v>0</v>
      </c>
      <c r="L48" s="99">
        <v>0</v>
      </c>
      <c r="M48" s="99">
        <v>0</v>
      </c>
      <c r="N48" s="98">
        <f>M48-L48</f>
        <v>0</v>
      </c>
      <c r="O48" s="185">
        <v>0</v>
      </c>
      <c r="P48" s="99">
        <v>0</v>
      </c>
      <c r="Q48" s="99">
        <v>0</v>
      </c>
      <c r="R48" s="98">
        <f>Q48-P48</f>
        <v>0</v>
      </c>
      <c r="S48" s="322">
        <f>C48+G48+K48+O48</f>
        <v>0</v>
      </c>
      <c r="T48" s="265">
        <f>D48+H48+L48+P48</f>
        <v>0</v>
      </c>
      <c r="U48" s="265">
        <f>E48+I48+M48+Q48</f>
        <v>0</v>
      </c>
      <c r="V48" s="266">
        <f>U48-T48</f>
        <v>0</v>
      </c>
      <c r="W48" s="185">
        <f>29478+S24</f>
        <v>421218</v>
      </c>
      <c r="X48" s="99">
        <f>29478+T24</f>
        <v>421458</v>
      </c>
      <c r="Y48" s="99">
        <f>29478+U24</f>
        <v>421634</v>
      </c>
      <c r="Z48" s="98">
        <f>Y48-X48</f>
        <v>176</v>
      </c>
      <c r="AA48" s="185">
        <f>S48+W48</f>
        <v>421218</v>
      </c>
      <c r="AB48" s="99">
        <f>T48+X48</f>
        <v>421458</v>
      </c>
      <c r="AC48" s="99">
        <f>U48+Y48</f>
        <v>421634</v>
      </c>
      <c r="AD48" s="98">
        <f>AC48-AB48</f>
        <v>176</v>
      </c>
      <c r="AE48" s="340">
        <f>AA48-S24</f>
        <v>29478</v>
      </c>
      <c r="AF48" s="233">
        <f>AB48-T24</f>
        <v>29478</v>
      </c>
      <c r="AG48" s="233">
        <f>AC48-U24</f>
        <v>29478</v>
      </c>
      <c r="AH48" s="350">
        <f>AG48-AF48</f>
        <v>0</v>
      </c>
      <c r="AI48" s="185">
        <v>29478</v>
      </c>
      <c r="AJ48" s="99">
        <v>29478</v>
      </c>
      <c r="AK48" s="99">
        <v>29478</v>
      </c>
      <c r="AL48" s="234">
        <f>AK48-AJ48</f>
        <v>0</v>
      </c>
      <c r="AM48" s="185"/>
      <c r="AN48" s="99"/>
      <c r="AO48" s="99"/>
      <c r="AP48" s="234">
        <f>AO48-AN48</f>
        <v>0</v>
      </c>
      <c r="AQ48" s="185"/>
      <c r="AR48" s="99"/>
      <c r="AS48" s="99"/>
      <c r="AT48" s="234">
        <f>AS48-AR48</f>
        <v>0</v>
      </c>
      <c r="AU48" s="35"/>
      <c r="AV48" s="353">
        <f t="shared" si="22"/>
        <v>0</v>
      </c>
    </row>
    <row r="49" spans="2:48" s="20" customFormat="1" ht="18" customHeight="1" thickBot="1">
      <c r="B49" s="317" t="s">
        <v>35</v>
      </c>
      <c r="C49" s="182">
        <f aca="true" t="shared" si="36" ref="C49:AT49">C48+C47</f>
        <v>34962</v>
      </c>
      <c r="D49" s="183">
        <f t="shared" si="36"/>
        <v>41108</v>
      </c>
      <c r="E49" s="183">
        <f t="shared" si="36"/>
        <v>42215</v>
      </c>
      <c r="F49" s="32">
        <f t="shared" si="36"/>
        <v>1107</v>
      </c>
      <c r="G49" s="182">
        <f t="shared" si="36"/>
        <v>107357</v>
      </c>
      <c r="H49" s="183">
        <f t="shared" si="36"/>
        <v>123571</v>
      </c>
      <c r="I49" s="183">
        <f t="shared" si="36"/>
        <v>145028</v>
      </c>
      <c r="J49" s="32">
        <f t="shared" si="36"/>
        <v>21457</v>
      </c>
      <c r="K49" s="182">
        <f t="shared" si="36"/>
        <v>38920</v>
      </c>
      <c r="L49" s="183">
        <f t="shared" si="36"/>
        <v>51986</v>
      </c>
      <c r="M49" s="183">
        <f t="shared" si="36"/>
        <v>52797</v>
      </c>
      <c r="N49" s="32">
        <f t="shared" si="36"/>
        <v>811</v>
      </c>
      <c r="O49" s="182">
        <f t="shared" si="36"/>
        <v>303855</v>
      </c>
      <c r="P49" s="183">
        <f t="shared" si="36"/>
        <v>314037</v>
      </c>
      <c r="Q49" s="183">
        <f t="shared" si="36"/>
        <v>315069</v>
      </c>
      <c r="R49" s="32">
        <f t="shared" si="36"/>
        <v>1032</v>
      </c>
      <c r="S49" s="327">
        <f t="shared" si="36"/>
        <v>485094</v>
      </c>
      <c r="T49" s="277">
        <f t="shared" si="36"/>
        <v>530702</v>
      </c>
      <c r="U49" s="277">
        <f t="shared" si="36"/>
        <v>555109</v>
      </c>
      <c r="V49" s="278">
        <f t="shared" si="36"/>
        <v>24407</v>
      </c>
      <c r="W49" s="182">
        <f t="shared" si="36"/>
        <v>1698533</v>
      </c>
      <c r="X49" s="183">
        <f t="shared" si="36"/>
        <v>1747397</v>
      </c>
      <c r="Y49" s="183">
        <f t="shared" si="36"/>
        <v>1803150</v>
      </c>
      <c r="Z49" s="32">
        <f t="shared" si="36"/>
        <v>55753</v>
      </c>
      <c r="AA49" s="334">
        <f t="shared" si="36"/>
        <v>2183627</v>
      </c>
      <c r="AB49" s="231">
        <f t="shared" si="36"/>
        <v>2278099</v>
      </c>
      <c r="AC49" s="231">
        <f t="shared" si="36"/>
        <v>2358259</v>
      </c>
      <c r="AD49" s="232">
        <f t="shared" si="36"/>
        <v>80160</v>
      </c>
      <c r="AE49" s="170">
        <f t="shared" si="36"/>
        <v>1791887</v>
      </c>
      <c r="AF49" s="99">
        <f t="shared" si="36"/>
        <v>1886119</v>
      </c>
      <c r="AG49" s="99">
        <f t="shared" si="36"/>
        <v>1966103</v>
      </c>
      <c r="AH49" s="303">
        <f t="shared" si="36"/>
        <v>79984</v>
      </c>
      <c r="AI49" s="182">
        <f t="shared" si="36"/>
        <v>1558082</v>
      </c>
      <c r="AJ49" s="183">
        <f t="shared" si="36"/>
        <v>1616785</v>
      </c>
      <c r="AK49" s="183">
        <f t="shared" si="36"/>
        <v>1690035</v>
      </c>
      <c r="AL49" s="98">
        <f t="shared" si="36"/>
        <v>73250</v>
      </c>
      <c r="AM49" s="182">
        <f t="shared" si="36"/>
        <v>142706</v>
      </c>
      <c r="AN49" s="183">
        <f t="shared" si="36"/>
        <v>178235</v>
      </c>
      <c r="AO49" s="183">
        <f t="shared" si="36"/>
        <v>184968</v>
      </c>
      <c r="AP49" s="98">
        <f t="shared" si="36"/>
        <v>6734</v>
      </c>
      <c r="AQ49" s="182">
        <f t="shared" si="36"/>
        <v>91099</v>
      </c>
      <c r="AR49" s="183">
        <f t="shared" si="36"/>
        <v>91099</v>
      </c>
      <c r="AS49" s="183">
        <f t="shared" si="36"/>
        <v>91099</v>
      </c>
      <c r="AT49" s="98">
        <f t="shared" si="36"/>
        <v>0</v>
      </c>
      <c r="AU49" s="35" t="s">
        <v>214</v>
      </c>
      <c r="AV49" s="353">
        <f t="shared" si="22"/>
        <v>79984</v>
      </c>
    </row>
    <row r="50" spans="19:46" s="218" customFormat="1" ht="18" customHeight="1" thickBot="1">
      <c r="S50" s="235"/>
      <c r="T50" s="235"/>
      <c r="U50" s="235"/>
      <c r="V50" s="235"/>
      <c r="AA50" s="237"/>
      <c r="AB50" s="237"/>
      <c r="AC50" s="237"/>
      <c r="AD50" s="237"/>
      <c r="AF50" s="237"/>
      <c r="AG50" s="237"/>
      <c r="AH50" s="237"/>
      <c r="AJ50" s="237"/>
      <c r="AK50" s="237"/>
      <c r="AL50" s="351"/>
      <c r="AM50" s="352"/>
      <c r="AN50" s="351"/>
      <c r="AO50" s="351"/>
      <c r="AP50" s="351"/>
      <c r="AQ50" s="352"/>
      <c r="AR50" s="351"/>
      <c r="AS50" s="351"/>
      <c r="AT50" s="351"/>
    </row>
    <row r="51" spans="2:46" s="107" customFormat="1" ht="18" customHeight="1">
      <c r="B51" s="279" t="s">
        <v>199</v>
      </c>
      <c r="C51" s="280">
        <f>SUM(C52:C53)</f>
        <v>8</v>
      </c>
      <c r="D51" s="212">
        <f>SUM(D52:D53)</f>
        <v>8</v>
      </c>
      <c r="E51" s="212">
        <f>SUM(E52:E53)</f>
        <v>8</v>
      </c>
      <c r="F51" s="239">
        <f>E51-D51</f>
        <v>0</v>
      </c>
      <c r="G51" s="280">
        <f>SUM(G52:G53)</f>
        <v>14</v>
      </c>
      <c r="H51" s="212">
        <f>SUM(H52:H53)</f>
        <v>14</v>
      </c>
      <c r="I51" s="212">
        <f>SUM(I52:I53)</f>
        <v>14</v>
      </c>
      <c r="J51" s="283">
        <f>I51-H51</f>
        <v>0</v>
      </c>
      <c r="K51" s="186">
        <f>SUM(K52:K53)</f>
        <v>12</v>
      </c>
      <c r="L51" s="212">
        <f>SUM(L52:L53)</f>
        <v>12</v>
      </c>
      <c r="M51" s="212">
        <f>SUM(M52:M53)</f>
        <v>12</v>
      </c>
      <c r="N51" s="212">
        <f>M51-L51</f>
        <v>0</v>
      </c>
      <c r="O51" s="280">
        <f>SUM(O52:O53)</f>
        <v>50</v>
      </c>
      <c r="P51" s="212">
        <f>SUM(P52:P53)</f>
        <v>50</v>
      </c>
      <c r="Q51" s="212">
        <f>SUM(Q52:Q53)</f>
        <v>50</v>
      </c>
      <c r="R51" s="212">
        <f>Q51-P51</f>
        <v>0</v>
      </c>
      <c r="S51" s="281">
        <f aca="true" t="shared" si="37" ref="S51:U54">C51+G51+K51+O51</f>
        <v>84</v>
      </c>
      <c r="T51" s="282">
        <f t="shared" si="37"/>
        <v>84</v>
      </c>
      <c r="U51" s="282">
        <f t="shared" si="37"/>
        <v>84</v>
      </c>
      <c r="V51" s="282">
        <f>U51-T51</f>
        <v>0</v>
      </c>
      <c r="W51" s="186">
        <f>SUM(W52:W53)</f>
        <v>3.25</v>
      </c>
      <c r="X51" s="212">
        <f>SUM(X52:X53)</f>
        <v>3.25</v>
      </c>
      <c r="Y51" s="212">
        <f>SUM(Y52:Y53)</f>
        <v>3.25</v>
      </c>
      <c r="Z51" s="239">
        <f>Y51-X51</f>
        <v>0</v>
      </c>
      <c r="AA51" s="280">
        <f aca="true" t="shared" si="38" ref="AA51:AC54">S51+W51</f>
        <v>87.25</v>
      </c>
      <c r="AB51" s="212">
        <f t="shared" si="38"/>
        <v>87.25</v>
      </c>
      <c r="AC51" s="212">
        <f t="shared" si="38"/>
        <v>87.25</v>
      </c>
      <c r="AD51" s="283">
        <f>AC51-AB51</f>
        <v>0</v>
      </c>
      <c r="AE51" s="189"/>
      <c r="AF51" s="238"/>
      <c r="AG51" s="238"/>
      <c r="AH51" s="238"/>
      <c r="AI51" s="189"/>
      <c r="AJ51" s="238"/>
      <c r="AK51" s="238"/>
      <c r="AL51" s="238"/>
      <c r="AN51" s="238"/>
      <c r="AO51" s="238"/>
      <c r="AP51" s="238"/>
      <c r="AR51" s="238"/>
      <c r="AS51" s="238"/>
      <c r="AT51" s="238"/>
    </row>
    <row r="52" spans="2:46" s="112" customFormat="1" ht="18" customHeight="1">
      <c r="B52" s="284" t="s">
        <v>193</v>
      </c>
      <c r="C52" s="285">
        <v>7</v>
      </c>
      <c r="D52" s="188">
        <v>7</v>
      </c>
      <c r="E52" s="188">
        <v>7</v>
      </c>
      <c r="F52" s="191">
        <f>E52-D52</f>
        <v>0</v>
      </c>
      <c r="G52" s="285">
        <v>5</v>
      </c>
      <c r="H52" s="188">
        <v>5</v>
      </c>
      <c r="I52" s="188">
        <v>5</v>
      </c>
      <c r="J52" s="298">
        <f>I52-H52</f>
        <v>0</v>
      </c>
      <c r="K52" s="192">
        <v>10.5</v>
      </c>
      <c r="L52" s="188">
        <v>10.5</v>
      </c>
      <c r="M52" s="188">
        <v>10.5</v>
      </c>
      <c r="N52" s="188">
        <f>M52-L52</f>
        <v>0</v>
      </c>
      <c r="O52" s="188">
        <v>48</v>
      </c>
      <c r="P52" s="188">
        <v>48</v>
      </c>
      <c r="Q52" s="188">
        <v>48</v>
      </c>
      <c r="R52" s="188">
        <f>Q52-P52</f>
        <v>0</v>
      </c>
      <c r="S52" s="286">
        <f t="shared" si="37"/>
        <v>70.5</v>
      </c>
      <c r="T52" s="287">
        <f t="shared" si="37"/>
        <v>70.5</v>
      </c>
      <c r="U52" s="287">
        <f t="shared" si="37"/>
        <v>70.5</v>
      </c>
      <c r="V52" s="287">
        <f>U52-T52</f>
        <v>0</v>
      </c>
      <c r="W52" s="192">
        <v>2</v>
      </c>
      <c r="X52" s="188">
        <v>2</v>
      </c>
      <c r="Y52" s="188">
        <v>2</v>
      </c>
      <c r="Z52" s="191">
        <f>Y52-X52</f>
        <v>0</v>
      </c>
      <c r="AA52" s="288">
        <f t="shared" si="38"/>
        <v>72.5</v>
      </c>
      <c r="AB52" s="289">
        <f t="shared" si="38"/>
        <v>72.5</v>
      </c>
      <c r="AC52" s="289">
        <f t="shared" si="38"/>
        <v>72.5</v>
      </c>
      <c r="AD52" s="290">
        <f>AC52-AB52</f>
        <v>0</v>
      </c>
      <c r="AE52" s="164"/>
      <c r="AF52" s="238"/>
      <c r="AG52" s="238"/>
      <c r="AH52" s="238"/>
      <c r="AI52" s="164"/>
      <c r="AJ52" s="238"/>
      <c r="AK52" s="238"/>
      <c r="AL52" s="238"/>
      <c r="AM52" s="187"/>
      <c r="AN52" s="238"/>
      <c r="AO52" s="238"/>
      <c r="AP52" s="238"/>
      <c r="AR52" s="238"/>
      <c r="AS52" s="238"/>
      <c r="AT52" s="238"/>
    </row>
    <row r="53" spans="2:46" s="112" customFormat="1" ht="18" customHeight="1">
      <c r="B53" s="284" t="s">
        <v>194</v>
      </c>
      <c r="C53" s="285">
        <v>1</v>
      </c>
      <c r="D53" s="188">
        <v>1</v>
      </c>
      <c r="E53" s="188">
        <v>1</v>
      </c>
      <c r="F53" s="191">
        <f>E53-D53</f>
        <v>0</v>
      </c>
      <c r="G53" s="285">
        <v>9</v>
      </c>
      <c r="H53" s="188">
        <v>9</v>
      </c>
      <c r="I53" s="188">
        <v>9</v>
      </c>
      <c r="J53" s="298">
        <f>I53-H53</f>
        <v>0</v>
      </c>
      <c r="K53" s="192">
        <v>1.5</v>
      </c>
      <c r="L53" s="188">
        <v>1.5</v>
      </c>
      <c r="M53" s="188">
        <v>1.5</v>
      </c>
      <c r="N53" s="188">
        <f>M53-L53</f>
        <v>0</v>
      </c>
      <c r="O53" s="188">
        <v>2</v>
      </c>
      <c r="P53" s="188">
        <v>2</v>
      </c>
      <c r="Q53" s="188">
        <v>2</v>
      </c>
      <c r="R53" s="188">
        <f>Q53-P53</f>
        <v>0</v>
      </c>
      <c r="S53" s="286">
        <f t="shared" si="37"/>
        <v>13.5</v>
      </c>
      <c r="T53" s="287">
        <f t="shared" si="37"/>
        <v>13.5</v>
      </c>
      <c r="U53" s="287">
        <f t="shared" si="37"/>
        <v>13.5</v>
      </c>
      <c r="V53" s="287">
        <f>U53-T53</f>
        <v>0</v>
      </c>
      <c r="W53" s="192">
        <v>1.25</v>
      </c>
      <c r="X53" s="188">
        <v>1.25</v>
      </c>
      <c r="Y53" s="188">
        <v>1.25</v>
      </c>
      <c r="Z53" s="191">
        <f>Y53-X53</f>
        <v>0</v>
      </c>
      <c r="AA53" s="288">
        <f t="shared" si="38"/>
        <v>14.75</v>
      </c>
      <c r="AB53" s="289">
        <f t="shared" si="38"/>
        <v>14.75</v>
      </c>
      <c r="AC53" s="289">
        <f t="shared" si="38"/>
        <v>14.75</v>
      </c>
      <c r="AD53" s="290">
        <f>AC53-AB53</f>
        <v>0</v>
      </c>
      <c r="AE53" s="165"/>
      <c r="AF53" s="238"/>
      <c r="AG53" s="238"/>
      <c r="AH53" s="238"/>
      <c r="AI53" s="165"/>
      <c r="AJ53" s="238"/>
      <c r="AK53" s="238"/>
      <c r="AL53" s="238"/>
      <c r="AN53" s="238"/>
      <c r="AO53" s="238"/>
      <c r="AP53" s="238"/>
      <c r="AR53" s="238"/>
      <c r="AS53" s="238"/>
      <c r="AT53" s="238"/>
    </row>
    <row r="54" spans="2:46" s="107" customFormat="1" ht="18" customHeight="1" thickBot="1">
      <c r="B54" s="291" t="s">
        <v>200</v>
      </c>
      <c r="C54" s="292"/>
      <c r="D54" s="193"/>
      <c r="E54" s="193"/>
      <c r="F54" s="194"/>
      <c r="G54" s="292">
        <v>3</v>
      </c>
      <c r="H54" s="193">
        <v>3</v>
      </c>
      <c r="I54" s="193">
        <v>3</v>
      </c>
      <c r="J54" s="295"/>
      <c r="K54" s="195"/>
      <c r="L54" s="193"/>
      <c r="M54" s="193"/>
      <c r="N54" s="193"/>
      <c r="O54" s="193">
        <v>2</v>
      </c>
      <c r="P54" s="193">
        <v>2</v>
      </c>
      <c r="Q54" s="193">
        <v>2</v>
      </c>
      <c r="R54" s="193"/>
      <c r="S54" s="293">
        <f t="shared" si="37"/>
        <v>5</v>
      </c>
      <c r="T54" s="294">
        <f t="shared" si="37"/>
        <v>5</v>
      </c>
      <c r="U54" s="294">
        <f t="shared" si="37"/>
        <v>5</v>
      </c>
      <c r="V54" s="294"/>
      <c r="W54" s="195">
        <v>0</v>
      </c>
      <c r="X54" s="193">
        <v>0</v>
      </c>
      <c r="Y54" s="193">
        <v>0</v>
      </c>
      <c r="Z54" s="194"/>
      <c r="AA54" s="292">
        <f t="shared" si="38"/>
        <v>5</v>
      </c>
      <c r="AB54" s="193">
        <f t="shared" si="38"/>
        <v>5</v>
      </c>
      <c r="AC54" s="193">
        <f t="shared" si="38"/>
        <v>5</v>
      </c>
      <c r="AD54" s="295"/>
      <c r="AE54" s="190"/>
      <c r="AF54" s="238"/>
      <c r="AG54" s="238"/>
      <c r="AH54" s="238"/>
      <c r="AI54" s="190"/>
      <c r="AJ54" s="238"/>
      <c r="AK54" s="238"/>
      <c r="AL54" s="238"/>
      <c r="AN54" s="238"/>
      <c r="AO54" s="238"/>
      <c r="AP54" s="238"/>
      <c r="AR54" s="238"/>
      <c r="AS54" s="238"/>
      <c r="AT54" s="238"/>
    </row>
  </sheetData>
  <sheetProtection/>
  <mergeCells count="30">
    <mergeCell ref="AQ3:AT3"/>
    <mergeCell ref="AA3:AH3"/>
    <mergeCell ref="A1:B1"/>
    <mergeCell ref="A2:B2"/>
    <mergeCell ref="K4:N4"/>
    <mergeCell ref="C3:J3"/>
    <mergeCell ref="O4:R4"/>
    <mergeCell ref="AI3:AP3"/>
    <mergeCell ref="S3:Z3"/>
    <mergeCell ref="K3:R3"/>
    <mergeCell ref="C28:F28"/>
    <mergeCell ref="G28:J28"/>
    <mergeCell ref="G4:J4"/>
    <mergeCell ref="S28:V28"/>
    <mergeCell ref="C4:F4"/>
    <mergeCell ref="AI4:AL4"/>
    <mergeCell ref="AI28:AL28"/>
    <mergeCell ref="W4:Z4"/>
    <mergeCell ref="W28:Z28"/>
    <mergeCell ref="K28:N28"/>
    <mergeCell ref="O28:R28"/>
    <mergeCell ref="S4:V4"/>
    <mergeCell ref="AM28:AP28"/>
    <mergeCell ref="AQ4:AT4"/>
    <mergeCell ref="AQ28:AT28"/>
    <mergeCell ref="AA4:AD4"/>
    <mergeCell ref="AE4:AH4"/>
    <mergeCell ref="AE28:AH28"/>
    <mergeCell ref="AA28:AD28"/>
    <mergeCell ref="AM4:AP4"/>
  </mergeCells>
  <printOptions/>
  <pageMargins left="0.5118110236220472" right="0.3937007874015748" top="0.37" bottom="0.33" header="0.31" footer="0.31"/>
  <pageSetup fitToWidth="6" horizontalDpi="360" verticalDpi="360" orientation="portrait" paperSize="9" scale="70" r:id="rId1"/>
  <colBreaks count="5" manualBreakCount="5">
    <brk id="10" max="53" man="1"/>
    <brk id="18" max="53" man="1"/>
    <brk id="26" max="53" man="1"/>
    <brk id="34" max="53" man="1"/>
    <brk id="4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46.625" style="26" customWidth="1"/>
    <col min="3" max="3" width="10.125" style="2" customWidth="1"/>
    <col min="4" max="4" width="11.125" style="2" customWidth="1"/>
    <col min="5" max="5" width="11.00390625" style="2" customWidth="1"/>
    <col min="6" max="6" width="9.125" style="2" customWidth="1"/>
    <col min="7" max="7" width="1.37890625" style="2" customWidth="1"/>
    <col min="8" max="16384" width="9.125" style="2" customWidth="1"/>
  </cols>
  <sheetData>
    <row r="1" s="10" customFormat="1" ht="15.75">
      <c r="A1" s="104" t="s">
        <v>311</v>
      </c>
    </row>
    <row r="2" spans="1:21" s="10" customFormat="1" ht="15.75">
      <c r="A2" s="104" t="s">
        <v>232</v>
      </c>
      <c r="O2" s="108"/>
      <c r="P2" s="108"/>
      <c r="Q2" s="108"/>
      <c r="U2" s="106"/>
    </row>
    <row r="3" spans="1:6" ht="16.5" customHeight="1">
      <c r="A3" s="391" t="s">
        <v>147</v>
      </c>
      <c r="B3" s="391"/>
      <c r="C3" s="391"/>
      <c r="D3" s="391"/>
      <c r="E3" s="391"/>
      <c r="F3" s="391"/>
    </row>
    <row r="4" spans="1:6" ht="16.5" customHeight="1">
      <c r="A4" s="391" t="s">
        <v>4</v>
      </c>
      <c r="B4" s="391"/>
      <c r="C4" s="391"/>
      <c r="D4" s="1"/>
      <c r="E4" s="1"/>
      <c r="F4" s="1"/>
    </row>
    <row r="5" spans="1:6" ht="25.5" customHeight="1">
      <c r="A5" s="1"/>
      <c r="B5" s="37"/>
      <c r="C5" s="244" t="s">
        <v>231</v>
      </c>
      <c r="D5" s="244" t="s">
        <v>275</v>
      </c>
      <c r="E5" s="244" t="s">
        <v>293</v>
      </c>
      <c r="F5" s="244" t="s">
        <v>212</v>
      </c>
    </row>
    <row r="6" spans="1:6" s="157" customFormat="1" ht="16.5" customHeight="1">
      <c r="A6" s="156" t="s">
        <v>1</v>
      </c>
      <c r="B6" s="156" t="s">
        <v>108</v>
      </c>
      <c r="C6" s="156"/>
      <c r="D6" s="156"/>
      <c r="E6" s="156"/>
      <c r="F6" s="156"/>
    </row>
    <row r="7" spans="1:6" s="115" customFormat="1" ht="16.5" customHeight="1">
      <c r="A7" s="36" t="s">
        <v>5</v>
      </c>
      <c r="B7" s="36" t="s">
        <v>76</v>
      </c>
      <c r="C7" s="121">
        <f>1080+35335</f>
        <v>36415</v>
      </c>
      <c r="D7" s="121">
        <f>1080+35335</f>
        <v>36415</v>
      </c>
      <c r="E7" s="121">
        <v>23184</v>
      </c>
      <c r="F7" s="121">
        <f>E7-D7</f>
        <v>-13231</v>
      </c>
    </row>
    <row r="8" spans="1:6" s="73" customFormat="1" ht="16.5" customHeight="1">
      <c r="A8" s="36" t="s">
        <v>6</v>
      </c>
      <c r="B8" s="36" t="s">
        <v>87</v>
      </c>
      <c r="C8" s="121">
        <v>20000</v>
      </c>
      <c r="D8" s="121">
        <v>20000</v>
      </c>
      <c r="E8" s="121">
        <v>13312</v>
      </c>
      <c r="F8" s="121">
        <f>E8-D8</f>
        <v>-6688</v>
      </c>
    </row>
    <row r="9" spans="1:6" s="73" customFormat="1" ht="16.5" customHeight="1">
      <c r="A9" s="36" t="s">
        <v>7</v>
      </c>
      <c r="B9" s="36" t="s">
        <v>109</v>
      </c>
      <c r="C9" s="121">
        <v>20000</v>
      </c>
      <c r="D9" s="121">
        <v>0</v>
      </c>
      <c r="E9" s="121">
        <v>0</v>
      </c>
      <c r="F9" s="121">
        <f>E9-D9</f>
        <v>0</v>
      </c>
    </row>
    <row r="10" spans="2:6" s="72" customFormat="1" ht="16.5" customHeight="1">
      <c r="B10" s="72" t="s">
        <v>3</v>
      </c>
      <c r="C10" s="114">
        <f>SUM(C7:C9)</f>
        <v>76415</v>
      </c>
      <c r="D10" s="114">
        <f>SUM(D7:D9)</f>
        <v>56415</v>
      </c>
      <c r="E10" s="114">
        <f>SUM(E7:E9)</f>
        <v>36496</v>
      </c>
      <c r="F10" s="114">
        <f>E10-D10</f>
        <v>-19919</v>
      </c>
    </row>
    <row r="11" spans="3:6" s="115" customFormat="1" ht="16.5" customHeight="1">
      <c r="C11" s="150"/>
      <c r="D11" s="150"/>
      <c r="E11" s="150"/>
      <c r="F11" s="161"/>
    </row>
    <row r="12" spans="1:6" s="72" customFormat="1" ht="16.5" customHeight="1">
      <c r="A12" s="72" t="s">
        <v>10</v>
      </c>
      <c r="B12" s="156" t="s">
        <v>110</v>
      </c>
      <c r="C12" s="114"/>
      <c r="D12" s="114"/>
      <c r="E12" s="114"/>
      <c r="F12" s="114"/>
    </row>
    <row r="13" spans="1:6" s="115" customFormat="1" ht="16.5" customHeight="1">
      <c r="A13" s="36" t="s">
        <v>5</v>
      </c>
      <c r="B13" s="36" t="s">
        <v>152</v>
      </c>
      <c r="C13" s="121">
        <v>100000</v>
      </c>
      <c r="D13" s="121">
        <v>100000</v>
      </c>
      <c r="E13" s="121">
        <v>100000</v>
      </c>
      <c r="F13" s="121">
        <f aca="true" t="shared" si="0" ref="F13:F19">E13-D13</f>
        <v>0</v>
      </c>
    </row>
    <row r="14" spans="1:6" s="115" customFormat="1" ht="16.5" customHeight="1">
      <c r="A14" s="36" t="s">
        <v>6</v>
      </c>
      <c r="B14" s="36" t="s">
        <v>234</v>
      </c>
      <c r="C14" s="121"/>
      <c r="D14" s="121">
        <v>120</v>
      </c>
      <c r="E14" s="121">
        <v>120</v>
      </c>
      <c r="F14" s="121">
        <f t="shared" si="0"/>
        <v>0</v>
      </c>
    </row>
    <row r="15" spans="1:6" s="115" customFormat="1" ht="16.5" customHeight="1">
      <c r="A15" s="36" t="s">
        <v>7</v>
      </c>
      <c r="B15" s="36" t="s">
        <v>244</v>
      </c>
      <c r="C15" s="121"/>
      <c r="D15" s="121">
        <v>2370</v>
      </c>
      <c r="E15" s="121">
        <v>11019</v>
      </c>
      <c r="F15" s="121">
        <f t="shared" si="0"/>
        <v>8649</v>
      </c>
    </row>
    <row r="16" spans="1:6" s="115" customFormat="1" ht="26.25" customHeight="1">
      <c r="A16" s="36" t="s">
        <v>8</v>
      </c>
      <c r="B16" s="120" t="s">
        <v>286</v>
      </c>
      <c r="C16" s="121"/>
      <c r="D16" s="121">
        <v>3738</v>
      </c>
      <c r="E16" s="121">
        <v>3738</v>
      </c>
      <c r="F16" s="121">
        <f t="shared" si="0"/>
        <v>0</v>
      </c>
    </row>
    <row r="17" spans="1:6" s="115" customFormat="1" ht="18" customHeight="1">
      <c r="A17" s="36" t="s">
        <v>9</v>
      </c>
      <c r="B17" s="120" t="s">
        <v>300</v>
      </c>
      <c r="C17" s="121"/>
      <c r="D17" s="121">
        <v>0</v>
      </c>
      <c r="E17" s="121">
        <v>382</v>
      </c>
      <c r="F17" s="121">
        <f t="shared" si="0"/>
        <v>382</v>
      </c>
    </row>
    <row r="18" spans="1:6" s="115" customFormat="1" ht="18" customHeight="1">
      <c r="A18" s="36" t="s">
        <v>20</v>
      </c>
      <c r="B18" s="120" t="s">
        <v>294</v>
      </c>
      <c r="C18" s="121"/>
      <c r="D18" s="121">
        <v>0</v>
      </c>
      <c r="E18" s="121">
        <v>20275</v>
      </c>
      <c r="F18" s="121">
        <f t="shared" si="0"/>
        <v>20275</v>
      </c>
    </row>
    <row r="19" spans="2:6" s="72" customFormat="1" ht="16.5" customHeight="1">
      <c r="B19" s="72" t="s">
        <v>3</v>
      </c>
      <c r="C19" s="114">
        <f>SUM(C13:C18)</f>
        <v>100000</v>
      </c>
      <c r="D19" s="114">
        <f>SUM(D13:D18)</f>
        <v>106228</v>
      </c>
      <c r="E19" s="114">
        <f>SUM(E13:E18)</f>
        <v>135534</v>
      </c>
      <c r="F19" s="114">
        <f t="shared" si="0"/>
        <v>29306</v>
      </c>
    </row>
    <row r="20" spans="2:6" s="115" customFormat="1" ht="9.75" customHeight="1">
      <c r="B20" s="157"/>
      <c r="C20" s="150"/>
      <c r="D20" s="150"/>
      <c r="E20" s="150"/>
      <c r="F20" s="150"/>
    </row>
    <row r="21" spans="1:6" s="72" customFormat="1" ht="16.5" customHeight="1">
      <c r="A21" s="72" t="s">
        <v>11</v>
      </c>
      <c r="B21" s="156" t="s">
        <v>74</v>
      </c>
      <c r="C21" s="114"/>
      <c r="D21" s="114"/>
      <c r="E21" s="114"/>
      <c r="F21" s="114"/>
    </row>
    <row r="22" spans="1:6" s="72" customFormat="1" ht="16.5" customHeight="1">
      <c r="A22" s="73" t="s">
        <v>5</v>
      </c>
      <c r="B22" s="138" t="s">
        <v>112</v>
      </c>
      <c r="C22" s="114"/>
      <c r="D22" s="114"/>
      <c r="E22" s="114"/>
      <c r="F22" s="114"/>
    </row>
    <row r="23" spans="1:6" s="115" customFormat="1" ht="16.5" customHeight="1">
      <c r="A23" s="36" t="s">
        <v>5</v>
      </c>
      <c r="B23" s="36" t="s">
        <v>75</v>
      </c>
      <c r="C23" s="121">
        <v>8133</v>
      </c>
      <c r="D23" s="121">
        <v>8133</v>
      </c>
      <c r="E23" s="121">
        <v>10046</v>
      </c>
      <c r="F23" s="121">
        <f aca="true" t="shared" si="1" ref="F23:F28">E23-D23</f>
        <v>1913</v>
      </c>
    </row>
    <row r="24" spans="1:6" s="115" customFormat="1" ht="16.5" customHeight="1">
      <c r="A24" s="36" t="s">
        <v>6</v>
      </c>
      <c r="B24" s="36" t="s">
        <v>287</v>
      </c>
      <c r="C24" s="121"/>
      <c r="D24" s="121">
        <v>636</v>
      </c>
      <c r="E24" s="121">
        <v>636</v>
      </c>
      <c r="F24" s="121">
        <f t="shared" si="1"/>
        <v>0</v>
      </c>
    </row>
    <row r="25" spans="1:6" s="145" customFormat="1" ht="16.5" customHeight="1">
      <c r="A25" s="132" t="s">
        <v>7</v>
      </c>
      <c r="B25" s="132" t="s">
        <v>12</v>
      </c>
      <c r="C25" s="155">
        <f>343+125</f>
        <v>468</v>
      </c>
      <c r="D25" s="155">
        <f>343+125</f>
        <v>468</v>
      </c>
      <c r="E25" s="155">
        <v>349</v>
      </c>
      <c r="F25" s="155">
        <f t="shared" si="1"/>
        <v>-119</v>
      </c>
    </row>
    <row r="26" spans="1:6" s="115" customFormat="1" ht="16.5" customHeight="1">
      <c r="A26" s="132" t="s">
        <v>8</v>
      </c>
      <c r="B26" s="132" t="s">
        <v>13</v>
      </c>
      <c r="C26" s="155">
        <v>4469</v>
      </c>
      <c r="D26" s="155">
        <v>4469</v>
      </c>
      <c r="E26" s="155">
        <v>4469</v>
      </c>
      <c r="F26" s="155">
        <f t="shared" si="1"/>
        <v>0</v>
      </c>
    </row>
    <row r="27" spans="1:6" s="115" customFormat="1" ht="16.5" customHeight="1">
      <c r="A27" s="132" t="s">
        <v>9</v>
      </c>
      <c r="B27" s="132" t="s">
        <v>14</v>
      </c>
      <c r="C27" s="155">
        <v>1460</v>
      </c>
      <c r="D27" s="155">
        <v>1460</v>
      </c>
      <c r="E27" s="155">
        <v>1460</v>
      </c>
      <c r="F27" s="155">
        <f t="shared" si="1"/>
        <v>0</v>
      </c>
    </row>
    <row r="28" spans="2:6" s="72" customFormat="1" ht="16.5" customHeight="1">
      <c r="B28" s="138" t="s">
        <v>3</v>
      </c>
      <c r="C28" s="131">
        <f>SUM(C23:C27)</f>
        <v>14530</v>
      </c>
      <c r="D28" s="131">
        <f>SUM(D23:D27)</f>
        <v>15166</v>
      </c>
      <c r="E28" s="131">
        <f>SUM(E23:E27)</f>
        <v>16960</v>
      </c>
      <c r="F28" s="131">
        <f t="shared" si="1"/>
        <v>1794</v>
      </c>
    </row>
    <row r="29" spans="1:6" s="72" customFormat="1" ht="16.5" customHeight="1">
      <c r="A29" s="73" t="s">
        <v>6</v>
      </c>
      <c r="B29" s="138" t="s">
        <v>111</v>
      </c>
      <c r="C29" s="114"/>
      <c r="D29" s="114"/>
      <c r="E29" s="114"/>
      <c r="F29" s="114"/>
    </row>
    <row r="30" spans="1:6" s="115" customFormat="1" ht="16.5" customHeight="1">
      <c r="A30" s="36" t="s">
        <v>5</v>
      </c>
      <c r="B30" s="36" t="s">
        <v>150</v>
      </c>
      <c r="C30" s="121">
        <v>2993</v>
      </c>
      <c r="D30" s="121">
        <f>2993-2370</f>
        <v>623</v>
      </c>
      <c r="E30" s="121">
        <v>0</v>
      </c>
      <c r="F30" s="121">
        <f>E30-D30</f>
        <v>-623</v>
      </c>
    </row>
    <row r="31" spans="1:6" s="115" customFormat="1" ht="16.5" customHeight="1">
      <c r="A31" s="36" t="s">
        <v>6</v>
      </c>
      <c r="B31" s="36" t="s">
        <v>151</v>
      </c>
      <c r="C31" s="121">
        <v>9441</v>
      </c>
      <c r="D31" s="121">
        <v>9441</v>
      </c>
      <c r="E31" s="121">
        <v>0</v>
      </c>
      <c r="F31" s="121">
        <f>E31-D31</f>
        <v>-9441</v>
      </c>
    </row>
    <row r="32" spans="1:6" s="115" customFormat="1" ht="16.5" customHeight="1">
      <c r="A32" s="36" t="s">
        <v>7</v>
      </c>
      <c r="B32" s="36" t="s">
        <v>288</v>
      </c>
      <c r="C32" s="121"/>
      <c r="D32" s="121">
        <v>1020</v>
      </c>
      <c r="E32" s="121">
        <v>1020</v>
      </c>
      <c r="F32" s="121">
        <f>E32-D32</f>
        <v>0</v>
      </c>
    </row>
    <row r="33" spans="2:6" s="72" customFormat="1" ht="16.5" customHeight="1">
      <c r="B33" s="73" t="s">
        <v>3</v>
      </c>
      <c r="C33" s="131">
        <f>SUM(C30:C32)</f>
        <v>12434</v>
      </c>
      <c r="D33" s="131">
        <f>SUM(D30:D32)</f>
        <v>11084</v>
      </c>
      <c r="E33" s="131">
        <f>SUM(E30:E32)</f>
        <v>1020</v>
      </c>
      <c r="F33" s="131">
        <f>SUM(F30:F32)</f>
        <v>-10064</v>
      </c>
    </row>
    <row r="34" spans="2:6" s="72" customFormat="1" ht="16.5" customHeight="1">
      <c r="B34" s="72" t="s">
        <v>3</v>
      </c>
      <c r="C34" s="114">
        <f>C28+C33</f>
        <v>26964</v>
      </c>
      <c r="D34" s="114">
        <f>D28+D33</f>
        <v>26250</v>
      </c>
      <c r="E34" s="114">
        <f>E28+E33</f>
        <v>17980</v>
      </c>
      <c r="F34" s="114">
        <f>E34-D34</f>
        <v>-8270</v>
      </c>
    </row>
    <row r="35" spans="2:6" s="72" customFormat="1" ht="16.5" customHeight="1">
      <c r="B35" s="156"/>
      <c r="C35" s="114"/>
      <c r="D35" s="114"/>
      <c r="E35" s="114"/>
      <c r="F35" s="114"/>
    </row>
    <row r="36" spans="2:6" s="72" customFormat="1" ht="28.5" customHeight="1">
      <c r="B36" s="113" t="s">
        <v>113</v>
      </c>
      <c r="C36" s="114">
        <f>C10+C19+C34</f>
        <v>203379</v>
      </c>
      <c r="D36" s="114">
        <f>D10+D19+D34</f>
        <v>188893</v>
      </c>
      <c r="E36" s="114">
        <f>E10+E19+E34</f>
        <v>190010</v>
      </c>
      <c r="F36" s="114">
        <f>E36-D36</f>
        <v>1117</v>
      </c>
    </row>
    <row r="37" spans="3:6" s="72" customFormat="1" ht="9.75" customHeight="1">
      <c r="C37" s="114"/>
      <c r="D37" s="114"/>
      <c r="E37" s="114"/>
      <c r="F37" s="159"/>
    </row>
    <row r="38" spans="1:6" s="72" customFormat="1" ht="16.5" customHeight="1">
      <c r="A38" s="72" t="s">
        <v>15</v>
      </c>
      <c r="B38" s="156" t="s">
        <v>114</v>
      </c>
      <c r="C38" s="114"/>
      <c r="D38" s="114"/>
      <c r="E38" s="114"/>
      <c r="F38" s="114"/>
    </row>
    <row r="39" spans="1:6" s="145" customFormat="1" ht="16.5" customHeight="1">
      <c r="A39" s="36" t="s">
        <v>5</v>
      </c>
      <c r="B39" s="36" t="s">
        <v>149</v>
      </c>
      <c r="C39" s="121">
        <v>30000</v>
      </c>
      <c r="D39" s="121">
        <v>30000</v>
      </c>
      <c r="E39" s="121">
        <v>30000</v>
      </c>
      <c r="F39" s="162">
        <f>E39-D39</f>
        <v>0</v>
      </c>
    </row>
    <row r="40" spans="1:6" s="145" customFormat="1" ht="16.5" customHeight="1">
      <c r="A40" s="36" t="s">
        <v>6</v>
      </c>
      <c r="B40" s="36" t="s">
        <v>158</v>
      </c>
      <c r="C40" s="121">
        <v>150</v>
      </c>
      <c r="D40" s="121">
        <v>150</v>
      </c>
      <c r="E40" s="121">
        <v>150</v>
      </c>
      <c r="F40" s="162">
        <f>E40-D40</f>
        <v>0</v>
      </c>
    </row>
    <row r="41" spans="2:6" s="72" customFormat="1" ht="16.5" customHeight="1">
      <c r="B41" s="138" t="s">
        <v>3</v>
      </c>
      <c r="C41" s="131">
        <f>SUM(C39:C40)</f>
        <v>30150</v>
      </c>
      <c r="D41" s="131">
        <f>SUM(D39:D40)</f>
        <v>30150</v>
      </c>
      <c r="E41" s="131">
        <f>SUM(E39:E40)</f>
        <v>30150</v>
      </c>
      <c r="F41" s="131">
        <f>E41-D41</f>
        <v>0</v>
      </c>
    </row>
    <row r="42" spans="3:6" s="115" customFormat="1" ht="7.5" customHeight="1">
      <c r="C42" s="161"/>
      <c r="D42" s="161"/>
      <c r="E42" s="161"/>
      <c r="F42" s="161"/>
    </row>
    <row r="43" spans="2:6" s="72" customFormat="1" ht="16.5" customHeight="1">
      <c r="B43" s="156" t="s">
        <v>115</v>
      </c>
      <c r="C43" s="114">
        <f>C41</f>
        <v>30150</v>
      </c>
      <c r="D43" s="114">
        <f>D41</f>
        <v>30150</v>
      </c>
      <c r="E43" s="114">
        <f>E41</f>
        <v>30150</v>
      </c>
      <c r="F43" s="114">
        <f>E43-D43</f>
        <v>0</v>
      </c>
    </row>
    <row r="44" spans="2:6" s="72" customFormat="1" ht="12.75">
      <c r="B44" s="156"/>
      <c r="C44" s="114"/>
      <c r="D44" s="114"/>
      <c r="E44" s="114"/>
      <c r="F44" s="114"/>
    </row>
    <row r="45" spans="2:6" s="115" customFormat="1" ht="16.5" customHeight="1">
      <c r="B45" s="72" t="s">
        <v>16</v>
      </c>
      <c r="C45" s="159">
        <f>C36+C43</f>
        <v>233529</v>
      </c>
      <c r="D45" s="159">
        <f>D36+D43</f>
        <v>219043</v>
      </c>
      <c r="E45" s="159">
        <f>E36+E43</f>
        <v>220160</v>
      </c>
      <c r="F45" s="159">
        <f>E45-D45</f>
        <v>1117</v>
      </c>
    </row>
    <row r="46" spans="2:6" s="115" customFormat="1" ht="13.5" customHeight="1">
      <c r="B46" s="72" t="s">
        <v>60</v>
      </c>
      <c r="C46" s="161"/>
      <c r="D46" s="161"/>
      <c r="E46" s="161"/>
      <c r="F46" s="161"/>
    </row>
    <row r="47" spans="2:6" s="115" customFormat="1" ht="16.5" customHeight="1">
      <c r="B47" s="146" t="s">
        <v>61</v>
      </c>
      <c r="C47" s="162">
        <f>C45-C48</f>
        <v>227132</v>
      </c>
      <c r="D47" s="162">
        <f>D45-D48</f>
        <v>212646</v>
      </c>
      <c r="E47" s="162">
        <f>E45-E48</f>
        <v>213882</v>
      </c>
      <c r="F47" s="162">
        <f>E47-D47</f>
        <v>1236</v>
      </c>
    </row>
    <row r="48" spans="2:7" s="115" customFormat="1" ht="16.5" customHeight="1">
      <c r="B48" s="148" t="s">
        <v>59</v>
      </c>
      <c r="C48" s="163">
        <f>C27+C26+C25</f>
        <v>6397</v>
      </c>
      <c r="D48" s="163">
        <f>D27+D26+D25</f>
        <v>6397</v>
      </c>
      <c r="E48" s="163">
        <f>E27+E26+E25</f>
        <v>6278</v>
      </c>
      <c r="F48" s="163">
        <f>E48-D48</f>
        <v>-119</v>
      </c>
      <c r="G48" s="115" t="s">
        <v>214</v>
      </c>
    </row>
    <row r="49" spans="3:6" s="115" customFormat="1" ht="12.75">
      <c r="C49" s="161"/>
      <c r="D49" s="160"/>
      <c r="E49" s="160"/>
      <c r="F49" s="161"/>
    </row>
    <row r="50" spans="3:6" s="115" customFormat="1" ht="12.75">
      <c r="C50" s="161"/>
      <c r="D50" s="160"/>
      <c r="E50" s="160"/>
      <c r="F50" s="161"/>
    </row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</sheetData>
  <sheetProtection/>
  <mergeCells count="2">
    <mergeCell ref="A4:C4"/>
    <mergeCell ref="A3:F3"/>
  </mergeCells>
  <printOptions/>
  <pageMargins left="0.67" right="0.15748031496062992" top="0.9055118110236221" bottom="0.6692913385826772" header="0.5118110236220472" footer="0.5118110236220472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57.375" style="12" customWidth="1"/>
    <col min="3" max="3" width="12.00390625" style="3" customWidth="1"/>
    <col min="4" max="4" width="10.625" style="2" customWidth="1"/>
    <col min="5" max="5" width="10.75390625" style="2" customWidth="1"/>
    <col min="6" max="6" width="9.125" style="2" customWidth="1"/>
    <col min="7" max="7" width="1.875" style="2" customWidth="1"/>
    <col min="8" max="16384" width="9.125" style="2" customWidth="1"/>
  </cols>
  <sheetData>
    <row r="1" spans="1:3" ht="13.5" customHeight="1">
      <c r="A1" s="104" t="s">
        <v>312</v>
      </c>
      <c r="B1" s="103"/>
      <c r="C1" s="103"/>
    </row>
    <row r="2" spans="1:3" ht="13.5">
      <c r="A2" s="104" t="s">
        <v>233</v>
      </c>
      <c r="B2" s="207"/>
      <c r="C2" s="207"/>
    </row>
    <row r="3" spans="1:3" ht="13.5">
      <c r="A3" s="104"/>
      <c r="B3" s="207"/>
      <c r="C3" s="207"/>
    </row>
    <row r="4" spans="1:6" ht="15" customHeight="1">
      <c r="A4" s="391" t="s">
        <v>148</v>
      </c>
      <c r="B4" s="391"/>
      <c r="C4" s="391"/>
      <c r="D4" s="391"/>
      <c r="E4" s="391"/>
      <c r="F4" s="391"/>
    </row>
    <row r="5" spans="1:6" ht="39.75" customHeight="1">
      <c r="A5" s="1"/>
      <c r="B5" s="1"/>
      <c r="C5" s="244" t="s">
        <v>231</v>
      </c>
      <c r="D5" s="244" t="s">
        <v>275</v>
      </c>
      <c r="E5" s="244" t="s">
        <v>293</v>
      </c>
      <c r="F5" s="244" t="s">
        <v>212</v>
      </c>
    </row>
    <row r="6" spans="1:3" s="115" customFormat="1" ht="18" customHeight="1">
      <c r="A6" s="72" t="s">
        <v>1</v>
      </c>
      <c r="B6" s="113" t="s">
        <v>95</v>
      </c>
      <c r="C6" s="114"/>
    </row>
    <row r="7" spans="1:6" s="119" customFormat="1" ht="16.5" customHeight="1">
      <c r="A7" s="109" t="s">
        <v>5</v>
      </c>
      <c r="B7" s="116" t="s">
        <v>24</v>
      </c>
      <c r="C7" s="117">
        <v>5000</v>
      </c>
      <c r="D7" s="117">
        <v>3000</v>
      </c>
      <c r="E7" s="117">
        <f>3000-815</f>
        <v>2185</v>
      </c>
      <c r="F7" s="117">
        <f aca="true" t="shared" si="0" ref="F7:F43">E7-D7</f>
        <v>-815</v>
      </c>
    </row>
    <row r="8" spans="1:6" s="119" customFormat="1" ht="16.5" customHeight="1">
      <c r="A8" s="109" t="s">
        <v>6</v>
      </c>
      <c r="B8" s="116" t="s">
        <v>22</v>
      </c>
      <c r="C8" s="117">
        <v>10000</v>
      </c>
      <c r="D8" s="117">
        <v>7000</v>
      </c>
      <c r="E8" s="117">
        <v>7000</v>
      </c>
      <c r="F8" s="117">
        <f t="shared" si="0"/>
        <v>0</v>
      </c>
    </row>
    <row r="9" spans="1:6" s="119" customFormat="1" ht="16.5" customHeight="1">
      <c r="A9" s="109" t="s">
        <v>7</v>
      </c>
      <c r="B9" s="116" t="s">
        <v>204</v>
      </c>
      <c r="C9" s="117">
        <v>28000</v>
      </c>
      <c r="D9" s="117">
        <v>20725</v>
      </c>
      <c r="E9" s="117">
        <f>28000-7275</f>
        <v>20725</v>
      </c>
      <c r="F9" s="117">
        <f t="shared" si="0"/>
        <v>0</v>
      </c>
    </row>
    <row r="10" spans="1:6" s="118" customFormat="1" ht="16.5" customHeight="1">
      <c r="A10" s="109" t="s">
        <v>8</v>
      </c>
      <c r="B10" s="120" t="s">
        <v>83</v>
      </c>
      <c r="C10" s="121">
        <v>5000</v>
      </c>
      <c r="D10" s="121">
        <v>0</v>
      </c>
      <c r="E10" s="121">
        <v>0</v>
      </c>
      <c r="F10" s="121">
        <f t="shared" si="0"/>
        <v>0</v>
      </c>
    </row>
    <row r="11" spans="1:6" s="118" customFormat="1" ht="16.5" customHeight="1">
      <c r="A11" s="109" t="s">
        <v>9</v>
      </c>
      <c r="B11" s="120" t="s">
        <v>84</v>
      </c>
      <c r="C11" s="121">
        <v>5000</v>
      </c>
      <c r="D11" s="121">
        <v>0</v>
      </c>
      <c r="E11" s="121">
        <v>0</v>
      </c>
      <c r="F11" s="121">
        <f t="shared" si="0"/>
        <v>0</v>
      </c>
    </row>
    <row r="12" spans="1:6" s="118" customFormat="1" ht="16.5" customHeight="1">
      <c r="A12" s="109" t="s">
        <v>20</v>
      </c>
      <c r="B12" s="120" t="s">
        <v>166</v>
      </c>
      <c r="C12" s="121">
        <v>3500</v>
      </c>
      <c r="D12" s="121">
        <v>3350</v>
      </c>
      <c r="E12" s="121">
        <f>3500-150</f>
        <v>3350</v>
      </c>
      <c r="F12" s="121">
        <f t="shared" si="0"/>
        <v>0</v>
      </c>
    </row>
    <row r="13" spans="1:6" s="118" customFormat="1" ht="16.5" customHeight="1">
      <c r="A13" s="109" t="s">
        <v>21</v>
      </c>
      <c r="B13" s="120" t="s">
        <v>167</v>
      </c>
      <c r="C13" s="121">
        <v>500</v>
      </c>
      <c r="D13" s="121">
        <v>500</v>
      </c>
      <c r="E13" s="121">
        <v>500</v>
      </c>
      <c r="F13" s="121">
        <f t="shared" si="0"/>
        <v>0</v>
      </c>
    </row>
    <row r="14" spans="1:6" s="118" customFormat="1" ht="16.5" customHeight="1">
      <c r="A14" s="109" t="s">
        <v>23</v>
      </c>
      <c r="B14" s="120" t="s">
        <v>168</v>
      </c>
      <c r="C14" s="121">
        <v>1000</v>
      </c>
      <c r="D14" s="121">
        <v>1000</v>
      </c>
      <c r="E14" s="121">
        <v>1000</v>
      </c>
      <c r="F14" s="121">
        <f t="shared" si="0"/>
        <v>0</v>
      </c>
    </row>
    <row r="15" spans="1:6" s="118" customFormat="1" ht="16.5" customHeight="1">
      <c r="A15" s="109" t="s">
        <v>53</v>
      </c>
      <c r="B15" s="120" t="s">
        <v>169</v>
      </c>
      <c r="C15" s="121">
        <v>4000</v>
      </c>
      <c r="D15" s="121">
        <v>4000</v>
      </c>
      <c r="E15" s="121">
        <v>4000</v>
      </c>
      <c r="F15" s="121">
        <f t="shared" si="0"/>
        <v>0</v>
      </c>
    </row>
    <row r="16" spans="1:6" s="118" customFormat="1" ht="16.5" customHeight="1">
      <c r="A16" s="109" t="s">
        <v>54</v>
      </c>
      <c r="B16" s="120" t="s">
        <v>82</v>
      </c>
      <c r="C16" s="121">
        <v>6500</v>
      </c>
      <c r="D16" s="121">
        <v>0</v>
      </c>
      <c r="E16" s="121">
        <v>0</v>
      </c>
      <c r="F16" s="121">
        <f t="shared" si="0"/>
        <v>0</v>
      </c>
    </row>
    <row r="17" spans="1:6" s="118" customFormat="1" ht="16.5" customHeight="1">
      <c r="A17" s="109" t="s">
        <v>25</v>
      </c>
      <c r="B17" s="122" t="s">
        <v>238</v>
      </c>
      <c r="C17" s="123"/>
      <c r="D17" s="123">
        <v>248</v>
      </c>
      <c r="E17" s="123">
        <v>248</v>
      </c>
      <c r="F17" s="123">
        <f t="shared" si="0"/>
        <v>0</v>
      </c>
    </row>
    <row r="18" spans="1:6" s="118" customFormat="1" ht="16.5" customHeight="1">
      <c r="A18" s="109" t="s">
        <v>26</v>
      </c>
      <c r="B18" s="122" t="s">
        <v>237</v>
      </c>
      <c r="C18" s="123"/>
      <c r="D18" s="123">
        <v>762</v>
      </c>
      <c r="E18" s="123">
        <v>762</v>
      </c>
      <c r="F18" s="123">
        <f t="shared" si="0"/>
        <v>0</v>
      </c>
    </row>
    <row r="19" spans="1:6" s="118" customFormat="1" ht="25.5">
      <c r="A19" s="109" t="s">
        <v>196</v>
      </c>
      <c r="B19" s="122" t="s">
        <v>271</v>
      </c>
      <c r="C19" s="123"/>
      <c r="D19" s="123">
        <f>2921+5000</f>
        <v>7921</v>
      </c>
      <c r="E19" s="123">
        <f>2921+5000</f>
        <v>7921</v>
      </c>
      <c r="F19" s="123">
        <f t="shared" si="0"/>
        <v>0</v>
      </c>
    </row>
    <row r="20" spans="1:6" s="128" customFormat="1" ht="16.5" customHeight="1">
      <c r="A20" s="109" t="s">
        <v>46</v>
      </c>
      <c r="B20" s="122" t="s">
        <v>267</v>
      </c>
      <c r="C20" s="123"/>
      <c r="D20" s="123">
        <v>659</v>
      </c>
      <c r="E20" s="123">
        <v>659</v>
      </c>
      <c r="F20" s="123">
        <f t="shared" si="0"/>
        <v>0</v>
      </c>
    </row>
    <row r="21" spans="1:6" s="128" customFormat="1" ht="16.5" customHeight="1">
      <c r="A21" s="109" t="s">
        <v>235</v>
      </c>
      <c r="B21" s="122" t="s">
        <v>243</v>
      </c>
      <c r="C21" s="123"/>
      <c r="D21" s="123">
        <v>600</v>
      </c>
      <c r="E21" s="123">
        <v>600</v>
      </c>
      <c r="F21" s="123">
        <f t="shared" si="0"/>
        <v>0</v>
      </c>
    </row>
    <row r="22" spans="1:6" s="118" customFormat="1" ht="16.5" customHeight="1">
      <c r="A22" s="109" t="s">
        <v>236</v>
      </c>
      <c r="B22" s="122" t="s">
        <v>242</v>
      </c>
      <c r="C22" s="123"/>
      <c r="D22" s="123">
        <v>0</v>
      </c>
      <c r="E22" s="123">
        <v>0</v>
      </c>
      <c r="F22" s="123">
        <f t="shared" si="0"/>
        <v>0</v>
      </c>
    </row>
    <row r="23" spans="1:6" s="118" customFormat="1" ht="16.5" customHeight="1">
      <c r="A23" s="109" t="s">
        <v>240</v>
      </c>
      <c r="B23" s="129" t="s">
        <v>296</v>
      </c>
      <c r="C23" s="130"/>
      <c r="D23" s="130">
        <v>0</v>
      </c>
      <c r="E23" s="130">
        <v>920</v>
      </c>
      <c r="F23" s="130">
        <f t="shared" si="0"/>
        <v>920</v>
      </c>
    </row>
    <row r="24" spans="1:6" s="118" customFormat="1" ht="33" customHeight="1">
      <c r="A24" s="109" t="s">
        <v>241</v>
      </c>
      <c r="B24" s="245" t="s">
        <v>277</v>
      </c>
      <c r="C24" s="246">
        <v>1000</v>
      </c>
      <c r="D24" s="246">
        <v>1118</v>
      </c>
      <c r="E24" s="246">
        <f>1000+118+382</f>
        <v>1500</v>
      </c>
      <c r="F24" s="246">
        <f t="shared" si="0"/>
        <v>382</v>
      </c>
    </row>
    <row r="25" spans="1:6" s="118" customFormat="1" ht="16.5" customHeight="1">
      <c r="A25" s="109" t="s">
        <v>248</v>
      </c>
      <c r="B25" s="122" t="s">
        <v>161</v>
      </c>
      <c r="C25" s="123">
        <v>500</v>
      </c>
      <c r="D25" s="123">
        <v>0</v>
      </c>
      <c r="E25" s="123">
        <v>0</v>
      </c>
      <c r="F25" s="123">
        <f t="shared" si="0"/>
        <v>0</v>
      </c>
    </row>
    <row r="26" spans="1:6" s="118" customFormat="1" ht="16.5" customHeight="1">
      <c r="A26" s="109" t="s">
        <v>249</v>
      </c>
      <c r="B26" s="129" t="s">
        <v>278</v>
      </c>
      <c r="C26" s="130"/>
      <c r="D26" s="130">
        <v>382</v>
      </c>
      <c r="E26" s="130">
        <f>500-118</f>
        <v>382</v>
      </c>
      <c r="F26" s="130">
        <f t="shared" si="0"/>
        <v>0</v>
      </c>
    </row>
    <row r="27" spans="1:6" s="118" customFormat="1" ht="25.5" customHeight="1">
      <c r="A27" s="109" t="s">
        <v>250</v>
      </c>
      <c r="B27" s="245" t="s">
        <v>247</v>
      </c>
      <c r="C27" s="246"/>
      <c r="D27" s="246">
        <v>605</v>
      </c>
      <c r="E27" s="246">
        <v>605</v>
      </c>
      <c r="F27" s="246">
        <f t="shared" si="0"/>
        <v>0</v>
      </c>
    </row>
    <row r="28" spans="1:6" s="118" customFormat="1" ht="25.5" customHeight="1">
      <c r="A28" s="109" t="s">
        <v>251</v>
      </c>
      <c r="B28" s="122" t="s">
        <v>302</v>
      </c>
      <c r="C28" s="123"/>
      <c r="D28" s="123">
        <v>50</v>
      </c>
      <c r="E28" s="123">
        <v>90</v>
      </c>
      <c r="F28" s="123">
        <f t="shared" si="0"/>
        <v>40</v>
      </c>
    </row>
    <row r="29" spans="1:6" s="118" customFormat="1" ht="25.5" customHeight="1">
      <c r="A29" s="109" t="s">
        <v>255</v>
      </c>
      <c r="B29" s="122" t="s">
        <v>252</v>
      </c>
      <c r="C29" s="123"/>
      <c r="D29" s="123">
        <v>536</v>
      </c>
      <c r="E29" s="123">
        <v>557</v>
      </c>
      <c r="F29" s="123">
        <f t="shared" si="0"/>
        <v>21</v>
      </c>
    </row>
    <row r="30" spans="1:6" s="118" customFormat="1" ht="25.5" customHeight="1">
      <c r="A30" s="109" t="s">
        <v>256</v>
      </c>
      <c r="B30" s="122" t="s">
        <v>303</v>
      </c>
      <c r="C30" s="123"/>
      <c r="D30" s="123"/>
      <c r="E30" s="123">
        <v>344</v>
      </c>
      <c r="F30" s="123">
        <f t="shared" si="0"/>
        <v>344</v>
      </c>
    </row>
    <row r="31" spans="1:6" s="118" customFormat="1" ht="25.5" customHeight="1">
      <c r="A31" s="109" t="s">
        <v>257</v>
      </c>
      <c r="B31" s="129" t="s">
        <v>279</v>
      </c>
      <c r="C31" s="130"/>
      <c r="D31" s="130">
        <v>597</v>
      </c>
      <c r="E31" s="130">
        <v>597</v>
      </c>
      <c r="F31" s="123">
        <f t="shared" si="0"/>
        <v>0</v>
      </c>
    </row>
    <row r="32" spans="1:6" s="118" customFormat="1" ht="25.5" customHeight="1">
      <c r="A32" s="109" t="s">
        <v>258</v>
      </c>
      <c r="B32" s="245" t="s">
        <v>253</v>
      </c>
      <c r="C32" s="246"/>
      <c r="D32" s="246">
        <v>1000</v>
      </c>
      <c r="E32" s="246">
        <v>1000</v>
      </c>
      <c r="F32" s="246">
        <f t="shared" si="0"/>
        <v>0</v>
      </c>
    </row>
    <row r="33" spans="1:6" s="118" customFormat="1" ht="42.75" customHeight="1">
      <c r="A33" s="109" t="s">
        <v>301</v>
      </c>
      <c r="B33" s="122" t="s">
        <v>284</v>
      </c>
      <c r="C33" s="123"/>
      <c r="D33" s="123">
        <v>2952</v>
      </c>
      <c r="E33" s="123">
        <v>2952</v>
      </c>
      <c r="F33" s="123">
        <f t="shared" si="0"/>
        <v>0</v>
      </c>
    </row>
    <row r="34" spans="1:6" s="118" customFormat="1" ht="25.5" customHeight="1">
      <c r="A34" s="109" t="s">
        <v>265</v>
      </c>
      <c r="B34" s="122" t="s">
        <v>254</v>
      </c>
      <c r="C34" s="123"/>
      <c r="D34" s="123">
        <v>350</v>
      </c>
      <c r="E34" s="123">
        <v>200</v>
      </c>
      <c r="F34" s="123">
        <f t="shared" si="0"/>
        <v>-150</v>
      </c>
    </row>
    <row r="35" spans="1:6" s="118" customFormat="1" ht="42.75" customHeight="1">
      <c r="A35" s="109" t="s">
        <v>266</v>
      </c>
      <c r="B35" s="122" t="s">
        <v>259</v>
      </c>
      <c r="C35" s="123"/>
      <c r="D35" s="123">
        <v>0</v>
      </c>
      <c r="E35" s="123">
        <v>0</v>
      </c>
      <c r="F35" s="123">
        <f t="shared" si="0"/>
        <v>0</v>
      </c>
    </row>
    <row r="36" spans="1:6" s="118" customFormat="1" ht="25.5">
      <c r="A36" s="109" t="s">
        <v>280</v>
      </c>
      <c r="B36" s="122" t="s">
        <v>285</v>
      </c>
      <c r="C36" s="123"/>
      <c r="D36" s="123">
        <v>174</v>
      </c>
      <c r="E36" s="123">
        <v>174</v>
      </c>
      <c r="F36" s="123">
        <f t="shared" si="0"/>
        <v>0</v>
      </c>
    </row>
    <row r="37" spans="1:6" s="118" customFormat="1" ht="22.5" customHeight="1">
      <c r="A37" s="247" t="s">
        <v>281</v>
      </c>
      <c r="B37" s="122" t="s">
        <v>289</v>
      </c>
      <c r="C37" s="123"/>
      <c r="D37" s="123">
        <v>760</v>
      </c>
      <c r="E37" s="123">
        <v>760</v>
      </c>
      <c r="F37" s="123">
        <f t="shared" si="0"/>
        <v>0</v>
      </c>
    </row>
    <row r="38" spans="1:6" s="118" customFormat="1" ht="22.5" customHeight="1">
      <c r="A38" s="247" t="s">
        <v>282</v>
      </c>
      <c r="B38" s="129" t="s">
        <v>306</v>
      </c>
      <c r="C38" s="130"/>
      <c r="D38" s="130"/>
      <c r="E38" s="130">
        <v>150</v>
      </c>
      <c r="F38" s="130">
        <f t="shared" si="0"/>
        <v>150</v>
      </c>
    </row>
    <row r="39" spans="1:6" s="128" customFormat="1" ht="27" customHeight="1">
      <c r="A39" s="247" t="s">
        <v>283</v>
      </c>
      <c r="B39" s="122" t="s">
        <v>261</v>
      </c>
      <c r="C39" s="123"/>
      <c r="D39" s="123">
        <v>295</v>
      </c>
      <c r="E39" s="123">
        <v>295</v>
      </c>
      <c r="F39" s="123">
        <f t="shared" si="0"/>
        <v>0</v>
      </c>
    </row>
    <row r="40" spans="1:6" s="128" customFormat="1" ht="27.75" customHeight="1">
      <c r="A40" s="247" t="s">
        <v>304</v>
      </c>
      <c r="B40" s="122" t="s">
        <v>85</v>
      </c>
      <c r="C40" s="123">
        <v>2000</v>
      </c>
      <c r="D40" s="123">
        <f>2000-295+68</f>
        <v>1773</v>
      </c>
      <c r="E40" s="123">
        <f>2000-295+68+6420</f>
        <v>8193</v>
      </c>
      <c r="F40" s="123">
        <f t="shared" si="0"/>
        <v>6420</v>
      </c>
    </row>
    <row r="41" spans="1:6" s="118" customFormat="1" ht="36" customHeight="1">
      <c r="A41" s="247" t="s">
        <v>305</v>
      </c>
      <c r="B41" s="129" t="s">
        <v>260</v>
      </c>
      <c r="C41" s="130">
        <v>0</v>
      </c>
      <c r="D41" s="130">
        <v>1000</v>
      </c>
      <c r="E41" s="130">
        <v>1000</v>
      </c>
      <c r="F41" s="130">
        <f t="shared" si="0"/>
        <v>0</v>
      </c>
    </row>
    <row r="42" spans="1:6" s="118" customFormat="1" ht="16.5" customHeight="1">
      <c r="A42" s="110" t="s">
        <v>307</v>
      </c>
      <c r="B42" s="125" t="s">
        <v>191</v>
      </c>
      <c r="C42" s="126">
        <v>500</v>
      </c>
      <c r="D42" s="126">
        <v>500</v>
      </c>
      <c r="E42" s="126">
        <v>500</v>
      </c>
      <c r="F42" s="126">
        <f t="shared" si="0"/>
        <v>0</v>
      </c>
    </row>
    <row r="43" spans="1:6" s="115" customFormat="1" ht="16.5" customHeight="1">
      <c r="A43" s="38"/>
      <c r="B43" s="72" t="s">
        <v>3</v>
      </c>
      <c r="C43" s="127">
        <f>SUM(C7:C42)</f>
        <v>72500</v>
      </c>
      <c r="D43" s="127">
        <f>SUM(D7:D42)</f>
        <v>61857</v>
      </c>
      <c r="E43" s="127">
        <f>SUM(E7:E42)</f>
        <v>69169</v>
      </c>
      <c r="F43" s="127">
        <f t="shared" si="0"/>
        <v>7312</v>
      </c>
    </row>
    <row r="44" spans="1:6" s="115" customFormat="1" ht="16.5" customHeight="1">
      <c r="A44" s="38"/>
      <c r="B44" s="72"/>
      <c r="C44" s="127"/>
      <c r="D44" s="127"/>
      <c r="E44" s="127"/>
      <c r="F44" s="127"/>
    </row>
    <row r="45" spans="1:6" s="115" customFormat="1" ht="16.5" customHeight="1">
      <c r="A45" s="72" t="s">
        <v>2</v>
      </c>
      <c r="B45" s="72" t="s">
        <v>96</v>
      </c>
      <c r="C45" s="114"/>
      <c r="D45" s="114"/>
      <c r="E45" s="114"/>
      <c r="F45" s="114"/>
    </row>
    <row r="46" spans="1:6" s="119" customFormat="1" ht="16.5" customHeight="1">
      <c r="A46" s="109" t="s">
        <v>5</v>
      </c>
      <c r="B46" s="116" t="s">
        <v>205</v>
      </c>
      <c r="C46" s="117">
        <v>35000</v>
      </c>
      <c r="D46" s="117">
        <f>35000+2471+1060</f>
        <v>38531</v>
      </c>
      <c r="E46" s="117">
        <f>35000+2471+1060</f>
        <v>38531</v>
      </c>
      <c r="F46" s="117">
        <f aca="true" t="shared" si="1" ref="F46:F63">E46-D46</f>
        <v>0</v>
      </c>
    </row>
    <row r="47" spans="1:6" s="119" customFormat="1" ht="16.5" customHeight="1">
      <c r="A47" s="109" t="s">
        <v>6</v>
      </c>
      <c r="B47" s="116" t="s">
        <v>206</v>
      </c>
      <c r="C47" s="117">
        <v>37000</v>
      </c>
      <c r="D47" s="117">
        <v>35745</v>
      </c>
      <c r="E47" s="117">
        <f>37000-1255</f>
        <v>35745</v>
      </c>
      <c r="F47" s="117">
        <f t="shared" si="1"/>
        <v>0</v>
      </c>
    </row>
    <row r="48" spans="1:6" s="119" customFormat="1" ht="16.5" customHeight="1">
      <c r="A48" s="109" t="s">
        <v>7</v>
      </c>
      <c r="B48" s="116" t="s">
        <v>192</v>
      </c>
      <c r="C48" s="117">
        <v>20000</v>
      </c>
      <c r="D48" s="117">
        <v>18949</v>
      </c>
      <c r="E48" s="121">
        <v>18949</v>
      </c>
      <c r="F48" s="117">
        <f t="shared" si="1"/>
        <v>0</v>
      </c>
    </row>
    <row r="49" spans="1:6" s="115" customFormat="1" ht="16.5" customHeight="1">
      <c r="A49" s="109" t="s">
        <v>8</v>
      </c>
      <c r="B49" s="120" t="s">
        <v>153</v>
      </c>
      <c r="C49" s="121">
        <v>15000</v>
      </c>
      <c r="D49" s="121">
        <v>17068</v>
      </c>
      <c r="E49" s="121">
        <f>15000+2068</f>
        <v>17068</v>
      </c>
      <c r="F49" s="121">
        <f t="shared" si="1"/>
        <v>0</v>
      </c>
    </row>
    <row r="50" spans="1:6" s="118" customFormat="1" ht="16.5" customHeight="1">
      <c r="A50" s="109" t="s">
        <v>9</v>
      </c>
      <c r="B50" s="120" t="s">
        <v>81</v>
      </c>
      <c r="C50" s="121">
        <v>20000</v>
      </c>
      <c r="D50" s="121">
        <f>20000+2374</f>
        <v>22374</v>
      </c>
      <c r="E50" s="121">
        <f>20000+2374+13573+814</f>
        <v>36761</v>
      </c>
      <c r="F50" s="121">
        <f t="shared" si="1"/>
        <v>14387</v>
      </c>
    </row>
    <row r="51" spans="1:6" s="118" customFormat="1" ht="16.5" customHeight="1">
      <c r="A51" s="109" t="s">
        <v>20</v>
      </c>
      <c r="B51" s="120" t="s">
        <v>154</v>
      </c>
      <c r="C51" s="121">
        <v>4277</v>
      </c>
      <c r="D51" s="121">
        <v>4277</v>
      </c>
      <c r="E51" s="121">
        <v>4277</v>
      </c>
      <c r="F51" s="121">
        <f t="shared" si="1"/>
        <v>0</v>
      </c>
    </row>
    <row r="52" spans="1:6" s="118" customFormat="1" ht="16.5" customHeight="1">
      <c r="A52" s="109" t="s">
        <v>21</v>
      </c>
      <c r="B52" s="120" t="s">
        <v>155</v>
      </c>
      <c r="C52" s="121">
        <v>10491</v>
      </c>
      <c r="D52" s="121">
        <v>10491</v>
      </c>
      <c r="E52" s="121">
        <v>10491</v>
      </c>
      <c r="F52" s="121">
        <f t="shared" si="1"/>
        <v>0</v>
      </c>
    </row>
    <row r="53" spans="1:6" s="118" customFormat="1" ht="16.5" customHeight="1">
      <c r="A53" s="109" t="s">
        <v>23</v>
      </c>
      <c r="B53" s="120" t="s">
        <v>156</v>
      </c>
      <c r="C53" s="121">
        <v>2000</v>
      </c>
      <c r="D53" s="121">
        <v>0</v>
      </c>
      <c r="E53" s="121">
        <v>0</v>
      </c>
      <c r="F53" s="121">
        <f t="shared" si="1"/>
        <v>0</v>
      </c>
    </row>
    <row r="54" spans="1:6" s="118" customFormat="1" ht="16.5" customHeight="1">
      <c r="A54" s="109" t="s">
        <v>53</v>
      </c>
      <c r="B54" s="120" t="s">
        <v>203</v>
      </c>
      <c r="C54" s="121">
        <v>2000</v>
      </c>
      <c r="D54" s="121">
        <v>2089</v>
      </c>
      <c r="E54" s="121">
        <v>2089</v>
      </c>
      <c r="F54" s="121">
        <f t="shared" si="1"/>
        <v>0</v>
      </c>
    </row>
    <row r="55" spans="1:6" s="128" customFormat="1" ht="16.5" customHeight="1">
      <c r="A55" s="109" t="s">
        <v>54</v>
      </c>
      <c r="B55" s="122" t="s">
        <v>157</v>
      </c>
      <c r="C55" s="123">
        <v>150</v>
      </c>
      <c r="D55" s="123">
        <v>150</v>
      </c>
      <c r="E55" s="123">
        <v>150</v>
      </c>
      <c r="F55" s="123">
        <f t="shared" si="1"/>
        <v>0</v>
      </c>
    </row>
    <row r="56" spans="1:6" s="118" customFormat="1" ht="16.5" customHeight="1">
      <c r="A56" s="109" t="s">
        <v>25</v>
      </c>
      <c r="B56" s="120" t="s">
        <v>160</v>
      </c>
      <c r="C56" s="121">
        <v>1500</v>
      </c>
      <c r="D56" s="121">
        <v>1500</v>
      </c>
      <c r="E56" s="121">
        <v>1000</v>
      </c>
      <c r="F56" s="121">
        <f t="shared" si="1"/>
        <v>-500</v>
      </c>
    </row>
    <row r="57" spans="1:6" s="118" customFormat="1" ht="16.5" customHeight="1">
      <c r="A57" s="109" t="s">
        <v>26</v>
      </c>
      <c r="B57" s="122" t="s">
        <v>162</v>
      </c>
      <c r="C57" s="123">
        <v>1000</v>
      </c>
      <c r="D57" s="123">
        <v>1000</v>
      </c>
      <c r="E57" s="123">
        <v>1000</v>
      </c>
      <c r="F57" s="123">
        <f t="shared" si="1"/>
        <v>0</v>
      </c>
    </row>
    <row r="58" spans="1:6" s="118" customFormat="1" ht="16.5" customHeight="1">
      <c r="A58" s="247" t="s">
        <v>196</v>
      </c>
      <c r="B58" s="122" t="s">
        <v>197</v>
      </c>
      <c r="C58" s="123">
        <v>1000</v>
      </c>
      <c r="D58" s="123">
        <v>1000</v>
      </c>
      <c r="E58" s="123">
        <v>1000</v>
      </c>
      <c r="F58" s="123">
        <f t="shared" si="1"/>
        <v>0</v>
      </c>
    </row>
    <row r="59" spans="1:6" s="118" customFormat="1" ht="16.5" customHeight="1">
      <c r="A59" s="247" t="s">
        <v>46</v>
      </c>
      <c r="B59" s="122" t="s">
        <v>239</v>
      </c>
      <c r="C59" s="123"/>
      <c r="D59" s="123">
        <v>1259</v>
      </c>
      <c r="E59" s="123">
        <v>0</v>
      </c>
      <c r="F59" s="123">
        <f t="shared" si="1"/>
        <v>-1259</v>
      </c>
    </row>
    <row r="60" spans="1:6" s="118" customFormat="1" ht="16.5" customHeight="1">
      <c r="A60" s="247" t="s">
        <v>235</v>
      </c>
      <c r="B60" s="122" t="s">
        <v>268</v>
      </c>
      <c r="C60" s="123"/>
      <c r="D60" s="123">
        <v>1200</v>
      </c>
      <c r="E60" s="123">
        <v>1200</v>
      </c>
      <c r="F60" s="123">
        <f t="shared" si="1"/>
        <v>0</v>
      </c>
    </row>
    <row r="61" spans="1:6" s="118" customFormat="1" ht="28.5" customHeight="1">
      <c r="A61" s="354" t="s">
        <v>236</v>
      </c>
      <c r="B61" s="129" t="s">
        <v>262</v>
      </c>
      <c r="C61" s="130">
        <v>0</v>
      </c>
      <c r="D61" s="130">
        <f>551+149+154+42</f>
        <v>896</v>
      </c>
      <c r="E61" s="130">
        <f>551+149+154+42</f>
        <v>896</v>
      </c>
      <c r="F61" s="130">
        <f t="shared" si="1"/>
        <v>0</v>
      </c>
    </row>
    <row r="62" spans="1:6" s="118" customFormat="1" ht="18.75" customHeight="1">
      <c r="A62" s="247" t="s">
        <v>240</v>
      </c>
      <c r="B62" s="122" t="s">
        <v>295</v>
      </c>
      <c r="C62" s="123">
        <v>0</v>
      </c>
      <c r="D62" s="123">
        <v>0</v>
      </c>
      <c r="E62" s="123">
        <v>20275</v>
      </c>
      <c r="F62" s="123">
        <f t="shared" si="1"/>
        <v>20275</v>
      </c>
    </row>
    <row r="63" spans="1:6" s="72" customFormat="1" ht="16.5" customHeight="1">
      <c r="A63" s="115"/>
      <c r="B63" s="113" t="s">
        <v>3</v>
      </c>
      <c r="C63" s="127">
        <f>SUM(C46:C62)</f>
        <v>149418</v>
      </c>
      <c r="D63" s="127">
        <f>SUM(D46:D62)</f>
        <v>156529</v>
      </c>
      <c r="E63" s="127">
        <f>SUM(E46:E62)</f>
        <v>189432</v>
      </c>
      <c r="F63" s="127">
        <f t="shared" si="1"/>
        <v>32903</v>
      </c>
    </row>
    <row r="64" spans="1:6" s="72" customFormat="1" ht="16.5" customHeight="1">
      <c r="A64" s="115"/>
      <c r="B64" s="113"/>
      <c r="C64" s="127"/>
      <c r="D64" s="127"/>
      <c r="E64" s="127"/>
      <c r="F64" s="127"/>
    </row>
    <row r="65" spans="1:6" s="72" customFormat="1" ht="16.5" customHeight="1">
      <c r="A65" s="72" t="s">
        <v>11</v>
      </c>
      <c r="B65" s="72" t="s">
        <v>116</v>
      </c>
      <c r="C65" s="114"/>
      <c r="D65" s="114"/>
      <c r="E65" s="114"/>
      <c r="F65" s="114"/>
    </row>
    <row r="66" spans="1:6" s="72" customFormat="1" ht="16.5" customHeight="1">
      <c r="A66" s="73" t="s">
        <v>5</v>
      </c>
      <c r="B66" s="73" t="s">
        <v>117</v>
      </c>
      <c r="C66" s="131"/>
      <c r="D66" s="131"/>
      <c r="E66" s="131"/>
      <c r="F66" s="131"/>
    </row>
    <row r="67" spans="1:6" s="115" customFormat="1" ht="16.5" customHeight="1">
      <c r="A67" s="132" t="s">
        <v>5</v>
      </c>
      <c r="B67" s="133" t="s">
        <v>14</v>
      </c>
      <c r="C67" s="134">
        <v>1460</v>
      </c>
      <c r="D67" s="134">
        <v>1460</v>
      </c>
      <c r="E67" s="134">
        <v>0</v>
      </c>
      <c r="F67" s="134">
        <f>E67-D67</f>
        <v>-1460</v>
      </c>
    </row>
    <row r="68" spans="1:6" s="115" customFormat="1" ht="16.5" customHeight="1">
      <c r="A68" s="132" t="s">
        <v>6</v>
      </c>
      <c r="B68" s="133" t="s">
        <v>56</v>
      </c>
      <c r="C68" s="134">
        <v>0</v>
      </c>
      <c r="D68" s="134">
        <v>0</v>
      </c>
      <c r="E68" s="134">
        <v>0</v>
      </c>
      <c r="F68" s="134">
        <f>E68-D68</f>
        <v>0</v>
      </c>
    </row>
    <row r="69" spans="2:6" s="72" customFormat="1" ht="16.5" customHeight="1">
      <c r="B69" s="73" t="s">
        <v>3</v>
      </c>
      <c r="C69" s="131">
        <f>SUM(C67:C68)</f>
        <v>1460</v>
      </c>
      <c r="D69" s="131">
        <f>SUM(D67:D68)</f>
        <v>1460</v>
      </c>
      <c r="E69" s="131">
        <f>SUM(E67:E68)</f>
        <v>0</v>
      </c>
      <c r="F69" s="131">
        <f>E69-D69</f>
        <v>-1460</v>
      </c>
    </row>
    <row r="70" spans="1:6" s="72" customFormat="1" ht="16.5" customHeight="1">
      <c r="A70" s="73" t="s">
        <v>6</v>
      </c>
      <c r="B70" s="73" t="s">
        <v>118</v>
      </c>
      <c r="C70" s="114"/>
      <c r="D70" s="114"/>
      <c r="E70" s="114"/>
      <c r="F70" s="114"/>
    </row>
    <row r="71" spans="1:6" s="115" customFormat="1" ht="16.5" customHeight="1">
      <c r="A71" s="36" t="s">
        <v>5</v>
      </c>
      <c r="B71" s="135" t="s">
        <v>40</v>
      </c>
      <c r="C71" s="136">
        <v>5802</v>
      </c>
      <c r="D71" s="136">
        <v>5802</v>
      </c>
      <c r="E71" s="136">
        <v>5802</v>
      </c>
      <c r="F71" s="136">
        <f aca="true" t="shared" si="2" ref="F71:F79">E71-D71</f>
        <v>0</v>
      </c>
    </row>
    <row r="72" spans="1:6" s="115" customFormat="1" ht="16.5" customHeight="1">
      <c r="A72" s="36" t="s">
        <v>6</v>
      </c>
      <c r="B72" s="135" t="s">
        <v>79</v>
      </c>
      <c r="C72" s="136">
        <v>0</v>
      </c>
      <c r="D72" s="136">
        <v>0</v>
      </c>
      <c r="E72" s="136">
        <v>0</v>
      </c>
      <c r="F72" s="136">
        <f t="shared" si="2"/>
        <v>0</v>
      </c>
    </row>
    <row r="73" spans="1:6" s="115" customFormat="1" ht="16.5" customHeight="1">
      <c r="A73" s="36" t="s">
        <v>7</v>
      </c>
      <c r="B73" s="135" t="s">
        <v>78</v>
      </c>
      <c r="C73" s="136">
        <v>1187</v>
      </c>
      <c r="D73" s="136">
        <v>1187</v>
      </c>
      <c r="E73" s="136">
        <v>1187</v>
      </c>
      <c r="F73" s="136">
        <f t="shared" si="2"/>
        <v>0</v>
      </c>
    </row>
    <row r="74" spans="1:6" s="115" customFormat="1" ht="16.5" customHeight="1">
      <c r="A74" s="36" t="s">
        <v>8</v>
      </c>
      <c r="B74" s="135" t="s">
        <v>77</v>
      </c>
      <c r="C74" s="136">
        <v>518</v>
      </c>
      <c r="D74" s="136">
        <v>518</v>
      </c>
      <c r="E74" s="136">
        <v>518</v>
      </c>
      <c r="F74" s="136">
        <f t="shared" si="2"/>
        <v>0</v>
      </c>
    </row>
    <row r="75" spans="1:6" s="115" customFormat="1" ht="16.5" customHeight="1">
      <c r="A75" s="36" t="s">
        <v>9</v>
      </c>
      <c r="B75" s="135" t="s">
        <v>55</v>
      </c>
      <c r="C75" s="136">
        <v>510</v>
      </c>
      <c r="D75" s="136">
        <v>510</v>
      </c>
      <c r="E75" s="136">
        <v>510</v>
      </c>
      <c r="F75" s="136">
        <f t="shared" si="2"/>
        <v>0</v>
      </c>
    </row>
    <row r="76" spans="1:6" s="115" customFormat="1" ht="16.5" customHeight="1">
      <c r="A76" s="36" t="s">
        <v>20</v>
      </c>
      <c r="B76" s="135" t="s">
        <v>80</v>
      </c>
      <c r="C76" s="136">
        <v>400</v>
      </c>
      <c r="D76" s="136">
        <v>400</v>
      </c>
      <c r="E76" s="136">
        <v>400</v>
      </c>
      <c r="F76" s="136">
        <f t="shared" si="2"/>
        <v>0</v>
      </c>
    </row>
    <row r="77" spans="1:6" s="115" customFormat="1" ht="16.5" customHeight="1">
      <c r="A77" s="36" t="s">
        <v>21</v>
      </c>
      <c r="B77" s="135" t="s">
        <v>57</v>
      </c>
      <c r="C77" s="136">
        <v>1734</v>
      </c>
      <c r="D77" s="136">
        <f>1734+1025</f>
        <v>2759</v>
      </c>
      <c r="E77" s="136">
        <f>1734+1025</f>
        <v>2759</v>
      </c>
      <c r="F77" s="136">
        <f t="shared" si="2"/>
        <v>0</v>
      </c>
    </row>
    <row r="78" spans="1:6" s="118" customFormat="1" ht="16.5" customHeight="1">
      <c r="A78" s="36" t="s">
        <v>23</v>
      </c>
      <c r="B78" s="122" t="s">
        <v>239</v>
      </c>
      <c r="C78" s="123"/>
      <c r="D78" s="123">
        <v>0</v>
      </c>
      <c r="E78" s="123">
        <v>1259</v>
      </c>
      <c r="F78" s="123">
        <f t="shared" si="2"/>
        <v>1259</v>
      </c>
    </row>
    <row r="79" spans="1:6" s="118" customFormat="1" ht="33" customHeight="1">
      <c r="A79" s="36" t="s">
        <v>53</v>
      </c>
      <c r="B79" s="122" t="s">
        <v>297</v>
      </c>
      <c r="C79" s="123"/>
      <c r="D79" s="123">
        <v>0</v>
      </c>
      <c r="E79" s="123">
        <v>4087</v>
      </c>
      <c r="F79" s="123">
        <f t="shared" si="2"/>
        <v>4087</v>
      </c>
    </row>
    <row r="80" spans="2:6" s="72" customFormat="1" ht="16.5" customHeight="1">
      <c r="B80" s="73" t="s">
        <v>3</v>
      </c>
      <c r="C80" s="131">
        <f>SUM(C71:C77)</f>
        <v>10151</v>
      </c>
      <c r="D80" s="131">
        <f>SUM(D71:D77)</f>
        <v>11176</v>
      </c>
      <c r="E80" s="131">
        <f>SUM(E71:E79)</f>
        <v>16522</v>
      </c>
      <c r="F80" s="131">
        <f>SUM(F71:F79)</f>
        <v>5346</v>
      </c>
    </row>
    <row r="81" spans="1:6" s="72" customFormat="1" ht="16.5" customHeight="1">
      <c r="A81" s="158" t="s">
        <v>7</v>
      </c>
      <c r="B81" s="73" t="s">
        <v>119</v>
      </c>
      <c r="C81" s="114"/>
      <c r="D81" s="114"/>
      <c r="E81" s="114"/>
      <c r="F81" s="114"/>
    </row>
    <row r="82" spans="1:6" s="115" customFormat="1" ht="16.5" customHeight="1">
      <c r="A82" s="36" t="s">
        <v>5</v>
      </c>
      <c r="B82" s="135" t="s">
        <v>263</v>
      </c>
      <c r="C82" s="136"/>
      <c r="D82" s="136">
        <v>5000</v>
      </c>
      <c r="E82" s="136">
        <v>5000</v>
      </c>
      <c r="F82" s="136">
        <f aca="true" t="shared" si="3" ref="F82:F87">E82-D82</f>
        <v>0</v>
      </c>
    </row>
    <row r="83" spans="1:6" s="115" customFormat="1" ht="16.5" customHeight="1">
      <c r="A83" s="36" t="s">
        <v>6</v>
      </c>
      <c r="B83" s="135" t="s">
        <v>270</v>
      </c>
      <c r="C83" s="136"/>
      <c r="D83" s="136">
        <v>600</v>
      </c>
      <c r="E83" s="136">
        <v>600</v>
      </c>
      <c r="F83" s="136">
        <f t="shared" si="3"/>
        <v>0</v>
      </c>
    </row>
    <row r="84" spans="1:6" s="115" customFormat="1" ht="16.5" customHeight="1">
      <c r="A84" s="36" t="s">
        <v>7</v>
      </c>
      <c r="B84" s="135" t="s">
        <v>269</v>
      </c>
      <c r="C84" s="136"/>
      <c r="D84" s="136">
        <v>2200</v>
      </c>
      <c r="E84" s="136">
        <v>2200</v>
      </c>
      <c r="F84" s="136">
        <f t="shared" si="3"/>
        <v>0</v>
      </c>
    </row>
    <row r="85" spans="1:6" s="115" customFormat="1" ht="16.5" customHeight="1">
      <c r="A85" s="36" t="s">
        <v>8</v>
      </c>
      <c r="B85" s="135" t="s">
        <v>264</v>
      </c>
      <c r="C85" s="136"/>
      <c r="D85" s="136">
        <v>120</v>
      </c>
      <c r="E85" s="136">
        <f>75+45</f>
        <v>120</v>
      </c>
      <c r="F85" s="136">
        <f t="shared" si="3"/>
        <v>0</v>
      </c>
    </row>
    <row r="86" spans="1:6" s="118" customFormat="1" ht="16.5" customHeight="1">
      <c r="A86" s="109" t="s">
        <v>236</v>
      </c>
      <c r="B86" s="129" t="s">
        <v>242</v>
      </c>
      <c r="C86" s="130"/>
      <c r="D86" s="130">
        <v>3950</v>
      </c>
      <c r="E86" s="130">
        <v>3950</v>
      </c>
      <c r="F86" s="130">
        <f t="shared" si="3"/>
        <v>0</v>
      </c>
    </row>
    <row r="87" spans="2:6" s="72" customFormat="1" ht="16.5" customHeight="1">
      <c r="B87" s="73" t="s">
        <v>3</v>
      </c>
      <c r="C87" s="131">
        <f>SUM(C85:C85)</f>
        <v>0</v>
      </c>
      <c r="D87" s="131">
        <f>SUM(D82:D86)</f>
        <v>11870</v>
      </c>
      <c r="E87" s="131">
        <f>SUM(E82:E86)</f>
        <v>11870</v>
      </c>
      <c r="F87" s="131">
        <f t="shared" si="3"/>
        <v>0</v>
      </c>
    </row>
    <row r="88" spans="1:6" s="115" customFormat="1" ht="16.5" customHeight="1">
      <c r="A88" s="137" t="s">
        <v>8</v>
      </c>
      <c r="B88" s="138" t="s">
        <v>120</v>
      </c>
      <c r="C88" s="139"/>
      <c r="D88" s="139"/>
      <c r="E88" s="139"/>
      <c r="F88" s="139"/>
    </row>
    <row r="89" spans="1:6" s="119" customFormat="1" ht="16.5" customHeight="1">
      <c r="A89" s="111" t="s">
        <v>47</v>
      </c>
      <c r="B89" s="140" t="s">
        <v>58</v>
      </c>
      <c r="C89" s="141"/>
      <c r="D89" s="141"/>
      <c r="E89" s="141"/>
      <c r="F89" s="141"/>
    </row>
    <row r="90" spans="1:6" s="115" customFormat="1" ht="16.5" customHeight="1">
      <c r="A90" s="142"/>
      <c r="B90" s="138" t="s">
        <v>3</v>
      </c>
      <c r="C90" s="143">
        <f>SUM(C89:C89)</f>
        <v>0</v>
      </c>
      <c r="D90" s="143">
        <f>SUM(D89:D89)</f>
        <v>0</v>
      </c>
      <c r="E90" s="143">
        <f>SUM(E89:E89)</f>
        <v>0</v>
      </c>
      <c r="F90" s="143">
        <f>E90-D90</f>
        <v>0</v>
      </c>
    </row>
    <row r="91" spans="1:6" s="72" customFormat="1" ht="16.5" customHeight="1">
      <c r="A91" s="115"/>
      <c r="B91" s="113" t="s">
        <v>3</v>
      </c>
      <c r="C91" s="127">
        <f>C90+C87+C80+C69</f>
        <v>11611</v>
      </c>
      <c r="D91" s="127">
        <f>D90+D87+D80+D69</f>
        <v>24506</v>
      </c>
      <c r="E91" s="127">
        <f>E90+E87+E80+E69</f>
        <v>28392</v>
      </c>
      <c r="F91" s="127">
        <f>E91-D91</f>
        <v>3886</v>
      </c>
    </row>
    <row r="92" spans="3:6" s="72" customFormat="1" ht="16.5" customHeight="1">
      <c r="C92" s="114"/>
      <c r="D92" s="114"/>
      <c r="E92" s="114"/>
      <c r="F92" s="114"/>
    </row>
    <row r="93" spans="2:6" s="72" customFormat="1" ht="16.5" customHeight="1">
      <c r="B93" s="113" t="s">
        <v>121</v>
      </c>
      <c r="C93" s="114">
        <f>C91+C63+C43</f>
        <v>233529</v>
      </c>
      <c r="D93" s="114">
        <f>D91+D63+D43</f>
        <v>242892</v>
      </c>
      <c r="E93" s="114">
        <f>E91+E63+E43</f>
        <v>286993</v>
      </c>
      <c r="F93" s="114">
        <f>E93-D93</f>
        <v>44101</v>
      </c>
    </row>
    <row r="94" spans="2:6" s="72" customFormat="1" ht="16.5" customHeight="1">
      <c r="B94" s="113"/>
      <c r="C94" s="114"/>
      <c r="D94" s="114"/>
      <c r="E94" s="114"/>
      <c r="F94" s="114"/>
    </row>
    <row r="95" spans="1:6" s="72" customFormat="1" ht="16.5" customHeight="1">
      <c r="A95" s="72" t="s">
        <v>15</v>
      </c>
      <c r="B95" s="144" t="s">
        <v>124</v>
      </c>
      <c r="C95" s="114"/>
      <c r="D95" s="114"/>
      <c r="E95" s="114"/>
      <c r="F95" s="114"/>
    </row>
    <row r="96" spans="1:6" s="145" customFormat="1" ht="16.5" customHeight="1">
      <c r="A96" s="36" t="s">
        <v>5</v>
      </c>
      <c r="B96" s="120" t="s">
        <v>123</v>
      </c>
      <c r="C96" s="121">
        <v>0</v>
      </c>
      <c r="D96" s="121">
        <v>0</v>
      </c>
      <c r="E96" s="121">
        <v>0</v>
      </c>
      <c r="F96" s="121">
        <f>E96-D96</f>
        <v>0</v>
      </c>
    </row>
    <row r="97" spans="2:6" s="72" customFormat="1" ht="16.5" customHeight="1">
      <c r="B97" s="144" t="s">
        <v>3</v>
      </c>
      <c r="C97" s="114">
        <f>SUM(C96:C96)</f>
        <v>0</v>
      </c>
      <c r="D97" s="114">
        <f>SUM(D96:D96)</f>
        <v>0</v>
      </c>
      <c r="E97" s="114">
        <f>SUM(E96:E96)</f>
        <v>0</v>
      </c>
      <c r="F97" s="114">
        <f>E97-D97</f>
        <v>0</v>
      </c>
    </row>
    <row r="98" spans="2:6" s="145" customFormat="1" ht="16.5" customHeight="1">
      <c r="B98" s="144" t="s">
        <v>122</v>
      </c>
      <c r="C98" s="114">
        <v>0</v>
      </c>
      <c r="D98" s="114">
        <v>0</v>
      </c>
      <c r="E98" s="114">
        <v>0</v>
      </c>
      <c r="F98" s="114">
        <f>E98-D98</f>
        <v>0</v>
      </c>
    </row>
    <row r="99" spans="1:6" s="72" customFormat="1" ht="16.5" customHeight="1">
      <c r="A99" s="115"/>
      <c r="C99" s="114"/>
      <c r="D99" s="114"/>
      <c r="E99" s="114"/>
      <c r="F99" s="114"/>
    </row>
    <row r="100" spans="1:6" s="72" customFormat="1" ht="16.5" customHeight="1">
      <c r="A100" s="115"/>
      <c r="B100" s="72" t="s">
        <v>16</v>
      </c>
      <c r="C100" s="114">
        <f>C93+C98</f>
        <v>233529</v>
      </c>
      <c r="D100" s="114">
        <f>D93+D98</f>
        <v>242892</v>
      </c>
      <c r="E100" s="114">
        <f>E93+E98</f>
        <v>286993</v>
      </c>
      <c r="F100" s="114">
        <f>E100-D100</f>
        <v>44101</v>
      </c>
    </row>
    <row r="101" spans="1:6" s="72" customFormat="1" ht="16.5" customHeight="1">
      <c r="A101" s="115"/>
      <c r="B101" s="72" t="s">
        <v>60</v>
      </c>
      <c r="C101" s="114"/>
      <c r="D101" s="114"/>
      <c r="E101" s="114"/>
      <c r="F101" s="114"/>
    </row>
    <row r="102" spans="2:6" s="115" customFormat="1" ht="16.5" customHeight="1">
      <c r="B102" s="146" t="s">
        <v>61</v>
      </c>
      <c r="C102" s="147">
        <f>C100-C103</f>
        <v>231569</v>
      </c>
      <c r="D102" s="147">
        <f>D100-D103</f>
        <v>240932</v>
      </c>
      <c r="E102" s="147">
        <f>E100-E103</f>
        <v>286493</v>
      </c>
      <c r="F102" s="147">
        <f>E102-D102</f>
        <v>45561</v>
      </c>
    </row>
    <row r="103" spans="2:6" s="115" customFormat="1" ht="16.5" customHeight="1">
      <c r="B103" s="148" t="s">
        <v>59</v>
      </c>
      <c r="C103" s="149">
        <f>C89+C68+C67+C42</f>
        <v>1960</v>
      </c>
      <c r="D103" s="149">
        <f>D89+D68+D67+D42</f>
        <v>1960</v>
      </c>
      <c r="E103" s="149">
        <f>E89+E68+E67+E42</f>
        <v>500</v>
      </c>
      <c r="F103" s="149">
        <f>E103-D103</f>
        <v>-1460</v>
      </c>
    </row>
    <row r="104" s="115" customFormat="1" ht="11.25" customHeight="1">
      <c r="C104" s="150"/>
    </row>
    <row r="105" spans="2:5" s="115" customFormat="1" ht="11.25" customHeight="1">
      <c r="B105" s="72" t="s">
        <v>88</v>
      </c>
      <c r="C105" s="114">
        <f>C100-'4. melléklet'!C45</f>
        <v>0</v>
      </c>
      <c r="D105" s="150"/>
      <c r="E105" s="150"/>
    </row>
    <row r="106" s="115" customFormat="1" ht="11.25" customHeight="1">
      <c r="C106" s="150"/>
    </row>
    <row r="107" spans="1:3" s="115" customFormat="1" ht="13.5" customHeight="1">
      <c r="A107" s="115" t="s">
        <v>142</v>
      </c>
      <c r="B107" s="72" t="s">
        <v>86</v>
      </c>
      <c r="C107" s="150"/>
    </row>
    <row r="108" spans="1:3" s="153" customFormat="1" ht="12.75">
      <c r="A108" s="110" t="s">
        <v>5</v>
      </c>
      <c r="B108" s="151" t="s">
        <v>175</v>
      </c>
      <c r="C108" s="152">
        <v>20000</v>
      </c>
    </row>
    <row r="109" spans="1:3" s="153" customFormat="1" ht="12.75">
      <c r="A109" s="110" t="s">
        <v>6</v>
      </c>
      <c r="B109" s="151" t="s">
        <v>176</v>
      </c>
      <c r="C109" s="152">
        <v>15000</v>
      </c>
    </row>
    <row r="110" spans="1:5" s="118" customFormat="1" ht="12.75">
      <c r="A110" s="110" t="s">
        <v>7</v>
      </c>
      <c r="B110" s="154" t="s">
        <v>173</v>
      </c>
      <c r="C110" s="155">
        <v>1900</v>
      </c>
      <c r="D110" s="124"/>
      <c r="E110" s="124"/>
    </row>
    <row r="111" spans="1:3" s="153" customFormat="1" ht="12.75">
      <c r="A111" s="110" t="s">
        <v>8</v>
      </c>
      <c r="B111" s="151" t="s">
        <v>177</v>
      </c>
      <c r="C111" s="152">
        <v>5000</v>
      </c>
    </row>
    <row r="112" spans="1:3" s="153" customFormat="1" ht="12.75">
      <c r="A112" s="110" t="s">
        <v>9</v>
      </c>
      <c r="B112" s="151" t="s">
        <v>178</v>
      </c>
      <c r="C112" s="152">
        <v>2513</v>
      </c>
    </row>
    <row r="113" spans="1:3" s="118" customFormat="1" ht="25.5">
      <c r="A113" s="110" t="s">
        <v>20</v>
      </c>
      <c r="B113" s="154" t="s">
        <v>165</v>
      </c>
      <c r="C113" s="155">
        <v>1000</v>
      </c>
    </row>
    <row r="114" spans="1:3" s="118" customFormat="1" ht="12.75">
      <c r="A114" s="110" t="s">
        <v>21</v>
      </c>
      <c r="B114" s="154" t="s">
        <v>164</v>
      </c>
      <c r="C114" s="155">
        <v>1000</v>
      </c>
    </row>
    <row r="115" spans="1:3" s="118" customFormat="1" ht="12.75">
      <c r="A115" s="110" t="s">
        <v>23</v>
      </c>
      <c r="B115" s="154" t="s">
        <v>172</v>
      </c>
      <c r="C115" s="155">
        <v>1700</v>
      </c>
    </row>
    <row r="116" spans="1:3" s="153" customFormat="1" ht="12.75">
      <c r="A116" s="110" t="s">
        <v>54</v>
      </c>
      <c r="B116" s="151" t="s">
        <v>174</v>
      </c>
      <c r="C116" s="152">
        <v>5000</v>
      </c>
    </row>
    <row r="117" spans="1:3" s="118" customFormat="1" ht="12.75">
      <c r="A117" s="110" t="s">
        <v>25</v>
      </c>
      <c r="B117" s="154" t="s">
        <v>170</v>
      </c>
      <c r="C117" s="155">
        <v>5000</v>
      </c>
    </row>
    <row r="118" spans="1:3" s="118" customFormat="1" ht="12.75">
      <c r="A118" s="110" t="s">
        <v>26</v>
      </c>
      <c r="B118" s="154" t="s">
        <v>163</v>
      </c>
      <c r="C118" s="155">
        <v>7500</v>
      </c>
    </row>
    <row r="119" spans="1:3" s="118" customFormat="1" ht="12.75">
      <c r="A119" s="110" t="s">
        <v>196</v>
      </c>
      <c r="B119" s="154" t="s">
        <v>159</v>
      </c>
      <c r="C119" s="155">
        <v>8500</v>
      </c>
    </row>
    <row r="120" spans="1:3" s="118" customFormat="1" ht="12.75">
      <c r="A120" s="109" t="s">
        <v>46</v>
      </c>
      <c r="B120" s="120" t="s">
        <v>171</v>
      </c>
      <c r="C120" s="121">
        <v>15000</v>
      </c>
    </row>
    <row r="121" spans="2:3" ht="12.75">
      <c r="B121" s="15" t="s">
        <v>3</v>
      </c>
      <c r="C121" s="34">
        <f>SUM(C108:C120)</f>
        <v>89113</v>
      </c>
    </row>
    <row r="122" ht="12.75">
      <c r="G122" s="2" t="s">
        <v>214</v>
      </c>
    </row>
    <row r="123" spans="2:5" ht="39" customHeight="1">
      <c r="B123" s="392"/>
      <c r="C123" s="392"/>
      <c r="D123" s="392"/>
      <c r="E123" s="392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spans="1:3" s="4" customFormat="1" ht="13.5">
      <c r="A148" s="2"/>
      <c r="B148" s="12"/>
      <c r="C148" s="13"/>
    </row>
    <row r="149" spans="1:3" s="5" customFormat="1" ht="12.75">
      <c r="A149" s="2"/>
      <c r="B149" s="12"/>
      <c r="C149" s="13"/>
    </row>
    <row r="150" spans="1:3" s="8" customFormat="1" ht="12.75">
      <c r="A150" s="2"/>
      <c r="B150" s="12"/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spans="1:3" ht="12.75">
      <c r="A158" s="14"/>
      <c r="C158" s="13"/>
    </row>
    <row r="159" spans="1:3" ht="12.75">
      <c r="A159" s="14"/>
      <c r="C159" s="13"/>
    </row>
    <row r="160" ht="12.75">
      <c r="C160" s="13"/>
    </row>
    <row r="161" ht="12.75">
      <c r="C161" s="13"/>
    </row>
    <row r="162" spans="1:3" ht="12.75">
      <c r="A162" s="5"/>
      <c r="B162" s="15"/>
      <c r="C162" s="6"/>
    </row>
    <row r="165" spans="2:3" s="5" customFormat="1" ht="12.75">
      <c r="B165" s="15"/>
      <c r="C165" s="7"/>
    </row>
    <row r="168" spans="2:3" s="5" customFormat="1" ht="12.75">
      <c r="B168" s="15"/>
      <c r="C168" s="3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spans="2:3" ht="12.75">
      <c r="B177" s="15"/>
      <c r="C177" s="7"/>
    </row>
    <row r="178" ht="12.75">
      <c r="B178" s="15"/>
    </row>
    <row r="179" ht="12.75">
      <c r="C179" s="7"/>
    </row>
    <row r="180" spans="1:2" ht="12.75">
      <c r="A180" s="5"/>
      <c r="B180" s="15"/>
    </row>
    <row r="182" ht="12.75">
      <c r="C182" s="7"/>
    </row>
    <row r="183" spans="1:3" ht="12.75">
      <c r="A183" s="5"/>
      <c r="B183" s="15"/>
      <c r="C183" s="7"/>
    </row>
    <row r="184" spans="1:2" ht="12.75">
      <c r="A184" s="5"/>
      <c r="B184" s="15"/>
    </row>
    <row r="185" ht="12.75">
      <c r="C185" s="7"/>
    </row>
    <row r="186" spans="1:3" ht="12.75">
      <c r="A186" s="5"/>
      <c r="B186" s="15"/>
      <c r="C186" s="9"/>
    </row>
    <row r="187" spans="2:3" ht="12.75">
      <c r="B187" s="14"/>
      <c r="C187" s="9"/>
    </row>
    <row r="188" spans="2:3" ht="12.75">
      <c r="B188" s="14"/>
      <c r="C188" s="9"/>
    </row>
    <row r="189" spans="2:3" ht="12.75">
      <c r="B189" s="14"/>
      <c r="C189" s="9"/>
    </row>
    <row r="190" spans="2:3" ht="12.75">
      <c r="B190" s="14"/>
      <c r="C190" s="9"/>
    </row>
    <row r="191" spans="2:3" ht="12.75">
      <c r="B191" s="14"/>
      <c r="C191" s="9"/>
    </row>
    <row r="192" spans="2:3" ht="12.75">
      <c r="B192" s="14"/>
      <c r="C192" s="9"/>
    </row>
    <row r="193" spans="2:3" ht="12.75">
      <c r="B193" s="14"/>
      <c r="C193" s="9"/>
    </row>
    <row r="194" spans="2:3" ht="12.75">
      <c r="B194" s="14"/>
      <c r="C194" s="9"/>
    </row>
    <row r="195" ht="12.75">
      <c r="B195" s="14"/>
    </row>
    <row r="202" ht="12.75">
      <c r="C202" s="7"/>
    </row>
    <row r="203" ht="12.75">
      <c r="B203" s="15"/>
    </row>
    <row r="204" ht="12.75">
      <c r="C204" s="7"/>
    </row>
    <row r="205" spans="1:2" ht="12.75">
      <c r="A205" s="5"/>
      <c r="B205" s="15"/>
    </row>
    <row r="208" ht="12.75">
      <c r="C208" s="7"/>
    </row>
    <row r="210" ht="12.75">
      <c r="C210" s="7"/>
    </row>
    <row r="211" spans="1:3" ht="12.75">
      <c r="A211" s="5"/>
      <c r="B211" s="15"/>
      <c r="C211" s="9"/>
    </row>
    <row r="212" ht="12.75">
      <c r="B212" s="14"/>
    </row>
    <row r="213" ht="12.75">
      <c r="C213" s="7"/>
    </row>
    <row r="214" spans="1:2" ht="12.75">
      <c r="A214" s="5"/>
      <c r="B214" s="15"/>
    </row>
    <row r="215" ht="12.75">
      <c r="C215" s="7"/>
    </row>
    <row r="216" spans="1:2" ht="12.75">
      <c r="A216" s="5"/>
      <c r="B216" s="15"/>
    </row>
  </sheetData>
  <sheetProtection/>
  <mergeCells count="2">
    <mergeCell ref="B123:E123"/>
    <mergeCell ref="A4:F4"/>
  </mergeCells>
  <printOptions/>
  <pageMargins left="0.6692913385826772" right="0.03937007874015748" top="0.8661417322834646" bottom="0.9055118110236221" header="0.7874015748031497" footer="0.8267716535433072"/>
  <pageSetup horizontalDpi="600" verticalDpi="600" orientation="portrait" paperSize="9" scale="79" r:id="rId1"/>
  <rowBreaks count="2" manualBreakCount="2">
    <brk id="43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2017-05-19T07:43:04Z</cp:lastPrinted>
  <dcterms:created xsi:type="dcterms:W3CDTF">2007-11-15T07:32:30Z</dcterms:created>
  <dcterms:modified xsi:type="dcterms:W3CDTF">2017-06-12T11:08:47Z</dcterms:modified>
  <cp:category/>
  <cp:version/>
  <cp:contentType/>
  <cp:contentStatus/>
</cp:coreProperties>
</file>