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2017\Rendeletek\Njt-be feltöltésre\December 20\"/>
    </mc:Choice>
  </mc:AlternateContent>
  <bookViews>
    <workbookView xWindow="0" yWindow="0" windowWidth="19200" windowHeight="11145" tabRatio="783" activeTab="17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 Önkormányzat " sheetId="58" r:id="rId5"/>
    <sheet name="5.sz.melléklet Közös Hivata " sheetId="59" r:id="rId6"/>
    <sheet name="6__sz__melléklet" sheetId="57" r:id="rId7"/>
    <sheet name="7. sz. melléklet" sheetId="52" r:id="rId8"/>
    <sheet name="8. sz. melléklet" sheetId="53" r:id="rId9"/>
    <sheet name="9. sz. melléklet" sheetId="54" r:id="rId10"/>
    <sheet name="10. sz. melléklet" sheetId="55" r:id="rId11"/>
    <sheet name="11. sz. melléklet " sheetId="56" r:id="rId12"/>
    <sheet name="12. sz. melléklet" sheetId="13" r:id="rId13"/>
    <sheet name="13. sz. melléklet" sheetId="45" r:id="rId14"/>
    <sheet name="13. sz. melléklet 2. oldal" sheetId="48" r:id="rId15"/>
    <sheet name="14. sz. melléklet" sheetId="16" r:id="rId16"/>
    <sheet name="15. sz. melléklet" sheetId="51" r:id="rId17"/>
    <sheet name="16. sz. melléklet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" localSheetId="10">#REF!</definedName>
    <definedName name="__c" localSheetId="11">#REF!</definedName>
    <definedName name="__c" localSheetId="16">#REF!</definedName>
    <definedName name="__c" localSheetId="5">#REF!</definedName>
    <definedName name="__c" localSheetId="4">#REF!</definedName>
    <definedName name="__c" localSheetId="6">NA()</definedName>
    <definedName name="__c" localSheetId="7">#REF!</definedName>
    <definedName name="__c" localSheetId="8">#REF!</definedName>
    <definedName name="__c" localSheetId="9">#REF!</definedName>
    <definedName name="__c">#REF!</definedName>
    <definedName name="__xlnm.Print_Titles_1" localSheetId="6">"""'5. sz. melléklet - önkormányzat'[.#HIV!$4]:6"""</definedName>
    <definedName name="__xlnm.Print_Titles_1">"'5. sz. melléklet - önkormányzat'[.#HIV!$4]:6"</definedName>
    <definedName name="_c" localSheetId="10">#REF!</definedName>
    <definedName name="_c" localSheetId="11">#REF!</definedName>
    <definedName name="_c" localSheetId="16">#REF!</definedName>
    <definedName name="_c" localSheetId="5">#REF!</definedName>
    <definedName name="_c" localSheetId="4">#REF!</definedName>
    <definedName name="_c" localSheetId="6">NA()</definedName>
    <definedName name="_c" localSheetId="7">#REF!</definedName>
    <definedName name="_c" localSheetId="8">#REF!</definedName>
    <definedName name="_c" localSheetId="9">#REF!</definedName>
    <definedName name="_c">#REF!</definedName>
    <definedName name="Beszúrás" localSheetId="10">SUM(#REF!,#REF!,#REF!,#REF!,#REF!,#REF!)</definedName>
    <definedName name="Beszúrás" localSheetId="11">SUM(#REF!,#REF!,#REF!,#REF!,#REF!,#REF!)</definedName>
    <definedName name="Beszúrás" localSheetId="16">SUM(#REF!,#REF!,#REF!,#REF!,#REF!,#REF!)</definedName>
    <definedName name="Beszúrás" localSheetId="5">SUM(#REF!,#REF!,#REF!,#REF!,#REF!,#REF!)</definedName>
    <definedName name="Beszúrás" localSheetId="4">SUM(#REF!,#REF!,#REF!,#REF!,#REF!,#REF!)</definedName>
    <definedName name="Beszúrás" localSheetId="6">"SUM(#REF!,#REF!,#REF!,#REF!,#REF!,#REF!))"</definedName>
    <definedName name="Beszúrás" localSheetId="7">SUM(#REF!,#REF!,#REF!,#REF!,#REF!,#REF!)</definedName>
    <definedName name="Beszúrás" localSheetId="8">SUM(#REF!,#REF!,#REF!,#REF!,#REF!,#REF!)</definedName>
    <definedName name="Beszúrás" localSheetId="9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4">#REF!</definedName>
    <definedName name="Excel_BuiltIn__FilterDatabase_5" localSheetId="15">#REF!</definedName>
    <definedName name="Excel_BuiltIn__FilterDatabase_5" localSheetId="16">#REF!</definedName>
    <definedName name="Excel_BuiltIn__FilterDatabase_5" localSheetId="2">#REF!</definedName>
    <definedName name="Excel_BuiltIn__FilterDatabase_5" localSheetId="3">#REF!</definedName>
    <definedName name="Excel_BuiltIn__FilterDatabase_5" localSheetId="5">#REF!</definedName>
    <definedName name="Excel_BuiltIn__FilterDatabase_5" localSheetId="4">#REF!</definedName>
    <definedName name="Excel_BuiltIn__FilterDatabase_5" localSheetId="6">NA()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0">'[2]4. sz. melléklet'!#REF!</definedName>
    <definedName name="Excel_BuiltIn__FilterDatabase_5_1" localSheetId="11">'[2]4. sz. melléklet'!#REF!</definedName>
    <definedName name="Excel_BuiltIn__FilterDatabase_5_1" localSheetId="14">'[3]4. sz. melléklet'!#REF!</definedName>
    <definedName name="Excel_BuiltIn__FilterDatabase_5_1" localSheetId="16">'[2]4. sz. melléklet'!#REF!</definedName>
    <definedName name="Excel_BuiltIn__FilterDatabase_5_1" localSheetId="5">'[2]4. sz. melléklet'!#REF!</definedName>
    <definedName name="Excel_BuiltIn__FilterDatabase_5_1" localSheetId="4">'[2]4. sz. melléklet'!#REF!</definedName>
    <definedName name="Excel_BuiltIn__FilterDatabase_5_1" localSheetId="6">"'[1]4. sz. melléklet'!#ref!"</definedName>
    <definedName name="Excel_BuiltIn__FilterDatabase_5_1" localSheetId="7">'[2]4. sz. melléklet'!#REF!</definedName>
    <definedName name="Excel_BuiltIn__FilterDatabase_5_1" localSheetId="8">'[2]4. sz. melléklet'!#REF!</definedName>
    <definedName name="Excel_BuiltIn__FilterDatabase_5_1" localSheetId="9">'[2]4. sz. melléklet'!#REF!</definedName>
    <definedName name="Excel_BuiltIn__FilterDatabase_5_1">'[2]4. sz. melléklet'!#REF!</definedName>
    <definedName name="Excel_BuiltIn__FilterDatabase_5_10" localSheetId="6">"NA()"</definedName>
    <definedName name="Excel_BuiltIn__FilterDatabase_5_10">NA()</definedName>
    <definedName name="Excel_BuiltIn__FilterDatabase_5_11" localSheetId="10">'[4]4. sz. melléklet'!#REF!</definedName>
    <definedName name="Excel_BuiltIn__FilterDatabase_5_11" localSheetId="11">'[4]4. sz. melléklet'!#REF!</definedName>
    <definedName name="Excel_BuiltIn__FilterDatabase_5_11" localSheetId="14">'[5]4. sz. melléklet'!#REF!</definedName>
    <definedName name="Excel_BuiltIn__FilterDatabase_5_11" localSheetId="16">'[4]4. sz. melléklet'!#REF!</definedName>
    <definedName name="Excel_BuiltIn__FilterDatabase_5_11" localSheetId="5">'[4]4. sz. melléklet'!#REF!</definedName>
    <definedName name="Excel_BuiltIn__FilterDatabase_5_11" localSheetId="4">'[4]4. sz. melléklet'!#REF!</definedName>
    <definedName name="Excel_BuiltIn__FilterDatabase_5_11" localSheetId="6">"'[2]4. sz. melléklet'!#ref!"</definedName>
    <definedName name="Excel_BuiltIn__FilterDatabase_5_11" localSheetId="7">'[4]4. sz. melléklet'!#REF!</definedName>
    <definedName name="Excel_BuiltIn__FilterDatabase_5_11" localSheetId="8">'[4]4. sz. melléklet'!#REF!</definedName>
    <definedName name="Excel_BuiltIn__FilterDatabase_5_11" localSheetId="9">'[4]4. sz. melléklet'!#REF!</definedName>
    <definedName name="Excel_BuiltIn__FilterDatabase_5_11">'[4]4. sz. melléklet'!#REF!</definedName>
    <definedName name="Excel_BuiltIn__FilterDatabase_5_12" localSheetId="10">'[4]4. sz. melléklet'!#REF!</definedName>
    <definedName name="Excel_BuiltIn__FilterDatabase_5_12" localSheetId="11">'[4]4. sz. melléklet'!#REF!</definedName>
    <definedName name="Excel_BuiltIn__FilterDatabase_5_12" localSheetId="14">'[5]4. sz. melléklet'!#REF!</definedName>
    <definedName name="Excel_BuiltIn__FilterDatabase_5_12" localSheetId="16">'[4]4. sz. melléklet'!#REF!</definedName>
    <definedName name="Excel_BuiltIn__FilterDatabase_5_12" localSheetId="5">'[4]4. sz. melléklet'!#REF!</definedName>
    <definedName name="Excel_BuiltIn__FilterDatabase_5_12" localSheetId="4">'[4]4. sz. melléklet'!#REF!</definedName>
    <definedName name="Excel_BuiltIn__FilterDatabase_5_12" localSheetId="6">"'[2]4. sz. melléklet'!#ref!"</definedName>
    <definedName name="Excel_BuiltIn__FilterDatabase_5_12" localSheetId="7">'[4]4. sz. melléklet'!#REF!</definedName>
    <definedName name="Excel_BuiltIn__FilterDatabase_5_12" localSheetId="8">'[4]4. sz. melléklet'!#REF!</definedName>
    <definedName name="Excel_BuiltIn__FilterDatabase_5_12" localSheetId="9">'[4]4. sz. melléklet'!#REF!</definedName>
    <definedName name="Excel_BuiltIn__FilterDatabase_5_12">'[4]4.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4">#REF!</definedName>
    <definedName name="Excel_BuiltIn__FilterDatabase_5_13" localSheetId="15">#REF!</definedName>
    <definedName name="Excel_BuiltIn__FilterDatabase_5_13" localSheetId="16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5">#REF!</definedName>
    <definedName name="Excel_BuiltIn__FilterDatabase_5_13" localSheetId="4">#REF!</definedName>
    <definedName name="Excel_BuiltIn__FilterDatabase_5_13" localSheetId="6">NA()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0">'[6]4. sz. melléklet'!#REF!</definedName>
    <definedName name="Excel_BuiltIn__FilterDatabase_5_15" localSheetId="11">'[6]4. sz. melléklet'!#REF!</definedName>
    <definedName name="Excel_BuiltIn__FilterDatabase_5_15" localSheetId="14">'[7]4. sz. melléklet'!#REF!</definedName>
    <definedName name="Excel_BuiltIn__FilterDatabase_5_15" localSheetId="16">'[6]4. sz. melléklet'!#REF!</definedName>
    <definedName name="Excel_BuiltIn__FilterDatabase_5_15" localSheetId="5">'[6]4. sz. melléklet'!#REF!</definedName>
    <definedName name="Excel_BuiltIn__FilterDatabase_5_15" localSheetId="4">'[6]4. sz. melléklet'!#REF!</definedName>
    <definedName name="Excel_BuiltIn__FilterDatabase_5_15" localSheetId="6">"'[3]4. sz. melléklet'!#ref!"</definedName>
    <definedName name="Excel_BuiltIn__FilterDatabase_5_15" localSheetId="7">'[6]4. sz. melléklet'!#REF!</definedName>
    <definedName name="Excel_BuiltIn__FilterDatabase_5_15" localSheetId="8">'[6]4. sz. melléklet'!#REF!</definedName>
    <definedName name="Excel_BuiltIn__FilterDatabase_5_15" localSheetId="9">'[6]4. sz. melléklet'!#REF!</definedName>
    <definedName name="Excel_BuiltIn__FilterDatabase_5_15">'[6]4.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4">#REF!</definedName>
    <definedName name="Excel_BuiltIn__FilterDatabase_5_17" localSheetId="15">#REF!</definedName>
    <definedName name="Excel_BuiltIn__FilterDatabase_5_17" localSheetId="16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5">#REF!</definedName>
    <definedName name="Excel_BuiltIn__FilterDatabase_5_17" localSheetId="4">#REF!</definedName>
    <definedName name="Excel_BuiltIn__FilterDatabase_5_17" localSheetId="6">NA()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0">'[8]4.A sz. melléklet'!#REF!</definedName>
    <definedName name="Excel_BuiltIn__FilterDatabase_5_5" localSheetId="11">'[8]4.A sz. melléklet'!#REF!</definedName>
    <definedName name="Excel_BuiltIn__FilterDatabase_5_5" localSheetId="14">'[9]4.A sz. melléklet'!#REF!</definedName>
    <definedName name="Excel_BuiltIn__FilterDatabase_5_5" localSheetId="16">'[8]4.A sz. melléklet'!#REF!</definedName>
    <definedName name="Excel_BuiltIn__FilterDatabase_5_5" localSheetId="5">'[8]4.A sz. melléklet'!#REF!</definedName>
    <definedName name="Excel_BuiltIn__FilterDatabase_5_5" localSheetId="4">'[8]4.A sz. melléklet'!#REF!</definedName>
    <definedName name="Excel_BuiltIn__FilterDatabase_5_5" localSheetId="6">"'[4]4.a sz. melléklet'!#ref!"</definedName>
    <definedName name="Excel_BuiltIn__FilterDatabase_5_5" localSheetId="7">'[8]4.A sz. melléklet'!#REF!</definedName>
    <definedName name="Excel_BuiltIn__FilterDatabase_5_5" localSheetId="8">'[8]4.A sz. melléklet'!#REF!</definedName>
    <definedName name="Excel_BuiltIn__FilterDatabase_5_5" localSheetId="9">'[8]4.A sz. melléklet'!#REF!</definedName>
    <definedName name="Excel_BuiltIn__FilterDatabase_5_5">'[8]4.A sz. melléklet'!#REF!</definedName>
    <definedName name="Excel_BuiltIn__FilterDatabase_5_6" localSheetId="10">'[8]4.B-C. sz. melléklet'!#REF!</definedName>
    <definedName name="Excel_BuiltIn__FilterDatabase_5_6" localSheetId="11">'[8]4.B-C. sz. melléklet'!#REF!</definedName>
    <definedName name="Excel_BuiltIn__FilterDatabase_5_6" localSheetId="14">'[9]4.B-C. sz. melléklet'!#REF!</definedName>
    <definedName name="Excel_BuiltIn__FilterDatabase_5_6" localSheetId="16">'[8]4.B-C. sz. melléklet'!#REF!</definedName>
    <definedName name="Excel_BuiltIn__FilterDatabase_5_6" localSheetId="5">'[8]4.B-C. sz. melléklet'!#REF!</definedName>
    <definedName name="Excel_BuiltIn__FilterDatabase_5_6" localSheetId="4">'[8]4.B-C. sz. melléklet'!#REF!</definedName>
    <definedName name="Excel_BuiltIn__FilterDatabase_5_6" localSheetId="6">"'[4]4.b-c. sz. melléklet'!#ref!"</definedName>
    <definedName name="Excel_BuiltIn__FilterDatabase_5_6" localSheetId="7">'[8]4.B-C. sz. melléklet'!#REF!</definedName>
    <definedName name="Excel_BuiltIn__FilterDatabase_5_6" localSheetId="8">'[8]4.B-C. sz. melléklet'!#REF!</definedName>
    <definedName name="Excel_BuiltIn__FilterDatabase_5_6" localSheetId="9">'[8]4.B-C. sz. melléklet'!#REF!</definedName>
    <definedName name="Excel_BuiltIn__FilterDatabase_5_6">'[8]4.B-C. sz. melléklet'!#REF!</definedName>
    <definedName name="Excel_BuiltIn__FilterDatabase_5_7" localSheetId="6">"NA()"</definedName>
    <definedName name="Excel_BuiltIn__FilterDatabase_5_7">NA()</definedName>
    <definedName name="Excel_BuiltIn__FilterDatabase_5_8" localSheetId="10">'[4]4. sz. melléklet'!#REF!</definedName>
    <definedName name="Excel_BuiltIn__FilterDatabase_5_8" localSheetId="11">'[4]4. sz. melléklet'!#REF!</definedName>
    <definedName name="Excel_BuiltIn__FilterDatabase_5_8" localSheetId="14">'[5]4. sz. melléklet'!#REF!</definedName>
    <definedName name="Excel_BuiltIn__FilterDatabase_5_8" localSheetId="16">'[4]4. sz. melléklet'!#REF!</definedName>
    <definedName name="Excel_BuiltIn__FilterDatabase_5_8" localSheetId="5">'[4]4. sz. melléklet'!#REF!</definedName>
    <definedName name="Excel_BuiltIn__FilterDatabase_5_8" localSheetId="4">'[4]4. sz. melléklet'!#REF!</definedName>
    <definedName name="Excel_BuiltIn__FilterDatabase_5_8" localSheetId="6">"'[2]4. sz. melléklet'!#ref!"</definedName>
    <definedName name="Excel_BuiltIn__FilterDatabase_5_8" localSheetId="7">'[4]4. sz. melléklet'!#REF!</definedName>
    <definedName name="Excel_BuiltIn__FilterDatabase_5_8" localSheetId="8">'[4]4. sz. melléklet'!#REF!</definedName>
    <definedName name="Excel_BuiltIn__FilterDatabase_5_8" localSheetId="9">'[4]4. sz. melléklet'!#REF!</definedName>
    <definedName name="Excel_BuiltIn__FilterDatabase_5_8">'[4]4. sz. melléklet'!#REF!</definedName>
    <definedName name="Excel_BuiltIn__FilterDatabase_5_9" localSheetId="10">'[4]4. sz. melléklet'!#REF!</definedName>
    <definedName name="Excel_BuiltIn__FilterDatabase_5_9" localSheetId="11">'[4]4. sz. melléklet'!#REF!</definedName>
    <definedName name="Excel_BuiltIn__FilterDatabase_5_9" localSheetId="14">'[5]4. sz. melléklet'!#REF!</definedName>
    <definedName name="Excel_BuiltIn__FilterDatabase_5_9" localSheetId="16">'[4]4. sz. melléklet'!#REF!</definedName>
    <definedName name="Excel_BuiltIn__FilterDatabase_5_9" localSheetId="5">'[4]4. sz. melléklet'!#REF!</definedName>
    <definedName name="Excel_BuiltIn__FilterDatabase_5_9" localSheetId="4">'[4]4. sz. melléklet'!#REF!</definedName>
    <definedName name="Excel_BuiltIn__FilterDatabase_5_9" localSheetId="6">"'[2]4. sz. melléklet'!#ref!"</definedName>
    <definedName name="Excel_BuiltIn__FilterDatabase_5_9" localSheetId="7">'[4]4. sz. melléklet'!#REF!</definedName>
    <definedName name="Excel_BuiltIn__FilterDatabase_5_9" localSheetId="8">'[4]4. sz. melléklet'!#REF!</definedName>
    <definedName name="Excel_BuiltIn__FilterDatabase_5_9" localSheetId="9">'[4]4. sz. melléklet'!#REF!</definedName>
    <definedName name="Excel_BuiltIn__FilterDatabase_5_9">'[4]4.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4">#REF!</definedName>
    <definedName name="Excel_BuiltIn_Print_Area_1" localSheetId="15">'14. sz. melléklet'!#REF!</definedName>
    <definedName name="Excel_BuiltIn_Print_Area_1" localSheetId="16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 localSheetId="4">#REF!</definedName>
    <definedName name="Excel_BuiltIn_Print_Area_1" localSheetId="6">NA()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 localSheetId="6">"NA()"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4">#REF!</definedName>
    <definedName name="Excel_BuiltIn_Print_Area_1_15" localSheetId="15">#REF!</definedName>
    <definedName name="Excel_BuiltIn_Print_Area_1_15" localSheetId="16">#REF!</definedName>
    <definedName name="Excel_BuiltIn_Print_Area_1_15" localSheetId="2">#REF!</definedName>
    <definedName name="Excel_BuiltIn_Print_Area_1_15" localSheetId="3">#REF!</definedName>
    <definedName name="Excel_BuiltIn_Print_Area_1_15" localSheetId="5">#REF!</definedName>
    <definedName name="Excel_BuiltIn_Print_Area_1_15" localSheetId="4">#REF!</definedName>
    <definedName name="Excel_BuiltIn_Print_Area_1_15" localSheetId="6">NA()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0">'[8]18.'!#REF!</definedName>
    <definedName name="Excel_BuiltIn_Print_Area_1_21" localSheetId="11">'[8]18.'!#REF!</definedName>
    <definedName name="Excel_BuiltIn_Print_Area_1_21" localSheetId="14">'[9]18.'!#REF!</definedName>
    <definedName name="Excel_BuiltIn_Print_Area_1_21" localSheetId="16">'[8]18.'!#REF!</definedName>
    <definedName name="Excel_BuiltIn_Print_Area_1_21" localSheetId="5">'[8]18.'!#REF!</definedName>
    <definedName name="Excel_BuiltIn_Print_Area_1_21" localSheetId="4">'[8]18.'!#REF!</definedName>
    <definedName name="Excel_BuiltIn_Print_Area_1_21" localSheetId="6">"'[4]18.'!#ref!"</definedName>
    <definedName name="Excel_BuiltIn_Print_Area_1_21" localSheetId="7">'[8]18.'!#REF!</definedName>
    <definedName name="Excel_BuiltIn_Print_Area_1_21" localSheetId="8">'[8]18.'!#REF!</definedName>
    <definedName name="Excel_BuiltIn_Print_Area_1_21" localSheetId="9">'[8]18.'!#REF!</definedName>
    <definedName name="Excel_BuiltIn_Print_Area_1_21">'[8]18.'!#REF!</definedName>
    <definedName name="Excel_BuiltIn_Print_Area_1_22" localSheetId="10">'[8]19.'!#REF!</definedName>
    <definedName name="Excel_BuiltIn_Print_Area_1_22" localSheetId="11">'[8]19.'!#REF!</definedName>
    <definedName name="Excel_BuiltIn_Print_Area_1_22" localSheetId="14">'[9]19.'!#REF!</definedName>
    <definedName name="Excel_BuiltIn_Print_Area_1_22" localSheetId="16">'[8]19.'!#REF!</definedName>
    <definedName name="Excel_BuiltIn_Print_Area_1_22" localSheetId="5">'[8]19.'!#REF!</definedName>
    <definedName name="Excel_BuiltIn_Print_Area_1_22" localSheetId="4">'[8]19.'!#REF!</definedName>
    <definedName name="Excel_BuiltIn_Print_Area_1_22" localSheetId="6">"'[4]19.'!#ref!"</definedName>
    <definedName name="Excel_BuiltIn_Print_Area_1_22" localSheetId="7">'[8]19.'!#REF!</definedName>
    <definedName name="Excel_BuiltIn_Print_Area_1_22" localSheetId="8">'[8]19.'!#REF!</definedName>
    <definedName name="Excel_BuiltIn_Print_Area_1_22" localSheetId="9">'[8]19.'!#REF!</definedName>
    <definedName name="Excel_BuiltIn_Print_Area_1_22">'[8]19.'!#REF!</definedName>
    <definedName name="Excel_BuiltIn_Print_Area_2" localSheetId="10">#REF!</definedName>
    <definedName name="Excel_BuiltIn_Print_Area_2" localSheetId="11">#REF!</definedName>
    <definedName name="Excel_BuiltIn_Print_Area_2" localSheetId="14">#REF!</definedName>
    <definedName name="Excel_BuiltIn_Print_Area_2" localSheetId="15">#REF!</definedName>
    <definedName name="Excel_BuiltIn_Print_Area_2" localSheetId="16">#REF!</definedName>
    <definedName name="Excel_BuiltIn_Print_Area_2" localSheetId="2">#REF!</definedName>
    <definedName name="Excel_BuiltIn_Print_Area_2" localSheetId="3">#REF!</definedName>
    <definedName name="Excel_BuiltIn_Print_Area_2" localSheetId="5">#REF!</definedName>
    <definedName name="Excel_BuiltIn_Print_Area_2" localSheetId="4">#REF!</definedName>
    <definedName name="Excel_BuiltIn_Print_Area_2" localSheetId="6">NA()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4">#REF!</definedName>
    <definedName name="Excel_BuiltIn_Print_Area_2_1" localSheetId="15">#REF!</definedName>
    <definedName name="Excel_BuiltIn_Print_Area_2_1" localSheetId="16">#REF!</definedName>
    <definedName name="Excel_BuiltIn_Print_Area_2_1" localSheetId="2">#REF!</definedName>
    <definedName name="Excel_BuiltIn_Print_Area_2_1" localSheetId="3">#REF!</definedName>
    <definedName name="Excel_BuiltIn_Print_Area_2_1" localSheetId="5">#REF!</definedName>
    <definedName name="Excel_BuiltIn_Print_Area_2_1" localSheetId="4">#REF!</definedName>
    <definedName name="Excel_BuiltIn_Print_Area_2_1" localSheetId="6">NA()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4">#REF!</definedName>
    <definedName name="Excel_BuiltIn_Print_Area_2_15" localSheetId="15">#REF!</definedName>
    <definedName name="Excel_BuiltIn_Print_Area_2_15" localSheetId="16">#REF!</definedName>
    <definedName name="Excel_BuiltIn_Print_Area_2_15" localSheetId="2">#REF!</definedName>
    <definedName name="Excel_BuiltIn_Print_Area_2_15" localSheetId="3">#REF!</definedName>
    <definedName name="Excel_BuiltIn_Print_Area_2_15" localSheetId="5">#REF!</definedName>
    <definedName name="Excel_BuiltIn_Print_Area_2_15" localSheetId="4">#REF!</definedName>
    <definedName name="Excel_BuiltIn_Print_Area_2_15" localSheetId="6">NA()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4">#REF!</definedName>
    <definedName name="Excel_BuiltIn_Print_Area_2_5" localSheetId="15">#REF!</definedName>
    <definedName name="Excel_BuiltIn_Print_Area_2_5" localSheetId="16">#REF!</definedName>
    <definedName name="Excel_BuiltIn_Print_Area_2_5" localSheetId="2">#REF!</definedName>
    <definedName name="Excel_BuiltIn_Print_Area_2_5" localSheetId="3">#REF!</definedName>
    <definedName name="Excel_BuiltIn_Print_Area_2_5" localSheetId="5">#REF!</definedName>
    <definedName name="Excel_BuiltIn_Print_Area_2_5" localSheetId="4">#REF!</definedName>
    <definedName name="Excel_BuiltIn_Print_Area_2_5" localSheetId="6">NA()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4">#REF!</definedName>
    <definedName name="Excel_BuiltIn_Print_Area_2_6" localSheetId="15">#REF!</definedName>
    <definedName name="Excel_BuiltIn_Print_Area_2_6" localSheetId="16">#REF!</definedName>
    <definedName name="Excel_BuiltIn_Print_Area_2_6" localSheetId="2">#REF!</definedName>
    <definedName name="Excel_BuiltIn_Print_Area_2_6" localSheetId="3">#REF!</definedName>
    <definedName name="Excel_BuiltIn_Print_Area_2_6" localSheetId="5">#REF!</definedName>
    <definedName name="Excel_BuiltIn_Print_Area_2_6" localSheetId="4">#REF!</definedName>
    <definedName name="Excel_BuiltIn_Print_Area_2_6" localSheetId="6">NA()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0">'[8]4.B-C. sz. melléklet'!#REF!</definedName>
    <definedName name="Excel_BuiltIn_Print_Titles_6" localSheetId="11">'[8]4.B-C. sz. melléklet'!#REF!</definedName>
    <definedName name="Excel_BuiltIn_Print_Titles_6" localSheetId="14">'[9]4.B-C. sz. melléklet'!#REF!</definedName>
    <definedName name="Excel_BuiltIn_Print_Titles_6" localSheetId="16">'[8]4.B-C. sz. melléklet'!#REF!</definedName>
    <definedName name="Excel_BuiltIn_Print_Titles_6" localSheetId="5">'[8]4.B-C. sz. melléklet'!#REF!</definedName>
    <definedName name="Excel_BuiltIn_Print_Titles_6" localSheetId="4">'[8]4.B-C. sz. melléklet'!#REF!</definedName>
    <definedName name="Excel_BuiltIn_Print_Titles_6" localSheetId="6">"'[4]4.b-c. sz. melléklet'!#ref!"</definedName>
    <definedName name="Excel_BuiltIn_Print_Titles_6" localSheetId="7">'[8]4.B-C. sz. melléklet'!#REF!</definedName>
    <definedName name="Excel_BuiltIn_Print_Titles_6" localSheetId="8">'[8]4.B-C. sz. melléklet'!#REF!</definedName>
    <definedName name="Excel_BuiltIn_Print_Titles_6" localSheetId="9">'[8]4.B-C. sz. melléklet'!#REF!</definedName>
    <definedName name="Excel_BuiltIn_Print_Titles_6">'[8]4.B-C. sz. melléklet'!#REF!</definedName>
    <definedName name="fff" localSheetId="10">#REF!</definedName>
    <definedName name="fff" localSheetId="11">#REF!</definedName>
    <definedName name="fff" localSheetId="14">#REF!</definedName>
    <definedName name="fff" localSheetId="16">#REF!</definedName>
    <definedName name="fff" localSheetId="5">#REF!</definedName>
    <definedName name="fff" localSheetId="4">#REF!</definedName>
    <definedName name="fff" localSheetId="6">NA()</definedName>
    <definedName name="fff" localSheetId="7">#REF!</definedName>
    <definedName name="fff" localSheetId="8">#REF!</definedName>
    <definedName name="fff" localSheetId="9">#REF!</definedName>
    <definedName name="fff">#REF!</definedName>
    <definedName name="melléklet" localSheetId="10">SUM(#REF!)-#REF!-#REF!-#REF!</definedName>
    <definedName name="melléklet" localSheetId="11">SUM(#REF!)-#REF!-#REF!-#REF!</definedName>
    <definedName name="melléklet" localSheetId="16">SUM(#REF!)-#REF!-#REF!-#REF!</definedName>
    <definedName name="melléklet" localSheetId="5">SUM(#REF!)-#REF!-#REF!-#REF!</definedName>
    <definedName name="melléklet" localSheetId="4">SUM(#REF!)-#REF!-#REF!-#REF!</definedName>
    <definedName name="melléklet" localSheetId="6">"SUM(#REF!)-#REF!-#REF!-#REF!)"</definedName>
    <definedName name="melléklet" localSheetId="7">SUM(#REF!)-#REF!-#REF!-#REF!</definedName>
    <definedName name="melléklet" localSheetId="8">SUM(#REF!)-#REF!-#REF!-#REF!</definedName>
    <definedName name="melléklet" localSheetId="9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5">'5.sz.melléklet Közös Hivata '!$6:$8</definedName>
    <definedName name="_xlnm.Print_Titles" localSheetId="4">'5.sz.melléklet Önkormányzat '!$4:$6</definedName>
    <definedName name="_xlnm.Print_Titles" localSheetId="7">'7. sz. melléklet'!$4:$4</definedName>
    <definedName name="_xlnm.Print_Area" localSheetId="0">'1. sz. melléklet'!$A$1:$J$54</definedName>
    <definedName name="_xlnm.Print_Area" localSheetId="10">'10. sz. melléklet'!$A$1:$F$118</definedName>
    <definedName name="_xlnm.Print_Area" localSheetId="11">'11. sz. melléklet '!$A$1:$D$117</definedName>
    <definedName name="_xlnm.Print_Area" localSheetId="12">'12. sz. melléklet'!$A$1:$D$41</definedName>
    <definedName name="_xlnm.Print_Area" localSheetId="14">'13. sz. melléklet 2. oldal'!$A$1:$L$18</definedName>
    <definedName name="_xlnm.Print_Area" localSheetId="15">'14. sz. melléklet'!$A$1:$I$17</definedName>
    <definedName name="_xlnm.Print_Area" localSheetId="16">'15. sz. melléklet'!$A$1:$H$101</definedName>
    <definedName name="_xlnm.Print_Area" localSheetId="17">'16. sz. melléklet'!$A$1:$D$30</definedName>
    <definedName name="_xlnm.Print_Area" localSheetId="1">'2. sz. melléklet'!$A$1:$H$69</definedName>
    <definedName name="_xlnm.Print_Area" localSheetId="2">'3. sz. melléklet'!$A$1:$M$50</definedName>
    <definedName name="_xlnm.Print_Area" localSheetId="3">'4.sz. melléklet'!$C$1:$O$33</definedName>
    <definedName name="_xlnm.Print_Area" localSheetId="7">'7. sz. melléklet'!$A$1:$K$144</definedName>
    <definedName name="_xlnm.Print_Area" localSheetId="8">'8. sz. melléklet'!$A$1:$M$75</definedName>
    <definedName name="_xlnm.Print_Area" localSheetId="9">'9. sz. melléklet'!$A$1:$D$24</definedName>
    <definedName name="Print_Area" localSheetId="6">#REF!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4">SUM(#REF!,#REF!,#REF!,#REF!,#REF!,#REF!)</definedName>
    <definedName name="SHARED_FORMULA_1_10_1_10_2" localSheetId="16">SUM(#REF!,#REF!,#REF!,#REF!,#REF!,#REF!)</definedName>
    <definedName name="SHARED_FORMULA_1_10_1_10_2" localSheetId="5">SUM(#REF!,#REF!,#REF!,#REF!,#REF!,#REF!)</definedName>
    <definedName name="SHARED_FORMULA_1_10_1_10_2" localSheetId="4">SUM(#REF!,#REF!,#REF!,#REF!,#REF!,#REF!)</definedName>
    <definedName name="SHARED_FORMULA_1_10_1_10_2" localSheetId="6">"SUM(#REF!,#REF!,#REF!,#REF!,#REF!,#REF!))"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 localSheetId="9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4">SUM(#REF!,#REF!,#REF!)</definedName>
    <definedName name="SHARED_FORMULA_1_26_1_26_2" localSheetId="16">SUM(#REF!,#REF!,#REF!)</definedName>
    <definedName name="SHARED_FORMULA_1_26_1_26_2" localSheetId="5">SUM(#REF!,#REF!,#REF!)</definedName>
    <definedName name="SHARED_FORMULA_1_26_1_26_2" localSheetId="4">SUM(#REF!,#REF!,#REF!)</definedName>
    <definedName name="SHARED_FORMULA_1_26_1_26_2" localSheetId="6">"SUM(#REF!,#REF!,#REF!))"</definedName>
    <definedName name="SHARED_FORMULA_1_26_1_26_2" localSheetId="7">SUM(#REF!,#REF!,#REF!)</definedName>
    <definedName name="SHARED_FORMULA_1_26_1_26_2" localSheetId="8">SUM(#REF!,#REF!,#REF!)</definedName>
    <definedName name="SHARED_FORMULA_1_26_1_26_2" localSheetId="9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4">SUM(#REF!)</definedName>
    <definedName name="SHARED_FORMULA_1_38_1_38_8" localSheetId="16">SUM(#REF!)</definedName>
    <definedName name="SHARED_FORMULA_1_38_1_38_8" localSheetId="5">SUM(#REF!)</definedName>
    <definedName name="SHARED_FORMULA_1_38_1_38_8" localSheetId="4">SUM(#REF!)</definedName>
    <definedName name="SHARED_FORMULA_1_38_1_38_8" localSheetId="6">"SUM(#REF!))"</definedName>
    <definedName name="SHARED_FORMULA_1_38_1_38_8" localSheetId="7">SUM(#REF!)</definedName>
    <definedName name="SHARED_FORMULA_1_38_1_38_8" localSheetId="8">SUM(#REF!)</definedName>
    <definedName name="SHARED_FORMULA_1_38_1_38_8" localSheetId="9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4">SUM(#REF!,#REF!)</definedName>
    <definedName name="SHARED_FORMULA_1_42_1_42_8" localSheetId="16">SUM(#REF!,#REF!)</definedName>
    <definedName name="SHARED_FORMULA_1_42_1_42_8" localSheetId="5">SUM(#REF!,#REF!)</definedName>
    <definedName name="SHARED_FORMULA_1_42_1_42_8" localSheetId="4">SUM(#REF!,#REF!)</definedName>
    <definedName name="SHARED_FORMULA_1_42_1_42_8" localSheetId="6">"SUM(#REF!,#REF!))"</definedName>
    <definedName name="SHARED_FORMULA_1_42_1_42_8" localSheetId="7">SUM(#REF!,#REF!)</definedName>
    <definedName name="SHARED_FORMULA_1_42_1_42_8" localSheetId="8">SUM(#REF!,#REF!)</definedName>
    <definedName name="SHARED_FORMULA_1_42_1_42_8" localSheetId="9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4">SUM(#REF!+#REF!+#REF!)</definedName>
    <definedName name="SHARED_FORMULA_10_41_10_41_2" localSheetId="16">SUM(#REF!+#REF!+#REF!)</definedName>
    <definedName name="SHARED_FORMULA_10_41_10_41_2" localSheetId="5">SUM(#REF!+#REF!+#REF!)</definedName>
    <definedName name="SHARED_FORMULA_10_41_10_41_2" localSheetId="4">SUM(#REF!+#REF!+#REF!)</definedName>
    <definedName name="SHARED_FORMULA_10_41_10_41_2" localSheetId="6">"SUM(#REF!+#REF!+#REF!))"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 localSheetId="9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4">SUM(#REF!+#REF!+#REF!)</definedName>
    <definedName name="SHARED_FORMULA_10_5_10_5_2" localSheetId="16">SUM(#REF!+#REF!+#REF!)</definedName>
    <definedName name="SHARED_FORMULA_10_5_10_5_2" localSheetId="5">SUM(#REF!+#REF!+#REF!)</definedName>
    <definedName name="SHARED_FORMULA_10_5_10_5_2" localSheetId="4">SUM(#REF!+#REF!+#REF!)</definedName>
    <definedName name="SHARED_FORMULA_10_5_10_5_2" localSheetId="6">"SUM(#REF!+#REF!+#REF!))"</definedName>
    <definedName name="SHARED_FORMULA_10_5_10_5_2" localSheetId="7">SUM(#REF!+#REF!+#REF!)</definedName>
    <definedName name="SHARED_FORMULA_10_5_10_5_2" localSheetId="8">SUM(#REF!+#REF!+#REF!)</definedName>
    <definedName name="SHARED_FORMULA_10_5_10_5_2" localSheetId="9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4">SUM(#REF!+#REF!+#REF!)</definedName>
    <definedName name="SHARED_FORMULA_11_40_11_40_2" localSheetId="16">SUM(#REF!+#REF!+#REF!)</definedName>
    <definedName name="SHARED_FORMULA_11_40_11_40_2" localSheetId="5">SUM(#REF!+#REF!+#REF!)</definedName>
    <definedName name="SHARED_FORMULA_11_40_11_40_2" localSheetId="4">SUM(#REF!+#REF!+#REF!)</definedName>
    <definedName name="SHARED_FORMULA_11_40_11_40_2" localSheetId="6">"SUM(#REF!+#REF!+#REF!))"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 localSheetId="9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4">SUM(#REF!+#REF!+#REF!)</definedName>
    <definedName name="SHARED_FORMULA_11_5_11_5_2" localSheetId="16">SUM(#REF!+#REF!+#REF!)</definedName>
    <definedName name="SHARED_FORMULA_11_5_11_5_2" localSheetId="5">SUM(#REF!+#REF!+#REF!)</definedName>
    <definedName name="SHARED_FORMULA_11_5_11_5_2" localSheetId="4">SUM(#REF!+#REF!+#REF!)</definedName>
    <definedName name="SHARED_FORMULA_11_5_11_5_2" localSheetId="6">"SUM(#REF!+#REF!+#REF!))"</definedName>
    <definedName name="SHARED_FORMULA_11_5_11_5_2" localSheetId="7">SUM(#REF!+#REF!+#REF!)</definedName>
    <definedName name="SHARED_FORMULA_11_5_11_5_2" localSheetId="8">SUM(#REF!+#REF!+#REF!)</definedName>
    <definedName name="SHARED_FORMULA_11_5_11_5_2" localSheetId="9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4">SUM(#REF!+#REF!+#REF!)</definedName>
    <definedName name="SHARED_FORMULA_12_13_12_13_3" localSheetId="16">SUM(#REF!+#REF!+#REF!)</definedName>
    <definedName name="SHARED_FORMULA_12_13_12_13_3" localSheetId="5">SUM(#REF!+#REF!+#REF!)</definedName>
    <definedName name="SHARED_FORMULA_12_13_12_13_3" localSheetId="4">SUM(#REF!+#REF!+#REF!)</definedName>
    <definedName name="SHARED_FORMULA_12_13_12_13_3" localSheetId="6">"SUM(#REF!+#REF!+#REF!))"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 localSheetId="9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4">SUM(#REF!)-#REF!-#REF!-#REF!</definedName>
    <definedName name="SHARED_FORMULA_12_133_12_133_5" localSheetId="16">SUM(#REF!)-#REF!-#REF!-#REF!</definedName>
    <definedName name="SHARED_FORMULA_12_133_12_133_5" localSheetId="5">SUM(#REF!)-#REF!-#REF!-#REF!</definedName>
    <definedName name="SHARED_FORMULA_12_133_12_133_5" localSheetId="4">SUM(#REF!)-#REF!-#REF!-#REF!</definedName>
    <definedName name="SHARED_FORMULA_12_133_12_133_5" localSheetId="6">"SUM(#REF!)-#REF!-#REF!-#REF!)"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 localSheetId="9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4">SUM(#REF!+#REF!+#REF!)</definedName>
    <definedName name="SHARED_FORMULA_12_40_12_40_2" localSheetId="16">SUM(#REF!+#REF!+#REF!)</definedName>
    <definedName name="SHARED_FORMULA_12_40_12_40_2" localSheetId="5">SUM(#REF!+#REF!+#REF!)</definedName>
    <definedName name="SHARED_FORMULA_12_40_12_40_2" localSheetId="4">SUM(#REF!+#REF!+#REF!)</definedName>
    <definedName name="SHARED_FORMULA_12_40_12_40_2" localSheetId="6">"SUM(#REF!+#REF!+#REF!))"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 localSheetId="9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4">SUM(#REF!+#REF!+#REF!)</definedName>
    <definedName name="SHARED_FORMULA_12_5_12_5_2" localSheetId="16">SUM(#REF!+#REF!+#REF!)</definedName>
    <definedName name="SHARED_FORMULA_12_5_12_5_2" localSheetId="5">SUM(#REF!+#REF!+#REF!)</definedName>
    <definedName name="SHARED_FORMULA_12_5_12_5_2" localSheetId="4">SUM(#REF!+#REF!+#REF!)</definedName>
    <definedName name="SHARED_FORMULA_12_5_12_5_2" localSheetId="6">"SUM(#REF!+#REF!+#REF!))"</definedName>
    <definedName name="SHARED_FORMULA_12_5_12_5_2" localSheetId="7">SUM(#REF!+#REF!+#REF!)</definedName>
    <definedName name="SHARED_FORMULA_12_5_12_5_2" localSheetId="8">SUM(#REF!+#REF!+#REF!)</definedName>
    <definedName name="SHARED_FORMULA_12_5_12_5_2" localSheetId="9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4">SUM(#REF!+#REF!+#REF!)</definedName>
    <definedName name="SHARED_FORMULA_12_5_12_5_3" localSheetId="16">SUM(#REF!+#REF!+#REF!)</definedName>
    <definedName name="SHARED_FORMULA_12_5_12_5_3" localSheetId="5">SUM(#REF!+#REF!+#REF!)</definedName>
    <definedName name="SHARED_FORMULA_12_5_12_5_3" localSheetId="4">SUM(#REF!+#REF!+#REF!)</definedName>
    <definedName name="SHARED_FORMULA_12_5_12_5_3" localSheetId="6">"SUM(#REF!+#REF!+#REF!))"</definedName>
    <definedName name="SHARED_FORMULA_12_5_12_5_3" localSheetId="7">SUM(#REF!+#REF!+#REF!)</definedName>
    <definedName name="SHARED_FORMULA_12_5_12_5_3" localSheetId="8">SUM(#REF!+#REF!+#REF!)</definedName>
    <definedName name="SHARED_FORMULA_12_5_12_5_3" localSheetId="9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4">#REF!/#REF!*100</definedName>
    <definedName name="SHARED_FORMULA_12_6_12_6_0" localSheetId="16">#REF!/#REF!*100</definedName>
    <definedName name="SHARED_FORMULA_12_6_12_6_0" localSheetId="5">#REF!/#REF!*100</definedName>
    <definedName name="SHARED_FORMULA_12_6_12_6_0" localSheetId="4">#REF!/#REF!*100</definedName>
    <definedName name="SHARED_FORMULA_12_6_12_6_0" localSheetId="6">"#REF!/#REF!*100"</definedName>
    <definedName name="SHARED_FORMULA_12_6_12_6_0" localSheetId="7">#REF!/#REF!*100</definedName>
    <definedName name="SHARED_FORMULA_12_6_12_6_0" localSheetId="8">#REF!/#REF!*100</definedName>
    <definedName name="SHARED_FORMULA_12_6_12_6_0" localSheetId="9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4">SUM(#REF!)-#REF!</definedName>
    <definedName name="SHARED_FORMULA_13_105_13_105_5" localSheetId="16">SUM(#REF!)-#REF!</definedName>
    <definedName name="SHARED_FORMULA_13_105_13_105_5" localSheetId="5">SUM(#REF!)-#REF!</definedName>
    <definedName name="SHARED_FORMULA_13_105_13_105_5" localSheetId="4">SUM(#REF!)-#REF!</definedName>
    <definedName name="SHARED_FORMULA_13_105_13_105_5" localSheetId="6">"SUM(#REF!)-#REF!)"</definedName>
    <definedName name="SHARED_FORMULA_13_105_13_105_5" localSheetId="7">SUM(#REF!)-#REF!</definedName>
    <definedName name="SHARED_FORMULA_13_105_13_105_5" localSheetId="8">SUM(#REF!)-#REF!</definedName>
    <definedName name="SHARED_FORMULA_13_105_13_105_5" localSheetId="9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4">SUM(#REF!)-#REF!</definedName>
    <definedName name="SHARED_FORMULA_13_3_13_3_5" localSheetId="16">SUM(#REF!)-#REF!</definedName>
    <definedName name="SHARED_FORMULA_13_3_13_3_5" localSheetId="5">SUM(#REF!)-#REF!</definedName>
    <definedName name="SHARED_FORMULA_13_3_13_3_5" localSheetId="4">SUM(#REF!)-#REF!</definedName>
    <definedName name="SHARED_FORMULA_13_3_13_3_5" localSheetId="6">"SUM(#REF!)-#REF!)"</definedName>
    <definedName name="SHARED_FORMULA_13_3_13_3_5" localSheetId="7">SUM(#REF!)-#REF!</definedName>
    <definedName name="SHARED_FORMULA_13_3_13_3_5" localSheetId="8">SUM(#REF!)-#REF!</definedName>
    <definedName name="SHARED_FORMULA_13_3_13_3_5" localSheetId="9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4">SUM(#REF!)-#REF!</definedName>
    <definedName name="SHARED_FORMULA_13_41_13_41_5" localSheetId="16">SUM(#REF!)-#REF!</definedName>
    <definedName name="SHARED_FORMULA_13_41_13_41_5" localSheetId="5">SUM(#REF!)-#REF!</definedName>
    <definedName name="SHARED_FORMULA_13_41_13_41_5" localSheetId="4">SUM(#REF!)-#REF!</definedName>
    <definedName name="SHARED_FORMULA_13_41_13_41_5" localSheetId="6">"SUM(#REF!)-#REF!)"</definedName>
    <definedName name="SHARED_FORMULA_13_41_13_41_5" localSheetId="7">SUM(#REF!)-#REF!</definedName>
    <definedName name="SHARED_FORMULA_13_41_13_41_5" localSheetId="8">SUM(#REF!)-#REF!</definedName>
    <definedName name="SHARED_FORMULA_13_41_13_41_5" localSheetId="9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4">SUM(#REF!)-#REF!</definedName>
    <definedName name="SHARED_FORMULA_13_73_13_73_5" localSheetId="16">SUM(#REF!)-#REF!</definedName>
    <definedName name="SHARED_FORMULA_13_73_13_73_5" localSheetId="5">SUM(#REF!)-#REF!</definedName>
    <definedName name="SHARED_FORMULA_13_73_13_73_5" localSheetId="4">SUM(#REF!)-#REF!</definedName>
    <definedName name="SHARED_FORMULA_13_73_13_73_5" localSheetId="6">"SUM(#REF!)-#REF!)"</definedName>
    <definedName name="SHARED_FORMULA_13_73_13_73_5" localSheetId="7">SUM(#REF!)-#REF!</definedName>
    <definedName name="SHARED_FORMULA_13_73_13_73_5" localSheetId="8">SUM(#REF!)-#REF!</definedName>
    <definedName name="SHARED_FORMULA_13_73_13_73_5" localSheetId="9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4">SUM(#REF!+#REF!+#REF!)</definedName>
    <definedName name="SHARED_FORMULA_13_9_13_9_3" localSheetId="16">SUM(#REF!+#REF!+#REF!)</definedName>
    <definedName name="SHARED_FORMULA_13_9_13_9_3" localSheetId="5">SUM(#REF!+#REF!+#REF!)</definedName>
    <definedName name="SHARED_FORMULA_13_9_13_9_3" localSheetId="4">SUM(#REF!+#REF!+#REF!)</definedName>
    <definedName name="SHARED_FORMULA_13_9_13_9_3" localSheetId="6">"SUM(#REF!+#REF!+#REF!))"</definedName>
    <definedName name="SHARED_FORMULA_13_9_13_9_3" localSheetId="7">SUM(#REF!+#REF!+#REF!)</definedName>
    <definedName name="SHARED_FORMULA_13_9_13_9_3" localSheetId="8">SUM(#REF!+#REF!+#REF!)</definedName>
    <definedName name="SHARED_FORMULA_13_9_13_9_3" localSheetId="9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4">#REF!</definedName>
    <definedName name="SHARED_FORMULA_14_102_14_102_5" localSheetId="16">#REF!</definedName>
    <definedName name="SHARED_FORMULA_14_102_14_102_5" localSheetId="5">#REF!</definedName>
    <definedName name="SHARED_FORMULA_14_102_14_102_5" localSheetId="4">#REF!</definedName>
    <definedName name="SHARED_FORMULA_14_102_14_102_5" localSheetId="6">NA()</definedName>
    <definedName name="SHARED_FORMULA_14_102_14_102_5" localSheetId="7">#REF!</definedName>
    <definedName name="SHARED_FORMULA_14_102_14_102_5" localSheetId="8">#REF!</definedName>
    <definedName name="SHARED_FORMULA_14_102_14_102_5" localSheetId="9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4">#REF!+#REF!+#REF!+#REF!</definedName>
    <definedName name="SHARED_FORMULA_14_121_14_121_5" localSheetId="16">#REF!+#REF!+#REF!+#REF!</definedName>
    <definedName name="SHARED_FORMULA_14_121_14_121_5" localSheetId="5">#REF!+#REF!+#REF!+#REF!</definedName>
    <definedName name="SHARED_FORMULA_14_121_14_121_5" localSheetId="4">#REF!+#REF!+#REF!+#REF!</definedName>
    <definedName name="SHARED_FORMULA_14_121_14_121_5" localSheetId="6">"#REF!+#REF!+#REF!+#REF!"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 localSheetId="9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4">#REF!+#REF!+#REF!+#REF!+#REF!+#REF!+#REF!+#REF!+#REF!+#REF!+#REF!+#REF!+#REF!+#REF!+#REF!+#REF!+#REF!+#REF!+#REF!+#REF!+#REF!+#REF!+#REF!</definedName>
    <definedName name="SHARED_FORMULA_14_131_14_131_5" localSheetId="16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 localSheetId="4">#REF!+#REF!+#REF!+#REF!+#REF!+#REF!+#REF!+#REF!+#REF!+#REF!+#REF!+#REF!+#REF!+#REF!+#REF!+#REF!+#REF!+#REF!+#REF!+#REF!+#REF!+#REF!+#REF!</definedName>
    <definedName name="SHARED_FORMULA_14_131_14_131_5" localSheetId="6">"#REF!+#REF!+#REF!+#REF!+#REF!+#REF!+#REF!+#REF!+#REF!+#REF!+#REF!+#REF!+#REF!+#REF!+#REF!+#REF!+#REF!+#REF!+#REF!+#REF!+#REF!+#REF!+#REF!"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 localSheetId="9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4">#REF!+#REF!</definedName>
    <definedName name="SHARED_FORMULA_14_150_14_150_5" localSheetId="16">#REF!+#REF!</definedName>
    <definedName name="SHARED_FORMULA_14_150_14_150_5" localSheetId="5">#REF!+#REF!</definedName>
    <definedName name="SHARED_FORMULA_14_150_14_150_5" localSheetId="4">#REF!+#REF!</definedName>
    <definedName name="SHARED_FORMULA_14_150_14_150_5" localSheetId="6">"#REF!+#REF!"</definedName>
    <definedName name="SHARED_FORMULA_14_150_14_150_5" localSheetId="7">#REF!+#REF!</definedName>
    <definedName name="SHARED_FORMULA_14_150_14_150_5" localSheetId="8">#REF!+#REF!</definedName>
    <definedName name="SHARED_FORMULA_14_150_14_150_5" localSheetId="9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4">#REF!-#REF!</definedName>
    <definedName name="SHARED_FORMULA_14_151_14_151_5" localSheetId="16">#REF!-#REF!</definedName>
    <definedName name="SHARED_FORMULA_14_151_14_151_5" localSheetId="5">#REF!-#REF!</definedName>
    <definedName name="SHARED_FORMULA_14_151_14_151_5" localSheetId="4">#REF!-#REF!</definedName>
    <definedName name="SHARED_FORMULA_14_151_14_151_5" localSheetId="6">"#REF!-#REF!"</definedName>
    <definedName name="SHARED_FORMULA_14_151_14_151_5" localSheetId="7">#REF!-#REF!</definedName>
    <definedName name="SHARED_FORMULA_14_151_14_151_5" localSheetId="8">#REF!-#REF!</definedName>
    <definedName name="SHARED_FORMULA_14_151_14_151_5" localSheetId="9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4">#REF!+#REF!+#REF!+#REF!</definedName>
    <definedName name="SHARED_FORMULA_14_71_14_71_5" localSheetId="16">#REF!+#REF!+#REF!+#REF!</definedName>
    <definedName name="SHARED_FORMULA_14_71_14_71_5" localSheetId="5">#REF!+#REF!+#REF!+#REF!</definedName>
    <definedName name="SHARED_FORMULA_14_71_14_71_5" localSheetId="4">#REF!+#REF!+#REF!+#REF!</definedName>
    <definedName name="SHARED_FORMULA_14_71_14_71_5" localSheetId="6">"#REF!+#REF!+#REF!+#REF!"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 localSheetId="9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4">#REF!+#REF!+#REF!+#REF!</definedName>
    <definedName name="SHARED_FORMULA_14_72_14_72_5" localSheetId="16">#REF!+#REF!+#REF!+#REF!</definedName>
    <definedName name="SHARED_FORMULA_14_72_14_72_5" localSheetId="5">#REF!+#REF!+#REF!+#REF!</definedName>
    <definedName name="SHARED_FORMULA_14_72_14_72_5" localSheetId="4">#REF!+#REF!+#REF!+#REF!</definedName>
    <definedName name="SHARED_FORMULA_14_72_14_72_5" localSheetId="6">"#REF!+#REF!+#REF!+#REF!"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 localSheetId="9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4">#REF!+#REF!+#REF!+#REF!</definedName>
    <definedName name="SHARED_FORMULA_14_73_14_73_5" localSheetId="16">#REF!+#REF!+#REF!+#REF!</definedName>
    <definedName name="SHARED_FORMULA_14_73_14_73_5" localSheetId="5">#REF!+#REF!+#REF!+#REF!</definedName>
    <definedName name="SHARED_FORMULA_14_73_14_73_5" localSheetId="4">#REF!+#REF!+#REF!+#REF!</definedName>
    <definedName name="SHARED_FORMULA_14_73_14_73_5" localSheetId="6">"#REF!+#REF!+#REF!+#REF!"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 localSheetId="9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4">#REF!+#REF!+#REF!+#REF!</definedName>
    <definedName name="SHARED_FORMULA_14_74_14_74_5" localSheetId="16">#REF!+#REF!+#REF!+#REF!</definedName>
    <definedName name="SHARED_FORMULA_14_74_14_74_5" localSheetId="5">#REF!+#REF!+#REF!+#REF!</definedName>
    <definedName name="SHARED_FORMULA_14_74_14_74_5" localSheetId="4">#REF!+#REF!+#REF!+#REF!</definedName>
    <definedName name="SHARED_FORMULA_14_74_14_74_5" localSheetId="6">"#REF!+#REF!+#REF!+#REF!"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 localSheetId="9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4">#REF!+#REF!+#REF!+#REF!</definedName>
    <definedName name="SHARED_FORMULA_14_75_14_75_5" localSheetId="16">#REF!+#REF!+#REF!+#REF!</definedName>
    <definedName name="SHARED_FORMULA_14_75_14_75_5" localSheetId="5">#REF!+#REF!+#REF!+#REF!</definedName>
    <definedName name="SHARED_FORMULA_14_75_14_75_5" localSheetId="4">#REF!+#REF!+#REF!+#REF!</definedName>
    <definedName name="SHARED_FORMULA_14_75_14_75_5" localSheetId="6">"#REF!+#REF!+#REF!+#REF!"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 localSheetId="9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4">#REF!+#REF!</definedName>
    <definedName name="SHARED_FORMULA_14_86_14_86_5" localSheetId="16">#REF!+#REF!</definedName>
    <definedName name="SHARED_FORMULA_14_86_14_86_5" localSheetId="5">#REF!+#REF!</definedName>
    <definedName name="SHARED_FORMULA_14_86_14_86_5" localSheetId="4">#REF!+#REF!</definedName>
    <definedName name="SHARED_FORMULA_14_86_14_86_5" localSheetId="6">"#REF!+#REF!"</definedName>
    <definedName name="SHARED_FORMULA_14_86_14_86_5" localSheetId="7">#REF!+#REF!</definedName>
    <definedName name="SHARED_FORMULA_14_86_14_86_5" localSheetId="8">#REF!+#REF!</definedName>
    <definedName name="SHARED_FORMULA_14_86_14_86_5" localSheetId="9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4">SUM(#REF!+#REF!+#REF!)</definedName>
    <definedName name="SHARED_FORMULA_14_9_14_9_3" localSheetId="16">SUM(#REF!+#REF!+#REF!)</definedName>
    <definedName name="SHARED_FORMULA_14_9_14_9_3" localSheetId="5">SUM(#REF!+#REF!+#REF!)</definedName>
    <definedName name="SHARED_FORMULA_14_9_14_9_3" localSheetId="4">SUM(#REF!+#REF!+#REF!)</definedName>
    <definedName name="SHARED_FORMULA_14_9_14_9_3" localSheetId="6">"SUM(#REF!+#REF!+#REF!))"</definedName>
    <definedName name="SHARED_FORMULA_14_9_14_9_3" localSheetId="7">SUM(#REF!+#REF!+#REF!)</definedName>
    <definedName name="SHARED_FORMULA_14_9_14_9_3" localSheetId="8">SUM(#REF!+#REF!+#REF!)</definedName>
    <definedName name="SHARED_FORMULA_14_9_14_9_3" localSheetId="9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4">#REF!</definedName>
    <definedName name="SHARED_FORMULA_16_112_16_112_5" localSheetId="16">#REF!</definedName>
    <definedName name="SHARED_FORMULA_16_112_16_112_5" localSheetId="5">#REF!</definedName>
    <definedName name="SHARED_FORMULA_16_112_16_112_5" localSheetId="4">#REF!</definedName>
    <definedName name="SHARED_FORMULA_16_112_16_112_5" localSheetId="6">NA()</definedName>
    <definedName name="SHARED_FORMULA_16_112_16_112_5" localSheetId="7">#REF!</definedName>
    <definedName name="SHARED_FORMULA_16_112_16_112_5" localSheetId="8">#REF!</definedName>
    <definedName name="SHARED_FORMULA_16_112_16_112_5" localSheetId="9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4">#REF!</definedName>
    <definedName name="SHARED_FORMULA_17_108_17_108_5" localSheetId="16">#REF!</definedName>
    <definedName name="SHARED_FORMULA_17_108_17_108_5" localSheetId="5">#REF!</definedName>
    <definedName name="SHARED_FORMULA_17_108_17_108_5" localSheetId="4">#REF!</definedName>
    <definedName name="SHARED_FORMULA_17_108_17_108_5" localSheetId="6">NA()</definedName>
    <definedName name="SHARED_FORMULA_17_108_17_108_5" localSheetId="7">#REF!</definedName>
    <definedName name="SHARED_FORMULA_17_108_17_108_5" localSheetId="8">#REF!</definedName>
    <definedName name="SHARED_FORMULA_17_108_17_108_5" localSheetId="9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4">#REF!</definedName>
    <definedName name="SHARED_FORMULA_17_117_17_117_5" localSheetId="16">#REF!</definedName>
    <definedName name="SHARED_FORMULA_17_117_17_117_5" localSheetId="5">#REF!</definedName>
    <definedName name="SHARED_FORMULA_17_117_17_117_5" localSheetId="4">#REF!</definedName>
    <definedName name="SHARED_FORMULA_17_117_17_117_5" localSheetId="6">NA()</definedName>
    <definedName name="SHARED_FORMULA_17_117_17_117_5" localSheetId="7">#REF!</definedName>
    <definedName name="SHARED_FORMULA_17_117_17_117_5" localSheetId="8">#REF!</definedName>
    <definedName name="SHARED_FORMULA_17_117_17_117_5" localSheetId="9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4">#REF!</definedName>
    <definedName name="SHARED_FORMULA_17_127_17_127_5" localSheetId="16">#REF!</definedName>
    <definedName name="SHARED_FORMULA_17_127_17_127_5" localSheetId="5">#REF!</definedName>
    <definedName name="SHARED_FORMULA_17_127_17_127_5" localSheetId="4">#REF!</definedName>
    <definedName name="SHARED_FORMULA_17_127_17_127_5" localSheetId="6">NA()</definedName>
    <definedName name="SHARED_FORMULA_17_127_17_127_5" localSheetId="7">#REF!</definedName>
    <definedName name="SHARED_FORMULA_17_127_17_127_5" localSheetId="8">#REF!</definedName>
    <definedName name="SHARED_FORMULA_17_127_17_127_5" localSheetId="9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4">#REF!</definedName>
    <definedName name="SHARED_FORMULA_17_22_17_22_5" localSheetId="16">#REF!</definedName>
    <definedName name="SHARED_FORMULA_17_22_17_22_5" localSheetId="5">#REF!</definedName>
    <definedName name="SHARED_FORMULA_17_22_17_22_5" localSheetId="4">#REF!</definedName>
    <definedName name="SHARED_FORMULA_17_22_17_22_5" localSheetId="6">NA()</definedName>
    <definedName name="SHARED_FORMULA_17_22_17_22_5" localSheetId="7">#REF!</definedName>
    <definedName name="SHARED_FORMULA_17_22_17_22_5" localSheetId="8">#REF!</definedName>
    <definedName name="SHARED_FORMULA_17_22_17_22_5" localSheetId="9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4">#REF!</definedName>
    <definedName name="SHARED_FORMULA_17_27_17_27_5" localSheetId="16">#REF!</definedName>
    <definedName name="SHARED_FORMULA_17_27_17_27_5" localSheetId="5">#REF!</definedName>
    <definedName name="SHARED_FORMULA_17_27_17_27_5" localSheetId="4">#REF!</definedName>
    <definedName name="SHARED_FORMULA_17_27_17_27_5" localSheetId="6">NA()</definedName>
    <definedName name="SHARED_FORMULA_17_27_17_27_5" localSheetId="7">#REF!</definedName>
    <definedName name="SHARED_FORMULA_17_27_17_27_5" localSheetId="8">#REF!</definedName>
    <definedName name="SHARED_FORMULA_17_27_17_27_5" localSheetId="9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4">#REF!</definedName>
    <definedName name="SHARED_FORMULA_17_32_17_32_5" localSheetId="16">#REF!</definedName>
    <definedName name="SHARED_FORMULA_17_32_17_32_5" localSheetId="5">#REF!</definedName>
    <definedName name="SHARED_FORMULA_17_32_17_32_5" localSheetId="4">#REF!</definedName>
    <definedName name="SHARED_FORMULA_17_32_17_32_5" localSheetId="6">NA()</definedName>
    <definedName name="SHARED_FORMULA_17_32_17_32_5" localSheetId="7">#REF!</definedName>
    <definedName name="SHARED_FORMULA_17_32_17_32_5" localSheetId="8">#REF!</definedName>
    <definedName name="SHARED_FORMULA_17_32_17_32_5" localSheetId="9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4">#REF!</definedName>
    <definedName name="SHARED_FORMULA_17_37_17_37_5" localSheetId="16">#REF!</definedName>
    <definedName name="SHARED_FORMULA_17_37_17_37_5" localSheetId="5">#REF!</definedName>
    <definedName name="SHARED_FORMULA_17_37_17_37_5" localSheetId="4">#REF!</definedName>
    <definedName name="SHARED_FORMULA_17_37_17_37_5" localSheetId="6">NA()</definedName>
    <definedName name="SHARED_FORMULA_17_37_17_37_5" localSheetId="7">#REF!</definedName>
    <definedName name="SHARED_FORMULA_17_37_17_37_5" localSheetId="8">#REF!</definedName>
    <definedName name="SHARED_FORMULA_17_37_17_37_5" localSheetId="9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4">#REF!</definedName>
    <definedName name="SHARED_FORMULA_17_4_17_4_5" localSheetId="16">#REF!</definedName>
    <definedName name="SHARED_FORMULA_17_4_17_4_5" localSheetId="5">#REF!</definedName>
    <definedName name="SHARED_FORMULA_17_4_17_4_5" localSheetId="4">#REF!</definedName>
    <definedName name="SHARED_FORMULA_17_4_17_4_5" localSheetId="6">NA()</definedName>
    <definedName name="SHARED_FORMULA_17_4_17_4_5" localSheetId="7">#REF!</definedName>
    <definedName name="SHARED_FORMULA_17_4_17_4_5" localSheetId="8">#REF!</definedName>
    <definedName name="SHARED_FORMULA_17_4_17_4_5" localSheetId="9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4">#REF!</definedName>
    <definedName name="SHARED_FORMULA_17_43_17_43_5" localSheetId="16">#REF!</definedName>
    <definedName name="SHARED_FORMULA_17_43_17_43_5" localSheetId="5">#REF!</definedName>
    <definedName name="SHARED_FORMULA_17_43_17_43_5" localSheetId="4">#REF!</definedName>
    <definedName name="SHARED_FORMULA_17_43_17_43_5" localSheetId="6">NA()</definedName>
    <definedName name="SHARED_FORMULA_17_43_17_43_5" localSheetId="7">#REF!</definedName>
    <definedName name="SHARED_FORMULA_17_43_17_43_5" localSheetId="8">#REF!</definedName>
    <definedName name="SHARED_FORMULA_17_43_17_43_5" localSheetId="9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4">#REF!</definedName>
    <definedName name="SHARED_FORMULA_17_47_17_47_5" localSheetId="16">#REF!</definedName>
    <definedName name="SHARED_FORMULA_17_47_17_47_5" localSheetId="5">#REF!</definedName>
    <definedName name="SHARED_FORMULA_17_47_17_47_5" localSheetId="4">#REF!</definedName>
    <definedName name="SHARED_FORMULA_17_47_17_47_5" localSheetId="6">NA()</definedName>
    <definedName name="SHARED_FORMULA_17_47_17_47_5" localSheetId="7">#REF!</definedName>
    <definedName name="SHARED_FORMULA_17_47_17_47_5" localSheetId="8">#REF!</definedName>
    <definedName name="SHARED_FORMULA_17_47_17_47_5" localSheetId="9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4">#REF!</definedName>
    <definedName name="SHARED_FORMULA_17_52_17_52_5" localSheetId="16">#REF!</definedName>
    <definedName name="SHARED_FORMULA_17_52_17_52_5" localSheetId="5">#REF!</definedName>
    <definedName name="SHARED_FORMULA_17_52_17_52_5" localSheetId="4">#REF!</definedName>
    <definedName name="SHARED_FORMULA_17_52_17_52_5" localSheetId="6">NA()</definedName>
    <definedName name="SHARED_FORMULA_17_52_17_52_5" localSheetId="7">#REF!</definedName>
    <definedName name="SHARED_FORMULA_17_52_17_52_5" localSheetId="8">#REF!</definedName>
    <definedName name="SHARED_FORMULA_17_52_17_52_5" localSheetId="9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4">#REF!</definedName>
    <definedName name="SHARED_FORMULA_17_57_17_57_5" localSheetId="16">#REF!</definedName>
    <definedName name="SHARED_FORMULA_17_57_17_57_5" localSheetId="5">#REF!</definedName>
    <definedName name="SHARED_FORMULA_17_57_17_57_5" localSheetId="4">#REF!</definedName>
    <definedName name="SHARED_FORMULA_17_57_17_57_5" localSheetId="6">NA()</definedName>
    <definedName name="SHARED_FORMULA_17_57_17_57_5" localSheetId="7">#REF!</definedName>
    <definedName name="SHARED_FORMULA_17_57_17_57_5" localSheetId="8">#REF!</definedName>
    <definedName name="SHARED_FORMULA_17_57_17_57_5" localSheetId="9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4">#REF!</definedName>
    <definedName name="SHARED_FORMULA_17_62_17_62_5" localSheetId="16">#REF!</definedName>
    <definedName name="SHARED_FORMULA_17_62_17_62_5" localSheetId="5">#REF!</definedName>
    <definedName name="SHARED_FORMULA_17_62_17_62_5" localSheetId="4">#REF!</definedName>
    <definedName name="SHARED_FORMULA_17_62_17_62_5" localSheetId="6">NA()</definedName>
    <definedName name="SHARED_FORMULA_17_62_17_62_5" localSheetId="7">#REF!</definedName>
    <definedName name="SHARED_FORMULA_17_62_17_62_5" localSheetId="8">#REF!</definedName>
    <definedName name="SHARED_FORMULA_17_62_17_62_5" localSheetId="9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4">#REF!</definedName>
    <definedName name="SHARED_FORMULA_17_67_17_67_5" localSheetId="16">#REF!</definedName>
    <definedName name="SHARED_FORMULA_17_67_17_67_5" localSheetId="5">#REF!</definedName>
    <definedName name="SHARED_FORMULA_17_67_17_67_5" localSheetId="4">#REF!</definedName>
    <definedName name="SHARED_FORMULA_17_67_17_67_5" localSheetId="6">NA()</definedName>
    <definedName name="SHARED_FORMULA_17_67_17_67_5" localSheetId="7">#REF!</definedName>
    <definedName name="SHARED_FORMULA_17_67_17_67_5" localSheetId="8">#REF!</definedName>
    <definedName name="SHARED_FORMULA_17_67_17_67_5" localSheetId="9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4">#REF!</definedName>
    <definedName name="SHARED_FORMULA_17_77_17_77_5" localSheetId="16">#REF!</definedName>
    <definedName name="SHARED_FORMULA_17_77_17_77_5" localSheetId="5">#REF!</definedName>
    <definedName name="SHARED_FORMULA_17_77_17_77_5" localSheetId="4">#REF!</definedName>
    <definedName name="SHARED_FORMULA_17_77_17_77_5" localSheetId="6">NA()</definedName>
    <definedName name="SHARED_FORMULA_17_77_17_77_5" localSheetId="7">#REF!</definedName>
    <definedName name="SHARED_FORMULA_17_77_17_77_5" localSheetId="8">#REF!</definedName>
    <definedName name="SHARED_FORMULA_17_77_17_77_5" localSheetId="9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4">#REF!</definedName>
    <definedName name="SHARED_FORMULA_17_82_17_82_5" localSheetId="16">#REF!</definedName>
    <definedName name="SHARED_FORMULA_17_82_17_82_5" localSheetId="5">#REF!</definedName>
    <definedName name="SHARED_FORMULA_17_82_17_82_5" localSheetId="4">#REF!</definedName>
    <definedName name="SHARED_FORMULA_17_82_17_82_5" localSheetId="6">NA()</definedName>
    <definedName name="SHARED_FORMULA_17_82_17_82_5" localSheetId="7">#REF!</definedName>
    <definedName name="SHARED_FORMULA_17_82_17_82_5" localSheetId="8">#REF!</definedName>
    <definedName name="SHARED_FORMULA_17_82_17_82_5" localSheetId="9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4">#REF!</definedName>
    <definedName name="SHARED_FORMULA_17_9_17_9_5" localSheetId="16">#REF!</definedName>
    <definedName name="SHARED_FORMULA_17_9_17_9_5" localSheetId="5">#REF!</definedName>
    <definedName name="SHARED_FORMULA_17_9_17_9_5" localSheetId="4">#REF!</definedName>
    <definedName name="SHARED_FORMULA_17_9_17_9_5" localSheetId="6">NA()</definedName>
    <definedName name="SHARED_FORMULA_17_9_17_9_5" localSheetId="7">#REF!</definedName>
    <definedName name="SHARED_FORMULA_17_9_17_9_5" localSheetId="8">#REF!</definedName>
    <definedName name="SHARED_FORMULA_17_9_17_9_5" localSheetId="9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4">#REF!</definedName>
    <definedName name="SHARED_FORMULA_17_92_17_92_5" localSheetId="16">#REF!</definedName>
    <definedName name="SHARED_FORMULA_17_92_17_92_5" localSheetId="5">#REF!</definedName>
    <definedName name="SHARED_FORMULA_17_92_17_92_5" localSheetId="4">#REF!</definedName>
    <definedName name="SHARED_FORMULA_17_92_17_92_5" localSheetId="6">NA()</definedName>
    <definedName name="SHARED_FORMULA_17_92_17_92_5" localSheetId="7">#REF!</definedName>
    <definedName name="SHARED_FORMULA_17_92_17_92_5" localSheetId="8">#REF!</definedName>
    <definedName name="SHARED_FORMULA_17_92_17_92_5" localSheetId="9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4">#REF!</definedName>
    <definedName name="SHARED_FORMULA_17_97_17_97_5" localSheetId="16">#REF!</definedName>
    <definedName name="SHARED_FORMULA_17_97_17_97_5" localSheetId="5">#REF!</definedName>
    <definedName name="SHARED_FORMULA_17_97_17_97_5" localSheetId="4">#REF!</definedName>
    <definedName name="SHARED_FORMULA_17_97_17_97_5" localSheetId="6">NA()</definedName>
    <definedName name="SHARED_FORMULA_17_97_17_97_5" localSheetId="7">#REF!</definedName>
    <definedName name="SHARED_FORMULA_17_97_17_97_5" localSheetId="8">#REF!</definedName>
    <definedName name="SHARED_FORMULA_17_97_17_97_5" localSheetId="9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4">#REF!</definedName>
    <definedName name="SHARED_FORMULA_2_102_2_102_5" localSheetId="16">#REF!</definedName>
    <definedName name="SHARED_FORMULA_2_102_2_102_5" localSheetId="5">#REF!</definedName>
    <definedName name="SHARED_FORMULA_2_102_2_102_5" localSheetId="4">#REF!</definedName>
    <definedName name="SHARED_FORMULA_2_102_2_102_5" localSheetId="6">NA()</definedName>
    <definedName name="SHARED_FORMULA_2_102_2_102_5" localSheetId="7">#REF!</definedName>
    <definedName name="SHARED_FORMULA_2_102_2_102_5" localSheetId="8">#REF!</definedName>
    <definedName name="SHARED_FORMULA_2_102_2_102_5" localSheetId="9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4">#REF!</definedName>
    <definedName name="SHARED_FORMULA_2_107_2_107_5" localSheetId="16">#REF!</definedName>
    <definedName name="SHARED_FORMULA_2_107_2_107_5" localSheetId="5">#REF!</definedName>
    <definedName name="SHARED_FORMULA_2_107_2_107_5" localSheetId="4">#REF!</definedName>
    <definedName name="SHARED_FORMULA_2_107_2_107_5" localSheetId="6">NA()</definedName>
    <definedName name="SHARED_FORMULA_2_107_2_107_5" localSheetId="7">#REF!</definedName>
    <definedName name="SHARED_FORMULA_2_107_2_107_5" localSheetId="8">#REF!</definedName>
    <definedName name="SHARED_FORMULA_2_107_2_107_5" localSheetId="9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4">#REF!</definedName>
    <definedName name="SHARED_FORMULA_2_112_2_112_5" localSheetId="16">#REF!</definedName>
    <definedName name="SHARED_FORMULA_2_112_2_112_5" localSheetId="5">#REF!</definedName>
    <definedName name="SHARED_FORMULA_2_112_2_112_5" localSheetId="4">#REF!</definedName>
    <definedName name="SHARED_FORMULA_2_112_2_112_5" localSheetId="6">NA()</definedName>
    <definedName name="SHARED_FORMULA_2_112_2_112_5" localSheetId="7">#REF!</definedName>
    <definedName name="SHARED_FORMULA_2_112_2_112_5" localSheetId="8">#REF!</definedName>
    <definedName name="SHARED_FORMULA_2_112_2_112_5" localSheetId="9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4">#REF!+#REF!+#REF!+#REF!</definedName>
    <definedName name="SHARED_FORMULA_2_121_2_121_5" localSheetId="16">#REF!+#REF!+#REF!+#REF!</definedName>
    <definedName name="SHARED_FORMULA_2_121_2_121_5" localSheetId="5">#REF!+#REF!+#REF!+#REF!</definedName>
    <definedName name="SHARED_FORMULA_2_121_2_121_5" localSheetId="4">#REF!+#REF!+#REF!+#REF!</definedName>
    <definedName name="SHARED_FORMULA_2_121_2_121_5" localSheetId="6">"#REF!+#REF!+#REF!+#REF!"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 localSheetId="9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4">#REF!+#REF!+#REF!+#REF!</definedName>
    <definedName name="SHARED_FORMULA_2_122_2_122_5" localSheetId="16">#REF!+#REF!+#REF!+#REF!</definedName>
    <definedName name="SHARED_FORMULA_2_122_2_122_5" localSheetId="5">#REF!+#REF!+#REF!+#REF!</definedName>
    <definedName name="SHARED_FORMULA_2_122_2_122_5" localSheetId="4">#REF!+#REF!+#REF!+#REF!</definedName>
    <definedName name="SHARED_FORMULA_2_122_2_122_5" localSheetId="6">"#REF!+#REF!+#REF!+#REF!"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 localSheetId="9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4">#REF!+#REF!+#REF!+#REF!</definedName>
    <definedName name="SHARED_FORMULA_2_123_2_123_5" localSheetId="16">#REF!+#REF!+#REF!+#REF!</definedName>
    <definedName name="SHARED_FORMULA_2_123_2_123_5" localSheetId="5">#REF!+#REF!+#REF!+#REF!</definedName>
    <definedName name="SHARED_FORMULA_2_123_2_123_5" localSheetId="4">#REF!+#REF!+#REF!+#REF!</definedName>
    <definedName name="SHARED_FORMULA_2_123_2_123_5" localSheetId="6">"#REF!+#REF!+#REF!+#REF!"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 localSheetId="9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4">#REF!+#REF!+#REF!+#REF!</definedName>
    <definedName name="SHARED_FORMULA_2_124_2_124_5" localSheetId="16">#REF!+#REF!+#REF!+#REF!</definedName>
    <definedName name="SHARED_FORMULA_2_124_2_124_5" localSheetId="5">#REF!+#REF!+#REF!+#REF!</definedName>
    <definedName name="SHARED_FORMULA_2_124_2_124_5" localSheetId="4">#REF!+#REF!+#REF!+#REF!</definedName>
    <definedName name="SHARED_FORMULA_2_124_2_124_5" localSheetId="6">"#REF!+#REF!+#REF!+#REF!"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 localSheetId="9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4">#REF!+#REF!+#REF!+#REF!</definedName>
    <definedName name="SHARED_FORMULA_2_125_2_125_5" localSheetId="16">#REF!+#REF!+#REF!+#REF!</definedName>
    <definedName name="SHARED_FORMULA_2_125_2_125_5" localSheetId="5">#REF!+#REF!+#REF!+#REF!</definedName>
    <definedName name="SHARED_FORMULA_2_125_2_125_5" localSheetId="4">#REF!+#REF!+#REF!+#REF!</definedName>
    <definedName name="SHARED_FORMULA_2_125_2_125_5" localSheetId="6">"#REF!+#REF!+#REF!+#REF!"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 localSheetId="9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4">#REF!</definedName>
    <definedName name="SHARED_FORMULA_2_127_2_127_5" localSheetId="16">#REF!</definedName>
    <definedName name="SHARED_FORMULA_2_127_2_127_5" localSheetId="5">#REF!</definedName>
    <definedName name="SHARED_FORMULA_2_127_2_127_5" localSheetId="4">#REF!</definedName>
    <definedName name="SHARED_FORMULA_2_127_2_127_5" localSheetId="6">NA()</definedName>
    <definedName name="SHARED_FORMULA_2_127_2_127_5" localSheetId="7">#REF!</definedName>
    <definedName name="SHARED_FORMULA_2_127_2_127_5" localSheetId="8">#REF!</definedName>
    <definedName name="SHARED_FORMULA_2_127_2_127_5" localSheetId="9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4">#REF!+#REF!+#REF!+#REF!+#REF!+#REF!+#REF!+#REF!+#REF!+#REF!+#REF!+#REF!+#REF!+#REF!+#REF!+#REF!+#REF!+#REF!+#REF!+#REF!+#REF!+#REF!+#REF!</definedName>
    <definedName name="SHARED_FORMULA_2_131_2_131_5" localSheetId="16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 localSheetId="4">#REF!+#REF!+#REF!+#REF!+#REF!+#REF!+#REF!+#REF!+#REF!+#REF!+#REF!+#REF!+#REF!+#REF!+#REF!+#REF!+#REF!+#REF!+#REF!+#REF!+#REF!+#REF!+#REF!</definedName>
    <definedName name="SHARED_FORMULA_2_131_2_131_5" localSheetId="6">"#REF!+#REF!+#REF!+#REF!+#REF!+#REF!+#REF!+#REF!+#REF!+#REF!+#REF!+#REF!+#REF!+#REF!+#REF!+#REF!+#REF!+#REF!+#REF!+#REF!+#REF!+#REF!+#REF!"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 localSheetId="9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4">#REF!+#REF!+#REF!+#REF!+#REF!+#REF!+#REF!+#REF!+#REF!+#REF!+#REF!+#REF!+#REF!+#REF!+#REF!+#REF!+#REF!+#REF!+#REF!+#REF!+#REF!+#REF!+#REF!</definedName>
    <definedName name="SHARED_FORMULA_2_132_2_132_5" localSheetId="16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 localSheetId="4">#REF!+#REF!+#REF!+#REF!+#REF!+#REF!+#REF!+#REF!+#REF!+#REF!+#REF!+#REF!+#REF!+#REF!+#REF!+#REF!+#REF!+#REF!+#REF!+#REF!+#REF!+#REF!+#REF!</definedName>
    <definedName name="SHARED_FORMULA_2_132_2_132_5" localSheetId="6">"#REF!+#REF!+#REF!+#REF!+#REF!+#REF!+#REF!+#REF!+#REF!+#REF!+#REF!+#REF!+#REF!+#REF!+#REF!+#REF!+#REF!+#REF!+#REF!+#REF!+#REF!+#REF!+#REF!"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 localSheetId="9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4">#REF!+#REF!+#REF!+#REF!+#REF!+#REF!+#REF!+#REF!+#REF!+#REF!+#REF!+#REF!+#REF!+#REF!+#REF!+#REF!+#REF!+#REF!+#REF!+#REF!+#REF!+#REF!+#REF!</definedName>
    <definedName name="SHARED_FORMULA_2_134_2_134_5" localSheetId="16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 localSheetId="4">#REF!+#REF!+#REF!+#REF!+#REF!+#REF!+#REF!+#REF!+#REF!+#REF!+#REF!+#REF!+#REF!+#REF!+#REF!+#REF!+#REF!+#REF!+#REF!+#REF!+#REF!+#REF!+#REF!</definedName>
    <definedName name="SHARED_FORMULA_2_134_2_134_5" localSheetId="6">"#REF!+#REF!+#REF!+#REF!+#REF!+#REF!+#REF!+#REF!+#REF!+#REF!+#REF!+#REF!+#REF!+#REF!+#REF!+#REF!+#REF!+#REF!+#REF!+#REF!+#REF!+#REF!+#REF!"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 localSheetId="9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4">#REF!+#REF!+#REF!+#REF!+#REF!+#REF!+#REF!+#REF!+#REF!+#REF!+#REF!+#REF!+#REF!+#REF!+#REF!+#REF!+#REF!+#REF!+#REF!+#REF!+#REF!+#REF!+#REF!</definedName>
    <definedName name="SHARED_FORMULA_2_137_2_137_5" localSheetId="16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 localSheetId="4">#REF!+#REF!+#REF!+#REF!+#REF!+#REF!+#REF!+#REF!+#REF!+#REF!+#REF!+#REF!+#REF!+#REF!+#REF!+#REF!+#REF!+#REF!+#REF!+#REF!+#REF!+#REF!+#REF!</definedName>
    <definedName name="SHARED_FORMULA_2_137_2_137_5" localSheetId="6">"#REF!+#REF!+#REF!+#REF!+#REF!+#REF!+#REF!+#REF!+#REF!+#REF!+#REF!+#REF!+#REF!+#REF!+#REF!+#REF!+#REF!+#REF!+#REF!+#REF!+#REF!+#REF!+#REF!"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 localSheetId="9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4">#REF!</definedName>
    <definedName name="SHARED_FORMULA_2_14_2_14_5" localSheetId="16">#REF!</definedName>
    <definedName name="SHARED_FORMULA_2_14_2_14_5" localSheetId="5">#REF!</definedName>
    <definedName name="SHARED_FORMULA_2_14_2_14_5" localSheetId="4">#REF!</definedName>
    <definedName name="SHARED_FORMULA_2_14_2_14_5" localSheetId="6">NA()</definedName>
    <definedName name="SHARED_FORMULA_2_14_2_14_5" localSheetId="7">#REF!</definedName>
    <definedName name="SHARED_FORMULA_2_14_2_14_5" localSheetId="8">#REF!</definedName>
    <definedName name="SHARED_FORMULA_2_14_2_14_5" localSheetId="9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4">#REF!+#REF!+#REF!+#REF!+#REF!+#REF!+#REF!+#REF!+#REF!+#REF!+#REF!+#REF!+#REF!+#REF!+#REF!+#REF!+#REF!+#REF!+#REF!+#REF!+#REF!+#REF!</definedName>
    <definedName name="SHARED_FORMULA_2_140_2_140_5" localSheetId="16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 localSheetId="4">#REF!+#REF!+#REF!+#REF!+#REF!+#REF!+#REF!+#REF!+#REF!+#REF!+#REF!+#REF!+#REF!+#REF!+#REF!+#REF!+#REF!+#REF!+#REF!+#REF!+#REF!+#REF!</definedName>
    <definedName name="SHARED_FORMULA_2_140_2_140_5" localSheetId="6">"#REF!+#REF!+#REF!+#REF!+#REF!+#REF!+#REF!+#REF!+#REF!+#REF!+#REF!+#REF!+#REF!+#REF!+#REF!+#REF!+#REF!+#REF!+#REF!+#REF!+#REF!+#REF!"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 localSheetId="9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4">#REF!+#REF!+#REF!+#REF!+#REF!+#REF!+#REF!+#REF!+#REF!+#REF!+#REF!+#REF!+#REF!+#REF!+#REF!+#REF!+#REF!+#REF!+#REF!+#REF!+#REF!+#REF!</definedName>
    <definedName name="SHARED_FORMULA_2_141_2_141_5" localSheetId="16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 localSheetId="4">#REF!+#REF!+#REF!+#REF!+#REF!+#REF!+#REF!+#REF!+#REF!+#REF!+#REF!+#REF!+#REF!+#REF!+#REF!+#REF!+#REF!+#REF!+#REF!+#REF!+#REF!+#REF!</definedName>
    <definedName name="SHARED_FORMULA_2_141_2_141_5" localSheetId="6">"#REF!+#REF!+#REF!+#REF!+#REF!+#REF!+#REF!+#REF!+#REF!+#REF!+#REF!+#REF!+#REF!+#REF!+#REF!+#REF!+#REF!+#REF!+#REF!+#REF!+#REF!+#REF!"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 localSheetId="9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4">#REF!+#REF!+#REF!+#REF!+#REF!+#REF!+#REF!+#REF!+#REF!+#REF!+#REF!+#REF!+#REF!+#REF!+#REF!+#REF!+#REF!+#REF!+#REF!+#REF!+#REF!+#REF!</definedName>
    <definedName name="SHARED_FORMULA_2_142_2_142_5" localSheetId="16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 localSheetId="4">#REF!+#REF!+#REF!+#REF!+#REF!+#REF!+#REF!+#REF!+#REF!+#REF!+#REF!+#REF!+#REF!+#REF!+#REF!+#REF!+#REF!+#REF!+#REF!+#REF!+#REF!+#REF!</definedName>
    <definedName name="SHARED_FORMULA_2_142_2_142_5" localSheetId="6">"#REF!+#REF!+#REF!+#REF!+#REF!+#REF!+#REF!+#REF!+#REF!+#REF!+#REF!+#REF!+#REF!+#REF!+#REF!+#REF!+#REF!+#REF!+#REF!+#REF!+#REF!+#REF!"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 localSheetId="9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4">#REF!+#REF!+#REF!+#REF!+#REF!+#REF!+#REF!+#REF!+#REF!+#REF!+#REF!+#REF!+#REF!+#REF!+#REF!+#REF!+#REF!+#REF!+#REF!+#REF!+#REF!+#REF!</definedName>
    <definedName name="SHARED_FORMULA_2_143_2_143_5" localSheetId="16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 localSheetId="4">#REF!+#REF!+#REF!+#REF!+#REF!+#REF!+#REF!+#REF!+#REF!+#REF!+#REF!+#REF!+#REF!+#REF!+#REF!+#REF!+#REF!+#REF!+#REF!+#REF!+#REF!+#REF!</definedName>
    <definedName name="SHARED_FORMULA_2_143_2_143_5" localSheetId="6">"#REF!+#REF!+#REF!+#REF!+#REF!+#REF!+#REF!+#REF!+#REF!+#REF!+#REF!+#REF!+#REF!+#REF!+#REF!+#REF!+#REF!+#REF!+#REF!+#REF!+#REF!+#REF!"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 localSheetId="9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4">#REF!+#REF!+#REF!+#REF!+#REF!+#REF!+#REF!+#REF!+#REF!+#REF!+#REF!+#REF!+#REF!+#REF!+#REF!+#REF!+#REF!+#REF!+#REF!+#REF!+#REF!+#REF!</definedName>
    <definedName name="SHARED_FORMULA_2_144_2_144_5" localSheetId="16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 localSheetId="4">#REF!+#REF!+#REF!+#REF!+#REF!+#REF!+#REF!+#REF!+#REF!+#REF!+#REF!+#REF!+#REF!+#REF!+#REF!+#REF!+#REF!+#REF!+#REF!+#REF!+#REF!+#REF!</definedName>
    <definedName name="SHARED_FORMULA_2_144_2_144_5" localSheetId="6">"#REF!+#REF!+#REF!+#REF!+#REF!+#REF!+#REF!+#REF!+#REF!+#REF!+#REF!+#REF!+#REF!+#REF!+#REF!+#REF!+#REF!+#REF!+#REF!+#REF!+#REF!+#REF!"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 localSheetId="9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4">#REF!+#REF!+#REF!+#REF!+#REF!+#REF!+#REF!+#REF!+#REF!+#REF!+#REF!+#REF!+#REF!+#REF!+#REF!+#REF!+#REF!+#REF!+#REF!+#REF!+#REF!+#REF!</definedName>
    <definedName name="SHARED_FORMULA_2_145_2_145_5" localSheetId="16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 localSheetId="4">#REF!+#REF!+#REF!+#REF!+#REF!+#REF!+#REF!+#REF!+#REF!+#REF!+#REF!+#REF!+#REF!+#REF!+#REF!+#REF!+#REF!+#REF!+#REF!+#REF!+#REF!+#REF!</definedName>
    <definedName name="SHARED_FORMULA_2_145_2_145_5" localSheetId="6">"#REF!+#REF!+#REF!+#REF!+#REF!+#REF!+#REF!+#REF!+#REF!+#REF!+#REF!+#REF!+#REF!+#REF!+#REF!+#REF!+#REF!+#REF!+#REF!+#REF!+#REF!+#REF!"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 localSheetId="9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4">#REF!-#REF!</definedName>
    <definedName name="SHARED_FORMULA_2_146_2_146_5" localSheetId="16">#REF!-#REF!</definedName>
    <definedName name="SHARED_FORMULA_2_146_2_146_5" localSheetId="5">#REF!-#REF!</definedName>
    <definedName name="SHARED_FORMULA_2_146_2_146_5" localSheetId="4">#REF!-#REF!</definedName>
    <definedName name="SHARED_FORMULA_2_146_2_146_5" localSheetId="6">"#REF!-#REF!"</definedName>
    <definedName name="SHARED_FORMULA_2_146_2_146_5" localSheetId="7">#REF!-#REF!</definedName>
    <definedName name="SHARED_FORMULA_2_146_2_146_5" localSheetId="8">#REF!-#REF!</definedName>
    <definedName name="SHARED_FORMULA_2_146_2_146_5" localSheetId="9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4">#REF!</definedName>
    <definedName name="SHARED_FORMULA_2_22_2_22_5" localSheetId="16">#REF!</definedName>
    <definedName name="SHARED_FORMULA_2_22_2_22_5" localSheetId="5">#REF!</definedName>
    <definedName name="SHARED_FORMULA_2_22_2_22_5" localSheetId="4">#REF!</definedName>
    <definedName name="SHARED_FORMULA_2_22_2_22_5" localSheetId="6">NA()</definedName>
    <definedName name="SHARED_FORMULA_2_22_2_22_5" localSheetId="7">#REF!</definedName>
    <definedName name="SHARED_FORMULA_2_22_2_22_5" localSheetId="8">#REF!</definedName>
    <definedName name="SHARED_FORMULA_2_22_2_22_5" localSheetId="9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4">#REF!</definedName>
    <definedName name="SHARED_FORMULA_2_27_2_27_5" localSheetId="16">#REF!</definedName>
    <definedName name="SHARED_FORMULA_2_27_2_27_5" localSheetId="5">#REF!</definedName>
    <definedName name="SHARED_FORMULA_2_27_2_27_5" localSheetId="4">#REF!</definedName>
    <definedName name="SHARED_FORMULA_2_27_2_27_5" localSheetId="6">NA()</definedName>
    <definedName name="SHARED_FORMULA_2_27_2_27_5" localSheetId="7">#REF!</definedName>
    <definedName name="SHARED_FORMULA_2_27_2_27_5" localSheetId="8">#REF!</definedName>
    <definedName name="SHARED_FORMULA_2_27_2_27_5" localSheetId="9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4">#REF!</definedName>
    <definedName name="SHARED_FORMULA_2_32_2_32_5" localSheetId="16">#REF!</definedName>
    <definedName name="SHARED_FORMULA_2_32_2_32_5" localSheetId="5">#REF!</definedName>
    <definedName name="SHARED_FORMULA_2_32_2_32_5" localSheetId="4">#REF!</definedName>
    <definedName name="SHARED_FORMULA_2_32_2_32_5" localSheetId="6">NA()</definedName>
    <definedName name="SHARED_FORMULA_2_32_2_32_5" localSheetId="7">#REF!</definedName>
    <definedName name="SHARED_FORMULA_2_32_2_32_5" localSheetId="8">#REF!</definedName>
    <definedName name="SHARED_FORMULA_2_32_2_32_5" localSheetId="9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4">#REF!</definedName>
    <definedName name="SHARED_FORMULA_2_37_2_37_5" localSheetId="16">#REF!</definedName>
    <definedName name="SHARED_FORMULA_2_37_2_37_5" localSheetId="5">#REF!</definedName>
    <definedName name="SHARED_FORMULA_2_37_2_37_5" localSheetId="4">#REF!</definedName>
    <definedName name="SHARED_FORMULA_2_37_2_37_5" localSheetId="6">NA()</definedName>
    <definedName name="SHARED_FORMULA_2_37_2_37_5" localSheetId="7">#REF!</definedName>
    <definedName name="SHARED_FORMULA_2_37_2_37_5" localSheetId="8">#REF!</definedName>
    <definedName name="SHARED_FORMULA_2_37_2_37_5" localSheetId="9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4">#REF!</definedName>
    <definedName name="SHARED_FORMULA_2_4_2_4_5" localSheetId="16">#REF!</definedName>
    <definedName name="SHARED_FORMULA_2_4_2_4_5" localSheetId="5">#REF!</definedName>
    <definedName name="SHARED_FORMULA_2_4_2_4_5" localSheetId="4">#REF!</definedName>
    <definedName name="SHARED_FORMULA_2_4_2_4_5" localSheetId="6">NA()</definedName>
    <definedName name="SHARED_FORMULA_2_4_2_4_5" localSheetId="7">#REF!</definedName>
    <definedName name="SHARED_FORMULA_2_4_2_4_5" localSheetId="8">#REF!</definedName>
    <definedName name="SHARED_FORMULA_2_4_2_4_5" localSheetId="9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4">#REF!</definedName>
    <definedName name="SHARED_FORMULA_2_42_2_42_5" localSheetId="16">#REF!</definedName>
    <definedName name="SHARED_FORMULA_2_42_2_42_5" localSheetId="5">#REF!</definedName>
    <definedName name="SHARED_FORMULA_2_42_2_42_5" localSheetId="4">#REF!</definedName>
    <definedName name="SHARED_FORMULA_2_42_2_42_5" localSheetId="6">NA()</definedName>
    <definedName name="SHARED_FORMULA_2_42_2_42_5" localSheetId="7">#REF!</definedName>
    <definedName name="SHARED_FORMULA_2_42_2_42_5" localSheetId="8">#REF!</definedName>
    <definedName name="SHARED_FORMULA_2_42_2_42_5" localSheetId="9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4">#REF!</definedName>
    <definedName name="SHARED_FORMULA_2_44_2_44_5" localSheetId="16">#REF!</definedName>
    <definedName name="SHARED_FORMULA_2_44_2_44_5" localSheetId="5">#REF!</definedName>
    <definedName name="SHARED_FORMULA_2_44_2_44_5" localSheetId="4">#REF!</definedName>
    <definedName name="SHARED_FORMULA_2_44_2_44_5" localSheetId="6">NA()</definedName>
    <definedName name="SHARED_FORMULA_2_44_2_44_5" localSheetId="7">#REF!</definedName>
    <definedName name="SHARED_FORMULA_2_44_2_44_5" localSheetId="8">#REF!</definedName>
    <definedName name="SHARED_FORMULA_2_44_2_44_5" localSheetId="9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4">#REF!</definedName>
    <definedName name="SHARED_FORMULA_2_47_2_47_5" localSheetId="16">#REF!</definedName>
    <definedName name="SHARED_FORMULA_2_47_2_47_5" localSheetId="5">#REF!</definedName>
    <definedName name="SHARED_FORMULA_2_47_2_47_5" localSheetId="4">#REF!</definedName>
    <definedName name="SHARED_FORMULA_2_47_2_47_5" localSheetId="6">NA()</definedName>
    <definedName name="SHARED_FORMULA_2_47_2_47_5" localSheetId="7">#REF!</definedName>
    <definedName name="SHARED_FORMULA_2_47_2_47_5" localSheetId="8">#REF!</definedName>
    <definedName name="SHARED_FORMULA_2_47_2_47_5" localSheetId="9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4">#REF!</definedName>
    <definedName name="SHARED_FORMULA_2_48_2_48_5" localSheetId="16">#REF!</definedName>
    <definedName name="SHARED_FORMULA_2_48_2_48_5" localSheetId="5">#REF!</definedName>
    <definedName name="SHARED_FORMULA_2_48_2_48_5" localSheetId="4">#REF!</definedName>
    <definedName name="SHARED_FORMULA_2_48_2_48_5" localSheetId="6">NA()</definedName>
    <definedName name="SHARED_FORMULA_2_48_2_48_5" localSheetId="7">#REF!</definedName>
    <definedName name="SHARED_FORMULA_2_48_2_48_5" localSheetId="8">#REF!</definedName>
    <definedName name="SHARED_FORMULA_2_48_2_48_5" localSheetId="9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4">#REF!</definedName>
    <definedName name="SHARED_FORMULA_2_52_2_52_5" localSheetId="16">#REF!</definedName>
    <definedName name="SHARED_FORMULA_2_52_2_52_5" localSheetId="5">#REF!</definedName>
    <definedName name="SHARED_FORMULA_2_52_2_52_5" localSheetId="4">#REF!</definedName>
    <definedName name="SHARED_FORMULA_2_52_2_52_5" localSheetId="6">NA()</definedName>
    <definedName name="SHARED_FORMULA_2_52_2_52_5" localSheetId="7">#REF!</definedName>
    <definedName name="SHARED_FORMULA_2_52_2_52_5" localSheetId="8">#REF!</definedName>
    <definedName name="SHARED_FORMULA_2_52_2_52_5" localSheetId="9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4">#REF!</definedName>
    <definedName name="SHARED_FORMULA_2_57_2_57_5" localSheetId="16">#REF!</definedName>
    <definedName name="SHARED_FORMULA_2_57_2_57_5" localSheetId="5">#REF!</definedName>
    <definedName name="SHARED_FORMULA_2_57_2_57_5" localSheetId="4">#REF!</definedName>
    <definedName name="SHARED_FORMULA_2_57_2_57_5" localSheetId="6">NA()</definedName>
    <definedName name="SHARED_FORMULA_2_57_2_57_5" localSheetId="7">#REF!</definedName>
    <definedName name="SHARED_FORMULA_2_57_2_57_5" localSheetId="8">#REF!</definedName>
    <definedName name="SHARED_FORMULA_2_57_2_57_5" localSheetId="9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4">#REF!</definedName>
    <definedName name="SHARED_FORMULA_2_67_2_67_5" localSheetId="16">#REF!</definedName>
    <definedName name="SHARED_FORMULA_2_67_2_67_5" localSheetId="5">#REF!</definedName>
    <definedName name="SHARED_FORMULA_2_67_2_67_5" localSheetId="4">#REF!</definedName>
    <definedName name="SHARED_FORMULA_2_67_2_67_5" localSheetId="6">NA()</definedName>
    <definedName name="SHARED_FORMULA_2_67_2_67_5" localSheetId="7">#REF!</definedName>
    <definedName name="SHARED_FORMULA_2_67_2_67_5" localSheetId="8">#REF!</definedName>
    <definedName name="SHARED_FORMULA_2_67_2_67_5" localSheetId="9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4">#REF!+#REF!+#REF!+#REF!</definedName>
    <definedName name="SHARED_FORMULA_2_71_2_71_5" localSheetId="16">#REF!+#REF!+#REF!+#REF!</definedName>
    <definedName name="SHARED_FORMULA_2_71_2_71_5" localSheetId="5">#REF!+#REF!+#REF!+#REF!</definedName>
    <definedName name="SHARED_FORMULA_2_71_2_71_5" localSheetId="4">#REF!+#REF!+#REF!+#REF!</definedName>
    <definedName name="SHARED_FORMULA_2_71_2_71_5" localSheetId="6">"#REF!+#REF!+#REF!+#REF!"</definedName>
    <definedName name="SHARED_FORMULA_2_71_2_71_5" localSheetId="7">#REF!+#REF!+#REF!+#REF!</definedName>
    <definedName name="SHARED_FORMULA_2_71_2_71_5" localSheetId="8">#REF!+#REF!+#REF!+#REF!</definedName>
    <definedName name="SHARED_FORMULA_2_71_2_71_5" localSheetId="9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4">#REF!+#REF!+#REF!+#REF!</definedName>
    <definedName name="SHARED_FORMULA_2_72_2_72_5" localSheetId="16">#REF!+#REF!+#REF!+#REF!</definedName>
    <definedName name="SHARED_FORMULA_2_72_2_72_5" localSheetId="5">#REF!+#REF!+#REF!+#REF!</definedName>
    <definedName name="SHARED_FORMULA_2_72_2_72_5" localSheetId="4">#REF!+#REF!+#REF!+#REF!</definedName>
    <definedName name="SHARED_FORMULA_2_72_2_72_5" localSheetId="6">"#REF!+#REF!+#REF!+#REF!"</definedName>
    <definedName name="SHARED_FORMULA_2_72_2_72_5" localSheetId="7">#REF!+#REF!+#REF!+#REF!</definedName>
    <definedName name="SHARED_FORMULA_2_72_2_72_5" localSheetId="8">#REF!+#REF!+#REF!+#REF!</definedName>
    <definedName name="SHARED_FORMULA_2_72_2_72_5" localSheetId="9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4">#REF!+#REF!+#REF!+#REF!</definedName>
    <definedName name="SHARED_FORMULA_2_73_2_73_5" localSheetId="16">#REF!+#REF!+#REF!+#REF!</definedName>
    <definedName name="SHARED_FORMULA_2_73_2_73_5" localSheetId="5">#REF!+#REF!+#REF!+#REF!</definedName>
    <definedName name="SHARED_FORMULA_2_73_2_73_5" localSheetId="4">#REF!+#REF!+#REF!+#REF!</definedName>
    <definedName name="SHARED_FORMULA_2_73_2_73_5" localSheetId="6">"#REF!+#REF!+#REF!+#REF!"</definedName>
    <definedName name="SHARED_FORMULA_2_73_2_73_5" localSheetId="7">#REF!+#REF!+#REF!+#REF!</definedName>
    <definedName name="SHARED_FORMULA_2_73_2_73_5" localSheetId="8">#REF!+#REF!+#REF!+#REF!</definedName>
    <definedName name="SHARED_FORMULA_2_73_2_73_5" localSheetId="9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4">#REF!+#REF!+#REF!+#REF!</definedName>
    <definedName name="SHARED_FORMULA_2_74_2_74_5" localSheetId="16">#REF!+#REF!+#REF!+#REF!</definedName>
    <definedName name="SHARED_FORMULA_2_74_2_74_5" localSheetId="5">#REF!+#REF!+#REF!+#REF!</definedName>
    <definedName name="SHARED_FORMULA_2_74_2_74_5" localSheetId="4">#REF!+#REF!+#REF!+#REF!</definedName>
    <definedName name="SHARED_FORMULA_2_74_2_74_5" localSheetId="6">"#REF!+#REF!+#REF!+#REF!"</definedName>
    <definedName name="SHARED_FORMULA_2_74_2_74_5" localSheetId="7">#REF!+#REF!+#REF!+#REF!</definedName>
    <definedName name="SHARED_FORMULA_2_74_2_74_5" localSheetId="8">#REF!+#REF!+#REF!+#REF!</definedName>
    <definedName name="SHARED_FORMULA_2_74_2_74_5" localSheetId="9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4">#REF!+#REF!+#REF!+#REF!</definedName>
    <definedName name="SHARED_FORMULA_2_75_2_75_5" localSheetId="16">#REF!+#REF!+#REF!+#REF!</definedName>
    <definedName name="SHARED_FORMULA_2_75_2_75_5" localSheetId="5">#REF!+#REF!+#REF!+#REF!</definedName>
    <definedName name="SHARED_FORMULA_2_75_2_75_5" localSheetId="4">#REF!+#REF!+#REF!+#REF!</definedName>
    <definedName name="SHARED_FORMULA_2_75_2_75_5" localSheetId="6">"#REF!+#REF!+#REF!+#REF!"</definedName>
    <definedName name="SHARED_FORMULA_2_75_2_75_5" localSheetId="7">#REF!+#REF!+#REF!+#REF!</definedName>
    <definedName name="SHARED_FORMULA_2_75_2_75_5" localSheetId="8">#REF!+#REF!+#REF!+#REF!</definedName>
    <definedName name="SHARED_FORMULA_2_75_2_75_5" localSheetId="9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4">#REF!</definedName>
    <definedName name="SHARED_FORMULA_2_82_2_82_5" localSheetId="16">#REF!</definedName>
    <definedName name="SHARED_FORMULA_2_82_2_82_5" localSheetId="5">#REF!</definedName>
    <definedName name="SHARED_FORMULA_2_82_2_82_5" localSheetId="4">#REF!</definedName>
    <definedName name="SHARED_FORMULA_2_82_2_82_5" localSheetId="6">NA()</definedName>
    <definedName name="SHARED_FORMULA_2_82_2_82_5" localSheetId="7">#REF!</definedName>
    <definedName name="SHARED_FORMULA_2_82_2_82_5" localSheetId="8">#REF!</definedName>
    <definedName name="SHARED_FORMULA_2_82_2_82_5" localSheetId="9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4">#REF!+#REF!</definedName>
    <definedName name="SHARED_FORMULA_2_86_2_86_5" localSheetId="16">#REF!+#REF!</definedName>
    <definedName name="SHARED_FORMULA_2_86_2_86_5" localSheetId="5">#REF!+#REF!</definedName>
    <definedName name="SHARED_FORMULA_2_86_2_86_5" localSheetId="4">#REF!+#REF!</definedName>
    <definedName name="SHARED_FORMULA_2_86_2_86_5" localSheetId="6">"#REF!+#REF!"</definedName>
    <definedName name="SHARED_FORMULA_2_86_2_86_5" localSheetId="7">#REF!+#REF!</definedName>
    <definedName name="SHARED_FORMULA_2_86_2_86_5" localSheetId="8">#REF!+#REF!</definedName>
    <definedName name="SHARED_FORMULA_2_86_2_86_5" localSheetId="9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4">#REF!+#REF!</definedName>
    <definedName name="SHARED_FORMULA_2_87_2_87_5" localSheetId="16">#REF!+#REF!</definedName>
    <definedName name="SHARED_FORMULA_2_87_2_87_5" localSheetId="5">#REF!+#REF!</definedName>
    <definedName name="SHARED_FORMULA_2_87_2_87_5" localSheetId="4">#REF!+#REF!</definedName>
    <definedName name="SHARED_FORMULA_2_87_2_87_5" localSheetId="6">"#REF!+#REF!"</definedName>
    <definedName name="SHARED_FORMULA_2_87_2_87_5" localSheetId="7">#REF!+#REF!</definedName>
    <definedName name="SHARED_FORMULA_2_87_2_87_5" localSheetId="8">#REF!+#REF!</definedName>
    <definedName name="SHARED_FORMULA_2_87_2_87_5" localSheetId="9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4">#REF!+#REF!</definedName>
    <definedName name="SHARED_FORMULA_2_88_2_88_5" localSheetId="16">#REF!+#REF!</definedName>
    <definedName name="SHARED_FORMULA_2_88_2_88_5" localSheetId="5">#REF!+#REF!</definedName>
    <definedName name="SHARED_FORMULA_2_88_2_88_5" localSheetId="4">#REF!+#REF!</definedName>
    <definedName name="SHARED_FORMULA_2_88_2_88_5" localSheetId="6">"#REF!+#REF!"</definedName>
    <definedName name="SHARED_FORMULA_2_88_2_88_5" localSheetId="7">#REF!+#REF!</definedName>
    <definedName name="SHARED_FORMULA_2_88_2_88_5" localSheetId="8">#REF!+#REF!</definedName>
    <definedName name="SHARED_FORMULA_2_88_2_88_5" localSheetId="9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4">#REF!+#REF!</definedName>
    <definedName name="SHARED_FORMULA_2_89_2_89_5" localSheetId="16">#REF!+#REF!</definedName>
    <definedName name="SHARED_FORMULA_2_89_2_89_5" localSheetId="5">#REF!+#REF!</definedName>
    <definedName name="SHARED_FORMULA_2_89_2_89_5" localSheetId="4">#REF!+#REF!</definedName>
    <definedName name="SHARED_FORMULA_2_89_2_89_5" localSheetId="6">"#REF!+#REF!"</definedName>
    <definedName name="SHARED_FORMULA_2_89_2_89_5" localSheetId="7">#REF!+#REF!</definedName>
    <definedName name="SHARED_FORMULA_2_89_2_89_5" localSheetId="8">#REF!+#REF!</definedName>
    <definedName name="SHARED_FORMULA_2_89_2_89_5" localSheetId="9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4">#REF!</definedName>
    <definedName name="SHARED_FORMULA_2_9_2_9_5" localSheetId="16">#REF!</definedName>
    <definedName name="SHARED_FORMULA_2_9_2_9_5" localSheetId="5">#REF!</definedName>
    <definedName name="SHARED_FORMULA_2_9_2_9_5" localSheetId="4">#REF!</definedName>
    <definedName name="SHARED_FORMULA_2_9_2_9_5" localSheetId="6">NA()</definedName>
    <definedName name="SHARED_FORMULA_2_9_2_9_5" localSheetId="7">#REF!</definedName>
    <definedName name="SHARED_FORMULA_2_9_2_9_5" localSheetId="8">#REF!</definedName>
    <definedName name="SHARED_FORMULA_2_9_2_9_5" localSheetId="9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4">#REF!+#REF!</definedName>
    <definedName name="SHARED_FORMULA_2_90_2_90_5" localSheetId="16">#REF!+#REF!</definedName>
    <definedName name="SHARED_FORMULA_2_90_2_90_5" localSheetId="5">#REF!+#REF!</definedName>
    <definedName name="SHARED_FORMULA_2_90_2_90_5" localSheetId="4">#REF!+#REF!</definedName>
    <definedName name="SHARED_FORMULA_2_90_2_90_5" localSheetId="6">"#REF!+#REF!"</definedName>
    <definedName name="SHARED_FORMULA_2_90_2_90_5" localSheetId="7">#REF!+#REF!</definedName>
    <definedName name="SHARED_FORMULA_2_90_2_90_5" localSheetId="8">#REF!+#REF!</definedName>
    <definedName name="SHARED_FORMULA_2_90_2_90_5" localSheetId="9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4">#REF!</definedName>
    <definedName name="SHARED_FORMULA_2_92_2_92_5" localSheetId="16">#REF!</definedName>
    <definedName name="SHARED_FORMULA_2_92_2_92_5" localSheetId="5">#REF!</definedName>
    <definedName name="SHARED_FORMULA_2_92_2_92_5" localSheetId="4">#REF!</definedName>
    <definedName name="SHARED_FORMULA_2_92_2_92_5" localSheetId="6">NA()</definedName>
    <definedName name="SHARED_FORMULA_2_92_2_92_5" localSheetId="7">#REF!</definedName>
    <definedName name="SHARED_FORMULA_2_92_2_92_5" localSheetId="8">#REF!</definedName>
    <definedName name="SHARED_FORMULA_2_92_2_92_5" localSheetId="9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4">#REF!</definedName>
    <definedName name="SHARED_FORMULA_2_97_2_97_5" localSheetId="16">#REF!</definedName>
    <definedName name="SHARED_FORMULA_2_97_2_97_5" localSheetId="5">#REF!</definedName>
    <definedName name="SHARED_FORMULA_2_97_2_97_5" localSheetId="4">#REF!</definedName>
    <definedName name="SHARED_FORMULA_2_97_2_97_5" localSheetId="6">NA()</definedName>
    <definedName name="SHARED_FORMULA_2_97_2_97_5" localSheetId="7">#REF!</definedName>
    <definedName name="SHARED_FORMULA_2_97_2_97_5" localSheetId="8">#REF!</definedName>
    <definedName name="SHARED_FORMULA_2_97_2_97_5" localSheetId="9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4">#REF!</definedName>
    <definedName name="SHARED_FORMULA_20_10_20_10_5" localSheetId="16">#REF!</definedName>
    <definedName name="SHARED_FORMULA_20_10_20_10_5" localSheetId="5">#REF!</definedName>
    <definedName name="SHARED_FORMULA_20_10_20_10_5" localSheetId="4">#REF!</definedName>
    <definedName name="SHARED_FORMULA_20_10_20_10_5" localSheetId="6">NA()</definedName>
    <definedName name="SHARED_FORMULA_20_10_20_10_5" localSheetId="7">#REF!</definedName>
    <definedName name="SHARED_FORMULA_20_10_20_10_5" localSheetId="8">#REF!</definedName>
    <definedName name="SHARED_FORMULA_20_10_20_10_5" localSheetId="9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4">#REF!</definedName>
    <definedName name="SHARED_FORMULA_20_102_20_102_5" localSheetId="16">#REF!</definedName>
    <definedName name="SHARED_FORMULA_20_102_20_102_5" localSheetId="5">#REF!</definedName>
    <definedName name="SHARED_FORMULA_20_102_20_102_5" localSheetId="4">#REF!</definedName>
    <definedName name="SHARED_FORMULA_20_102_20_102_5" localSheetId="6">NA()</definedName>
    <definedName name="SHARED_FORMULA_20_102_20_102_5" localSheetId="7">#REF!</definedName>
    <definedName name="SHARED_FORMULA_20_102_20_102_5" localSheetId="8">#REF!</definedName>
    <definedName name="SHARED_FORMULA_20_102_20_102_5" localSheetId="9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4">#REF!</definedName>
    <definedName name="SHARED_FORMULA_20_112_20_112_5" localSheetId="16">#REF!</definedName>
    <definedName name="SHARED_FORMULA_20_112_20_112_5" localSheetId="5">#REF!</definedName>
    <definedName name="SHARED_FORMULA_20_112_20_112_5" localSheetId="4">#REF!</definedName>
    <definedName name="SHARED_FORMULA_20_112_20_112_5" localSheetId="6">NA()</definedName>
    <definedName name="SHARED_FORMULA_20_112_20_112_5" localSheetId="7">#REF!</definedName>
    <definedName name="SHARED_FORMULA_20_112_20_112_5" localSheetId="8">#REF!</definedName>
    <definedName name="SHARED_FORMULA_20_112_20_112_5" localSheetId="9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4">#REF!</definedName>
    <definedName name="SHARED_FORMULA_20_117_20_117_5" localSheetId="16">#REF!</definedName>
    <definedName name="SHARED_FORMULA_20_117_20_117_5" localSheetId="5">#REF!</definedName>
    <definedName name="SHARED_FORMULA_20_117_20_117_5" localSheetId="4">#REF!</definedName>
    <definedName name="SHARED_FORMULA_20_117_20_117_5" localSheetId="6">NA()</definedName>
    <definedName name="SHARED_FORMULA_20_117_20_117_5" localSheetId="7">#REF!</definedName>
    <definedName name="SHARED_FORMULA_20_117_20_117_5" localSheetId="8">#REF!</definedName>
    <definedName name="SHARED_FORMULA_20_117_20_117_5" localSheetId="9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4">#REF!+#REF!+#REF!+#REF!</definedName>
    <definedName name="SHARED_FORMULA_20_121_20_121_5" localSheetId="16">#REF!+#REF!+#REF!+#REF!</definedName>
    <definedName name="SHARED_FORMULA_20_121_20_121_5" localSheetId="5">#REF!+#REF!+#REF!+#REF!</definedName>
    <definedName name="SHARED_FORMULA_20_121_20_121_5" localSheetId="4">#REF!+#REF!+#REF!+#REF!</definedName>
    <definedName name="SHARED_FORMULA_20_121_20_121_5" localSheetId="6">"#REF!+#REF!+#REF!+#REF!"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 localSheetId="9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4">#REF!</definedName>
    <definedName name="SHARED_FORMULA_20_127_20_127_5" localSheetId="16">#REF!</definedName>
    <definedName name="SHARED_FORMULA_20_127_20_127_5" localSheetId="5">#REF!</definedName>
    <definedName name="SHARED_FORMULA_20_127_20_127_5" localSheetId="4">#REF!</definedName>
    <definedName name="SHARED_FORMULA_20_127_20_127_5" localSheetId="6">NA()</definedName>
    <definedName name="SHARED_FORMULA_20_127_20_127_5" localSheetId="7">#REF!</definedName>
    <definedName name="SHARED_FORMULA_20_127_20_127_5" localSheetId="8">#REF!</definedName>
    <definedName name="SHARED_FORMULA_20_127_20_127_5" localSheetId="9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4">#REF!+#REF!+#REF!+#REF!+#REF!+#REF!+#REF!+#REF!+#REF!+#REF!+#REF!+#REF!+#REF!+#REF!+#REF!+#REF!+#REF!+#REF!+#REF!+#REF!+#REF!+#REF!+#REF!</definedName>
    <definedName name="SHARED_FORMULA_20_131_20_131_5" localSheetId="16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 localSheetId="4">#REF!+#REF!+#REF!+#REF!+#REF!+#REF!+#REF!+#REF!+#REF!+#REF!+#REF!+#REF!+#REF!+#REF!+#REF!+#REF!+#REF!+#REF!+#REF!+#REF!+#REF!+#REF!+#REF!</definedName>
    <definedName name="SHARED_FORMULA_20_131_20_131_5" localSheetId="6">"#REF!+#REF!+#REF!+#REF!+#REF!+#REF!+#REF!+#REF!+#REF!+#REF!+#REF!+#REF!+#REF!+#REF!+#REF!+#REF!+#REF!+#REF!+#REF!+#REF!+#REF!+#REF!+#REF!"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 localSheetId="9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4">#REF!</definedName>
    <definedName name="SHARED_FORMULA_20_14_20_14_5" localSheetId="16">#REF!</definedName>
    <definedName name="SHARED_FORMULA_20_14_20_14_5" localSheetId="5">#REF!</definedName>
    <definedName name="SHARED_FORMULA_20_14_20_14_5" localSheetId="4">#REF!</definedName>
    <definedName name="SHARED_FORMULA_20_14_20_14_5" localSheetId="6">NA()</definedName>
    <definedName name="SHARED_FORMULA_20_14_20_14_5" localSheetId="7">#REF!</definedName>
    <definedName name="SHARED_FORMULA_20_14_20_14_5" localSheetId="8">#REF!</definedName>
    <definedName name="SHARED_FORMULA_20_14_20_14_5" localSheetId="9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4">#REF!+#REF!+#REF!+#REF!+#REF!+#REF!+#REF!+#REF!+#REF!+#REF!+#REF!+#REF!+#REF!+#REF!+#REF!+#REF!+#REF!+#REF!+#REF!+#REF!+#REF!+#REF!</definedName>
    <definedName name="SHARED_FORMULA_20_141_20_141_5" localSheetId="16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 localSheetId="4">#REF!+#REF!+#REF!+#REF!+#REF!+#REF!+#REF!+#REF!+#REF!+#REF!+#REF!+#REF!+#REF!+#REF!+#REF!+#REF!+#REF!+#REF!+#REF!+#REF!+#REF!+#REF!</definedName>
    <definedName name="SHARED_FORMULA_20_141_20_141_5" localSheetId="6">"#REF!+#REF!+#REF!+#REF!+#REF!+#REF!+#REF!+#REF!+#REF!+#REF!+#REF!+#REF!+#REF!+#REF!+#REF!+#REF!+#REF!+#REF!+#REF!+#REF!+#REF!+#REF!"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 localSheetId="9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4">#REF!</definedName>
    <definedName name="SHARED_FORMULA_20_19_20_19_5" localSheetId="16">#REF!</definedName>
    <definedName name="SHARED_FORMULA_20_19_20_19_5" localSheetId="5">#REF!</definedName>
    <definedName name="SHARED_FORMULA_20_19_20_19_5" localSheetId="4">#REF!</definedName>
    <definedName name="SHARED_FORMULA_20_19_20_19_5" localSheetId="6">NA()</definedName>
    <definedName name="SHARED_FORMULA_20_19_20_19_5" localSheetId="7">#REF!</definedName>
    <definedName name="SHARED_FORMULA_20_19_20_19_5" localSheetId="8">#REF!</definedName>
    <definedName name="SHARED_FORMULA_20_19_20_19_5" localSheetId="9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4">#REF!</definedName>
    <definedName name="SHARED_FORMULA_20_22_20_22_5" localSheetId="16">#REF!</definedName>
    <definedName name="SHARED_FORMULA_20_22_20_22_5" localSheetId="5">#REF!</definedName>
    <definedName name="SHARED_FORMULA_20_22_20_22_5" localSheetId="4">#REF!</definedName>
    <definedName name="SHARED_FORMULA_20_22_20_22_5" localSheetId="6">NA()</definedName>
    <definedName name="SHARED_FORMULA_20_22_20_22_5" localSheetId="7">#REF!</definedName>
    <definedName name="SHARED_FORMULA_20_22_20_22_5" localSheetId="8">#REF!</definedName>
    <definedName name="SHARED_FORMULA_20_22_20_22_5" localSheetId="9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4">#REF!</definedName>
    <definedName name="SHARED_FORMULA_20_27_20_27_5" localSheetId="16">#REF!</definedName>
    <definedName name="SHARED_FORMULA_20_27_20_27_5" localSheetId="5">#REF!</definedName>
    <definedName name="SHARED_FORMULA_20_27_20_27_5" localSheetId="4">#REF!</definedName>
    <definedName name="SHARED_FORMULA_20_27_20_27_5" localSheetId="6">NA()</definedName>
    <definedName name="SHARED_FORMULA_20_27_20_27_5" localSheetId="7">#REF!</definedName>
    <definedName name="SHARED_FORMULA_20_27_20_27_5" localSheetId="8">#REF!</definedName>
    <definedName name="SHARED_FORMULA_20_27_20_27_5" localSheetId="9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4">#REF!</definedName>
    <definedName name="SHARED_FORMULA_20_33_20_33_5" localSheetId="16">#REF!</definedName>
    <definedName name="SHARED_FORMULA_20_33_20_33_5" localSheetId="5">#REF!</definedName>
    <definedName name="SHARED_FORMULA_20_33_20_33_5" localSheetId="4">#REF!</definedName>
    <definedName name="SHARED_FORMULA_20_33_20_33_5" localSheetId="6">NA()</definedName>
    <definedName name="SHARED_FORMULA_20_33_20_33_5" localSheetId="7">#REF!</definedName>
    <definedName name="SHARED_FORMULA_20_33_20_33_5" localSheetId="8">#REF!</definedName>
    <definedName name="SHARED_FORMULA_20_33_20_33_5" localSheetId="9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4">#REF!</definedName>
    <definedName name="SHARED_FORMULA_20_37_20_37_5" localSheetId="16">#REF!</definedName>
    <definedName name="SHARED_FORMULA_20_37_20_37_5" localSheetId="5">#REF!</definedName>
    <definedName name="SHARED_FORMULA_20_37_20_37_5" localSheetId="4">#REF!</definedName>
    <definedName name="SHARED_FORMULA_20_37_20_37_5" localSheetId="6">NA()</definedName>
    <definedName name="SHARED_FORMULA_20_37_20_37_5" localSheetId="7">#REF!</definedName>
    <definedName name="SHARED_FORMULA_20_37_20_37_5" localSheetId="8">#REF!</definedName>
    <definedName name="SHARED_FORMULA_20_37_20_37_5" localSheetId="9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4">#REF!</definedName>
    <definedName name="SHARED_FORMULA_20_42_20_42_5" localSheetId="16">#REF!</definedName>
    <definedName name="SHARED_FORMULA_20_42_20_42_5" localSheetId="5">#REF!</definedName>
    <definedName name="SHARED_FORMULA_20_42_20_42_5" localSheetId="4">#REF!</definedName>
    <definedName name="SHARED_FORMULA_20_42_20_42_5" localSheetId="6">NA()</definedName>
    <definedName name="SHARED_FORMULA_20_42_20_42_5" localSheetId="7">#REF!</definedName>
    <definedName name="SHARED_FORMULA_20_42_20_42_5" localSheetId="8">#REF!</definedName>
    <definedName name="SHARED_FORMULA_20_42_20_42_5" localSheetId="9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4">#REF!</definedName>
    <definedName name="SHARED_FORMULA_20_57_20_57_5" localSheetId="16">#REF!</definedName>
    <definedName name="SHARED_FORMULA_20_57_20_57_5" localSheetId="5">#REF!</definedName>
    <definedName name="SHARED_FORMULA_20_57_20_57_5" localSheetId="4">#REF!</definedName>
    <definedName name="SHARED_FORMULA_20_57_20_57_5" localSheetId="6">NA()</definedName>
    <definedName name="SHARED_FORMULA_20_57_20_57_5" localSheetId="7">#REF!</definedName>
    <definedName name="SHARED_FORMULA_20_57_20_57_5" localSheetId="8">#REF!</definedName>
    <definedName name="SHARED_FORMULA_20_57_20_57_5" localSheetId="9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4">#REF!</definedName>
    <definedName name="SHARED_FORMULA_20_63_20_63_5" localSheetId="16">#REF!</definedName>
    <definedName name="SHARED_FORMULA_20_63_20_63_5" localSheetId="5">#REF!</definedName>
    <definedName name="SHARED_FORMULA_20_63_20_63_5" localSheetId="4">#REF!</definedName>
    <definedName name="SHARED_FORMULA_20_63_20_63_5" localSheetId="6">NA()</definedName>
    <definedName name="SHARED_FORMULA_20_63_20_63_5" localSheetId="7">#REF!</definedName>
    <definedName name="SHARED_FORMULA_20_63_20_63_5" localSheetId="8">#REF!</definedName>
    <definedName name="SHARED_FORMULA_20_63_20_63_5" localSheetId="9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4">#REF!</definedName>
    <definedName name="SHARED_FORMULA_20_67_20_67_5" localSheetId="16">#REF!</definedName>
    <definedName name="SHARED_FORMULA_20_67_20_67_5" localSheetId="5">#REF!</definedName>
    <definedName name="SHARED_FORMULA_20_67_20_67_5" localSheetId="4">#REF!</definedName>
    <definedName name="SHARED_FORMULA_20_67_20_67_5" localSheetId="6">NA()</definedName>
    <definedName name="SHARED_FORMULA_20_67_20_67_5" localSheetId="7">#REF!</definedName>
    <definedName name="SHARED_FORMULA_20_67_20_67_5" localSheetId="8">#REF!</definedName>
    <definedName name="SHARED_FORMULA_20_67_20_67_5" localSheetId="9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4">#REF!</definedName>
    <definedName name="SHARED_FORMULA_20_78_20_78_5" localSheetId="16">#REF!</definedName>
    <definedName name="SHARED_FORMULA_20_78_20_78_5" localSheetId="5">#REF!</definedName>
    <definedName name="SHARED_FORMULA_20_78_20_78_5" localSheetId="4">#REF!</definedName>
    <definedName name="SHARED_FORMULA_20_78_20_78_5" localSheetId="6">NA()</definedName>
    <definedName name="SHARED_FORMULA_20_78_20_78_5" localSheetId="7">#REF!</definedName>
    <definedName name="SHARED_FORMULA_20_78_20_78_5" localSheetId="8">#REF!</definedName>
    <definedName name="SHARED_FORMULA_20_78_20_78_5" localSheetId="9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4">#REF!</definedName>
    <definedName name="SHARED_FORMULA_20_82_20_82_5" localSheetId="16">#REF!</definedName>
    <definedName name="SHARED_FORMULA_20_82_20_82_5" localSheetId="5">#REF!</definedName>
    <definedName name="SHARED_FORMULA_20_82_20_82_5" localSheetId="4">#REF!</definedName>
    <definedName name="SHARED_FORMULA_20_82_20_82_5" localSheetId="6">NA()</definedName>
    <definedName name="SHARED_FORMULA_20_82_20_82_5" localSheetId="7">#REF!</definedName>
    <definedName name="SHARED_FORMULA_20_82_20_82_5" localSheetId="8">#REF!</definedName>
    <definedName name="SHARED_FORMULA_20_82_20_82_5" localSheetId="9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4">#REF!+#REF!</definedName>
    <definedName name="SHARED_FORMULA_20_86_20_86_5" localSheetId="16">#REF!+#REF!</definedName>
    <definedName name="SHARED_FORMULA_20_86_20_86_5" localSheetId="5">#REF!+#REF!</definedName>
    <definedName name="SHARED_FORMULA_20_86_20_86_5" localSheetId="4">#REF!+#REF!</definedName>
    <definedName name="SHARED_FORMULA_20_86_20_86_5" localSheetId="6">"#REF!+#REF!"</definedName>
    <definedName name="SHARED_FORMULA_20_86_20_86_5" localSheetId="7">#REF!+#REF!</definedName>
    <definedName name="SHARED_FORMULA_20_86_20_86_5" localSheetId="8">#REF!+#REF!</definedName>
    <definedName name="SHARED_FORMULA_20_86_20_86_5" localSheetId="9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4">#REF!</definedName>
    <definedName name="SHARED_FORMULA_20_92_20_92_5" localSheetId="16">#REF!</definedName>
    <definedName name="SHARED_FORMULA_20_92_20_92_5" localSheetId="5">#REF!</definedName>
    <definedName name="SHARED_FORMULA_20_92_20_92_5" localSheetId="4">#REF!</definedName>
    <definedName name="SHARED_FORMULA_20_92_20_92_5" localSheetId="6">NA()</definedName>
    <definedName name="SHARED_FORMULA_20_92_20_92_5" localSheetId="7">#REF!</definedName>
    <definedName name="SHARED_FORMULA_20_92_20_92_5" localSheetId="8">#REF!</definedName>
    <definedName name="SHARED_FORMULA_20_92_20_92_5" localSheetId="9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4">SUM(#REF!)-#REF!</definedName>
    <definedName name="SHARED_FORMULA_23_3_23_3_5" localSheetId="16">SUM(#REF!)-#REF!</definedName>
    <definedName name="SHARED_FORMULA_23_3_23_3_5" localSheetId="5">SUM(#REF!)-#REF!</definedName>
    <definedName name="SHARED_FORMULA_23_3_23_3_5" localSheetId="4">SUM(#REF!)-#REF!</definedName>
    <definedName name="SHARED_FORMULA_23_3_23_3_5" localSheetId="6">"SUM(#REF!)-#REF!)"</definedName>
    <definedName name="SHARED_FORMULA_23_3_23_3_5" localSheetId="7">SUM(#REF!)-#REF!</definedName>
    <definedName name="SHARED_FORMULA_23_3_23_3_5" localSheetId="8">SUM(#REF!)-#REF!</definedName>
    <definedName name="SHARED_FORMULA_23_3_23_3_5" localSheetId="9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4">SUM(#REF!)-#REF!</definedName>
    <definedName name="SHARED_FORMULA_23_32_23_32_5" localSheetId="16">SUM(#REF!)-#REF!</definedName>
    <definedName name="SHARED_FORMULA_23_32_23_32_5" localSheetId="5">SUM(#REF!)-#REF!</definedName>
    <definedName name="SHARED_FORMULA_23_32_23_32_5" localSheetId="4">SUM(#REF!)-#REF!</definedName>
    <definedName name="SHARED_FORMULA_23_32_23_32_5" localSheetId="6">"SUM(#REF!)-#REF!)"</definedName>
    <definedName name="SHARED_FORMULA_23_32_23_32_5" localSheetId="7">SUM(#REF!)-#REF!</definedName>
    <definedName name="SHARED_FORMULA_23_32_23_32_5" localSheetId="8">SUM(#REF!)-#REF!</definedName>
    <definedName name="SHARED_FORMULA_23_32_23_32_5" localSheetId="9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4">SUM(#REF!)-#REF!</definedName>
    <definedName name="SHARED_FORMULA_23_64_23_64_5" localSheetId="16">SUM(#REF!)-#REF!</definedName>
    <definedName name="SHARED_FORMULA_23_64_23_64_5" localSheetId="5">SUM(#REF!)-#REF!</definedName>
    <definedName name="SHARED_FORMULA_23_64_23_64_5" localSheetId="4">SUM(#REF!)-#REF!</definedName>
    <definedName name="SHARED_FORMULA_23_64_23_64_5" localSheetId="6">"SUM(#REF!)-#REF!)"</definedName>
    <definedName name="SHARED_FORMULA_23_64_23_64_5" localSheetId="7">SUM(#REF!)-#REF!</definedName>
    <definedName name="SHARED_FORMULA_23_64_23_64_5" localSheetId="8">SUM(#REF!)-#REF!</definedName>
    <definedName name="SHARED_FORMULA_23_64_23_64_5" localSheetId="9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4">SUM(#REF!)-#REF!</definedName>
    <definedName name="SHARED_FORMULA_23_96_23_96_5" localSheetId="16">SUM(#REF!)-#REF!</definedName>
    <definedName name="SHARED_FORMULA_23_96_23_96_5" localSheetId="5">SUM(#REF!)-#REF!</definedName>
    <definedName name="SHARED_FORMULA_23_96_23_96_5" localSheetId="4">SUM(#REF!)-#REF!</definedName>
    <definedName name="SHARED_FORMULA_23_96_23_96_5" localSheetId="6">"SUM(#REF!)-#REF!)"</definedName>
    <definedName name="SHARED_FORMULA_23_96_23_96_5" localSheetId="7">SUM(#REF!)-#REF!</definedName>
    <definedName name="SHARED_FORMULA_23_96_23_96_5" localSheetId="8">SUM(#REF!)-#REF!</definedName>
    <definedName name="SHARED_FORMULA_23_96_23_96_5" localSheetId="9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4">SUM(#REF!)-#REF!</definedName>
    <definedName name="SHARED_FORMULA_25_131_25_131_5" localSheetId="16">SUM(#REF!)-#REF!</definedName>
    <definedName name="SHARED_FORMULA_25_131_25_131_5" localSheetId="5">SUM(#REF!)-#REF!</definedName>
    <definedName name="SHARED_FORMULA_25_131_25_131_5" localSheetId="4">SUM(#REF!)-#REF!</definedName>
    <definedName name="SHARED_FORMULA_25_131_25_131_5" localSheetId="6">"SUM(#REF!)-#REF!)"</definedName>
    <definedName name="SHARED_FORMULA_25_131_25_131_5" localSheetId="7">SUM(#REF!)-#REF!</definedName>
    <definedName name="SHARED_FORMULA_25_131_25_131_5" localSheetId="8">SUM(#REF!)-#REF!</definedName>
    <definedName name="SHARED_FORMULA_25_131_25_131_5" localSheetId="9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4">SUM(#REF!)</definedName>
    <definedName name="SHARED_FORMULA_3_10_3_10_3" localSheetId="16">SUM(#REF!)</definedName>
    <definedName name="SHARED_FORMULA_3_10_3_10_3" localSheetId="5">SUM(#REF!)</definedName>
    <definedName name="SHARED_FORMULA_3_10_3_10_3" localSheetId="4">SUM(#REF!)</definedName>
    <definedName name="SHARED_FORMULA_3_10_3_10_3" localSheetId="6">"SUM(#REF!))"</definedName>
    <definedName name="SHARED_FORMULA_3_10_3_10_3" localSheetId="7">SUM(#REF!)</definedName>
    <definedName name="SHARED_FORMULA_3_10_3_10_3" localSheetId="8">SUM(#REF!)</definedName>
    <definedName name="SHARED_FORMULA_3_10_3_10_3" localSheetId="9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4">SUM(#REF!+#REF!+#REF!)</definedName>
    <definedName name="SHARED_FORMULA_3_308_3_308_4" localSheetId="16">SUM(#REF!+#REF!+#REF!)</definedName>
    <definedName name="SHARED_FORMULA_3_308_3_308_4" localSheetId="5">SUM(#REF!+#REF!+#REF!)</definedName>
    <definedName name="SHARED_FORMULA_3_308_3_308_4" localSheetId="4">SUM(#REF!+#REF!+#REF!)</definedName>
    <definedName name="SHARED_FORMULA_3_308_3_308_4" localSheetId="6">"SUM(#REF!+#REF!+#REF!))"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 localSheetId="9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4">#REF!+#REF!+#REF!</definedName>
    <definedName name="SHARED_FORMULA_3_309_3_309_4" localSheetId="16">#REF!+#REF!+#REF!</definedName>
    <definedName name="SHARED_FORMULA_3_309_3_309_4" localSheetId="5">#REF!+#REF!+#REF!</definedName>
    <definedName name="SHARED_FORMULA_3_309_3_309_4" localSheetId="4">#REF!+#REF!+#REF!</definedName>
    <definedName name="SHARED_FORMULA_3_309_3_309_4" localSheetId="6">"#REF!+#REF!+#REF!"</definedName>
    <definedName name="SHARED_FORMULA_3_309_3_309_4" localSheetId="7">#REF!+#REF!+#REF!</definedName>
    <definedName name="SHARED_FORMULA_3_309_3_309_4" localSheetId="8">#REF!+#REF!+#REF!</definedName>
    <definedName name="SHARED_FORMULA_3_309_3_309_4" localSheetId="9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4">SUM(#REF!+#REF!+#REF!)</definedName>
    <definedName name="SHARED_FORMULA_3_312_3_312_4" localSheetId="16">SUM(#REF!+#REF!+#REF!)</definedName>
    <definedName name="SHARED_FORMULA_3_312_3_312_4" localSheetId="5">SUM(#REF!+#REF!+#REF!)</definedName>
    <definedName name="SHARED_FORMULA_3_312_3_312_4" localSheetId="4">SUM(#REF!+#REF!+#REF!)</definedName>
    <definedName name="SHARED_FORMULA_3_312_3_312_4" localSheetId="6">"SUM(#REF!+#REF!+#REF!))"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 localSheetId="9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4">SUM(#REF!)</definedName>
    <definedName name="SHARED_FORMULA_3_32_3_32_2" localSheetId="16">SUM(#REF!)</definedName>
    <definedName name="SHARED_FORMULA_3_32_3_32_2" localSheetId="5">SUM(#REF!)</definedName>
    <definedName name="SHARED_FORMULA_3_32_3_32_2" localSheetId="4">SUM(#REF!)</definedName>
    <definedName name="SHARED_FORMULA_3_32_3_32_2" localSheetId="6">"SUM(#REF!))"</definedName>
    <definedName name="SHARED_FORMULA_3_32_3_32_2" localSheetId="7">SUM(#REF!)</definedName>
    <definedName name="SHARED_FORMULA_3_32_3_32_2" localSheetId="8">SUM(#REF!)</definedName>
    <definedName name="SHARED_FORMULA_3_32_3_32_2" localSheetId="9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4">SUM(#REF!+#REF!+#REF!+#REF!)</definedName>
    <definedName name="SHARED_FORMULA_3_320_3_320_4" localSheetId="16">SUM(#REF!+#REF!+#REF!+#REF!)</definedName>
    <definedName name="SHARED_FORMULA_3_320_3_320_4" localSheetId="5">SUM(#REF!+#REF!+#REF!+#REF!)</definedName>
    <definedName name="SHARED_FORMULA_3_320_3_320_4" localSheetId="4">SUM(#REF!+#REF!+#REF!+#REF!)</definedName>
    <definedName name="SHARED_FORMULA_3_320_3_320_4" localSheetId="6">"SUM(#REF!+#REF!+#REF!+#REF!))"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 localSheetId="9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4">SUM(#REF!+#REF!+#REF!+#REF!)</definedName>
    <definedName name="SHARED_FORMULA_3_321_3_321_4" localSheetId="16">SUM(#REF!+#REF!+#REF!+#REF!)</definedName>
    <definedName name="SHARED_FORMULA_3_321_3_321_4" localSheetId="5">SUM(#REF!+#REF!+#REF!+#REF!)</definedName>
    <definedName name="SHARED_FORMULA_3_321_3_321_4" localSheetId="4">SUM(#REF!+#REF!+#REF!+#REF!)</definedName>
    <definedName name="SHARED_FORMULA_3_321_3_321_4" localSheetId="6">"SUM(#REF!+#REF!+#REF!+#REF!))"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 localSheetId="9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4">SUM(#REF!)</definedName>
    <definedName name="SHARED_FORMULA_3_37_3_37_2" localSheetId="16">SUM(#REF!)</definedName>
    <definedName name="SHARED_FORMULA_3_37_3_37_2" localSheetId="5">SUM(#REF!)</definedName>
    <definedName name="SHARED_FORMULA_3_37_3_37_2" localSheetId="4">SUM(#REF!)</definedName>
    <definedName name="SHARED_FORMULA_3_37_3_37_2" localSheetId="6">"SUM(#REF!))"</definedName>
    <definedName name="SHARED_FORMULA_3_37_3_37_2" localSheetId="7">SUM(#REF!)</definedName>
    <definedName name="SHARED_FORMULA_3_37_3_37_2" localSheetId="8">SUM(#REF!)</definedName>
    <definedName name="SHARED_FORMULA_3_37_3_37_2" localSheetId="9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4">SUM(#REF!)</definedName>
    <definedName name="SHARED_FORMULA_3_47_3_47_2" localSheetId="16">SUM(#REF!)</definedName>
    <definedName name="SHARED_FORMULA_3_47_3_47_2" localSheetId="5">SUM(#REF!)</definedName>
    <definedName name="SHARED_FORMULA_3_47_3_47_2" localSheetId="4">SUM(#REF!)</definedName>
    <definedName name="SHARED_FORMULA_3_47_3_47_2" localSheetId="6">"SUM(#REF!))"</definedName>
    <definedName name="SHARED_FORMULA_3_47_3_47_2" localSheetId="7">SUM(#REF!)</definedName>
    <definedName name="SHARED_FORMULA_3_47_3_47_2" localSheetId="8">SUM(#REF!)</definedName>
    <definedName name="SHARED_FORMULA_3_47_3_47_2" localSheetId="9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4">#REF!</definedName>
    <definedName name="SHARED_FORMULA_3_59_3_59_5" localSheetId="16">#REF!</definedName>
    <definedName name="SHARED_FORMULA_3_59_3_59_5" localSheetId="5">#REF!</definedName>
    <definedName name="SHARED_FORMULA_3_59_3_59_5" localSheetId="4">#REF!</definedName>
    <definedName name="SHARED_FORMULA_3_59_3_59_5" localSheetId="6">NA()</definedName>
    <definedName name="SHARED_FORMULA_3_59_3_59_5" localSheetId="7">#REF!</definedName>
    <definedName name="SHARED_FORMULA_3_59_3_59_5" localSheetId="8">#REF!</definedName>
    <definedName name="SHARED_FORMULA_3_59_3_59_5" localSheetId="9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4">#REF!</definedName>
    <definedName name="SHARED_FORMULA_3_77_3_77_5" localSheetId="16">#REF!</definedName>
    <definedName name="SHARED_FORMULA_3_77_3_77_5" localSheetId="5">#REF!</definedName>
    <definedName name="SHARED_FORMULA_3_77_3_77_5" localSheetId="4">#REF!</definedName>
    <definedName name="SHARED_FORMULA_3_77_3_77_5" localSheetId="6">NA()</definedName>
    <definedName name="SHARED_FORMULA_3_77_3_77_5" localSheetId="7">#REF!</definedName>
    <definedName name="SHARED_FORMULA_3_77_3_77_5" localSheetId="8">#REF!</definedName>
    <definedName name="SHARED_FORMULA_3_77_3_77_5" localSheetId="9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4">#REF!</definedName>
    <definedName name="SHARED_FORMULA_3_94_3_94_5" localSheetId="16">#REF!</definedName>
    <definedName name="SHARED_FORMULA_3_94_3_94_5" localSheetId="5">#REF!</definedName>
    <definedName name="SHARED_FORMULA_3_94_3_94_5" localSheetId="4">#REF!</definedName>
    <definedName name="SHARED_FORMULA_3_94_3_94_5" localSheetId="6">NA()</definedName>
    <definedName name="SHARED_FORMULA_3_94_3_94_5" localSheetId="7">#REF!</definedName>
    <definedName name="SHARED_FORMULA_3_94_3_94_5" localSheetId="8">#REF!</definedName>
    <definedName name="SHARED_FORMULA_3_94_3_94_5" localSheetId="9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4">SUM(#REF!)-#REF!-#REF!-#REF!</definedName>
    <definedName name="SHARED_FORMULA_4_133_4_133_5" localSheetId="16">SUM(#REF!)-#REF!-#REF!-#REF!</definedName>
    <definedName name="SHARED_FORMULA_4_133_4_133_5" localSheetId="5">SUM(#REF!)-#REF!-#REF!-#REF!</definedName>
    <definedName name="SHARED_FORMULA_4_133_4_133_5" localSheetId="4">SUM(#REF!)-#REF!-#REF!-#REF!</definedName>
    <definedName name="SHARED_FORMULA_4_133_4_133_5" localSheetId="6">"SUM(#REF!)-#REF!-#REF!-#REF!)"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 localSheetId="9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4">SUM(#REF!)</definedName>
    <definedName name="SHARED_FORMULA_4_136_4_136_4" localSheetId="16">SUM(#REF!)</definedName>
    <definedName name="SHARED_FORMULA_4_136_4_136_4" localSheetId="5">SUM(#REF!)</definedName>
    <definedName name="SHARED_FORMULA_4_136_4_136_4" localSheetId="4">SUM(#REF!)</definedName>
    <definedName name="SHARED_FORMULA_4_136_4_136_4" localSheetId="6">"SUM(#REF!))"</definedName>
    <definedName name="SHARED_FORMULA_4_136_4_136_4" localSheetId="7">SUM(#REF!)</definedName>
    <definedName name="SHARED_FORMULA_4_136_4_136_4" localSheetId="8">SUM(#REF!)</definedName>
    <definedName name="SHARED_FORMULA_4_136_4_136_4" localSheetId="9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4">SUM(#REF!)</definedName>
    <definedName name="SHARED_FORMULA_4_200_4_200_4" localSheetId="16">SUM(#REF!)</definedName>
    <definedName name="SHARED_FORMULA_4_200_4_200_4" localSheetId="5">SUM(#REF!)</definedName>
    <definedName name="SHARED_FORMULA_4_200_4_200_4" localSheetId="4">SUM(#REF!)</definedName>
    <definedName name="SHARED_FORMULA_4_200_4_200_4" localSheetId="6">"SUM(#REF!))"</definedName>
    <definedName name="SHARED_FORMULA_4_200_4_200_4" localSheetId="7">SUM(#REF!)</definedName>
    <definedName name="SHARED_FORMULA_4_200_4_200_4" localSheetId="8">SUM(#REF!)</definedName>
    <definedName name="SHARED_FORMULA_4_200_4_200_4" localSheetId="9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4">SUM(#REF!)</definedName>
    <definedName name="SHARED_FORMULA_4_264_4_264_4" localSheetId="16">SUM(#REF!)</definedName>
    <definedName name="SHARED_FORMULA_4_264_4_264_4" localSheetId="5">SUM(#REF!)</definedName>
    <definedName name="SHARED_FORMULA_4_264_4_264_4" localSheetId="4">SUM(#REF!)</definedName>
    <definedName name="SHARED_FORMULA_4_264_4_264_4" localSheetId="6">"SUM(#REF!))"</definedName>
    <definedName name="SHARED_FORMULA_4_264_4_264_4" localSheetId="7">SUM(#REF!)</definedName>
    <definedName name="SHARED_FORMULA_4_264_4_264_4" localSheetId="8">SUM(#REF!)</definedName>
    <definedName name="SHARED_FORMULA_4_264_4_264_4" localSheetId="9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4">SUM(#REF!,#REF!,#REF!)</definedName>
    <definedName name="SHARED_FORMULA_4_322_4_322_4" localSheetId="16">SUM(#REF!,#REF!,#REF!)</definedName>
    <definedName name="SHARED_FORMULA_4_322_4_322_4" localSheetId="5">SUM(#REF!,#REF!,#REF!)</definedName>
    <definedName name="SHARED_FORMULA_4_322_4_322_4" localSheetId="4">SUM(#REF!,#REF!,#REF!)</definedName>
    <definedName name="SHARED_FORMULA_4_322_4_322_4" localSheetId="6">"SUM(#REF!,#REF!,#REF!))"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 localSheetId="9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4">SUM(#REF!,#REF!,#REF!,#REF!,#REF!,#REF!,#REF!,#REF!,#REF!,#REF!,#REF!,#REF!,#REF!,#REF!)</definedName>
    <definedName name="SHARED_FORMULA_4_43_4_43_3" localSheetId="16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 localSheetId="4">SUM(#REF!,#REF!,#REF!,#REF!,#REF!,#REF!,#REF!,#REF!,#REF!,#REF!,#REF!,#REF!,#REF!,#REF!)</definedName>
    <definedName name="SHARED_FORMULA_4_43_4_43_3" localSheetId="6">"SUM(#REF!,#REF!,#REF!,#REF!,#REF!,#REF!,#REF!,#REF!,#REF!,#REF!,#REF!,#REF!,#REF!,#REF!))"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 localSheetId="9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4">SUM(#REF!,#REF!,#REF!,#REF!,#REF!,#REF!,#REF!,#REF!,#REF!,#REF!,#REF!)</definedName>
    <definedName name="SHARED_FORMULA_4_58_4_58_2" localSheetId="16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 localSheetId="4">SUM(#REF!,#REF!,#REF!,#REF!,#REF!,#REF!,#REF!,#REF!,#REF!,#REF!,#REF!)</definedName>
    <definedName name="SHARED_FORMULA_4_58_4_58_2" localSheetId="6">"SUM(#REF!,#REF!,#REF!,#REF!,#REF!,#REF!,#REF!,#REF!,#REF!,#REF!,#REF!))"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 localSheetId="9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4">SUM(#REF!)</definedName>
    <definedName name="SHARED_FORMULA_4_73_4_73_4" localSheetId="16">SUM(#REF!)</definedName>
    <definedName name="SHARED_FORMULA_4_73_4_73_4" localSheetId="5">SUM(#REF!)</definedName>
    <definedName name="SHARED_FORMULA_4_73_4_73_4" localSheetId="4">SUM(#REF!)</definedName>
    <definedName name="SHARED_FORMULA_4_73_4_73_4" localSheetId="6">"SUM(#REF!))"</definedName>
    <definedName name="SHARED_FORMULA_4_73_4_73_4" localSheetId="7">SUM(#REF!)</definedName>
    <definedName name="SHARED_FORMULA_4_73_4_73_4" localSheetId="8">SUM(#REF!)</definedName>
    <definedName name="SHARED_FORMULA_4_73_4_73_4" localSheetId="9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4">SUM(#REF!)</definedName>
    <definedName name="SHARED_FORMULA_4_8_4_8_4" localSheetId="16">SUM(#REF!)</definedName>
    <definedName name="SHARED_FORMULA_4_8_4_8_4" localSheetId="5">SUM(#REF!)</definedName>
    <definedName name="SHARED_FORMULA_4_8_4_8_4" localSheetId="4">SUM(#REF!)</definedName>
    <definedName name="SHARED_FORMULA_4_8_4_8_4" localSheetId="6">"SUM(#REF!))"</definedName>
    <definedName name="SHARED_FORMULA_4_8_4_8_4" localSheetId="7">SUM(#REF!)</definedName>
    <definedName name="SHARED_FORMULA_4_8_4_8_4" localSheetId="8">SUM(#REF!)</definedName>
    <definedName name="SHARED_FORMULA_4_8_4_8_4" localSheetId="9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4">SUM(#REF!)</definedName>
    <definedName name="SHARED_FORMULA_4_9_4_9_3" localSheetId="16">SUM(#REF!)</definedName>
    <definedName name="SHARED_FORMULA_4_9_4_9_3" localSheetId="5">SUM(#REF!)</definedName>
    <definedName name="SHARED_FORMULA_4_9_4_9_3" localSheetId="4">SUM(#REF!)</definedName>
    <definedName name="SHARED_FORMULA_4_9_4_9_3" localSheetId="6">"SUM(#REF!))"</definedName>
    <definedName name="SHARED_FORMULA_4_9_4_9_3" localSheetId="7">SUM(#REF!)</definedName>
    <definedName name="SHARED_FORMULA_4_9_4_9_3" localSheetId="8">SUM(#REF!)</definedName>
    <definedName name="SHARED_FORMULA_4_9_4_9_3" localSheetId="9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4">#REF!</definedName>
    <definedName name="SHARED_FORMULA_5_108_5_108_5" localSheetId="16">#REF!</definedName>
    <definedName name="SHARED_FORMULA_5_108_5_108_5" localSheetId="5">#REF!</definedName>
    <definedName name="SHARED_FORMULA_5_108_5_108_5" localSheetId="4">#REF!</definedName>
    <definedName name="SHARED_FORMULA_5_108_5_108_5" localSheetId="6">NA()</definedName>
    <definedName name="SHARED_FORMULA_5_108_5_108_5" localSheetId="7">#REF!</definedName>
    <definedName name="SHARED_FORMULA_5_108_5_108_5" localSheetId="8">#REF!</definedName>
    <definedName name="SHARED_FORMULA_5_108_5_108_5" localSheetId="9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4">#REF!</definedName>
    <definedName name="SHARED_FORMULA_5_109_5_109_5" localSheetId="16">#REF!</definedName>
    <definedName name="SHARED_FORMULA_5_109_5_109_5" localSheetId="5">#REF!</definedName>
    <definedName name="SHARED_FORMULA_5_109_5_109_5" localSheetId="4">#REF!</definedName>
    <definedName name="SHARED_FORMULA_5_109_5_109_5" localSheetId="6">NA()</definedName>
    <definedName name="SHARED_FORMULA_5_109_5_109_5" localSheetId="7">#REF!</definedName>
    <definedName name="SHARED_FORMULA_5_109_5_109_5" localSheetId="8">#REF!</definedName>
    <definedName name="SHARED_FORMULA_5_109_5_109_5" localSheetId="9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4">#REF!</definedName>
    <definedName name="SHARED_FORMULA_5_129_5_129_5" localSheetId="16">#REF!</definedName>
    <definedName name="SHARED_FORMULA_5_129_5_129_5" localSheetId="5">#REF!</definedName>
    <definedName name="SHARED_FORMULA_5_129_5_129_5" localSheetId="4">#REF!</definedName>
    <definedName name="SHARED_FORMULA_5_129_5_129_5" localSheetId="6">NA()</definedName>
    <definedName name="SHARED_FORMULA_5_129_5_129_5" localSheetId="7">#REF!</definedName>
    <definedName name="SHARED_FORMULA_5_129_5_129_5" localSheetId="8">#REF!</definedName>
    <definedName name="SHARED_FORMULA_5_129_5_129_5" localSheetId="9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4">#REF!</definedName>
    <definedName name="SHARED_FORMULA_5_19_5_19_5" localSheetId="16">#REF!</definedName>
    <definedName name="SHARED_FORMULA_5_19_5_19_5" localSheetId="5">#REF!</definedName>
    <definedName name="SHARED_FORMULA_5_19_5_19_5" localSheetId="4">#REF!</definedName>
    <definedName name="SHARED_FORMULA_5_19_5_19_5" localSheetId="6">NA()</definedName>
    <definedName name="SHARED_FORMULA_5_19_5_19_5" localSheetId="7">#REF!</definedName>
    <definedName name="SHARED_FORMULA_5_19_5_19_5" localSheetId="8">#REF!</definedName>
    <definedName name="SHARED_FORMULA_5_19_5_19_5" localSheetId="9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4">#REF!</definedName>
    <definedName name="SHARED_FORMULA_5_28_5_28_5" localSheetId="16">#REF!</definedName>
    <definedName name="SHARED_FORMULA_5_28_5_28_5" localSheetId="5">#REF!</definedName>
    <definedName name="SHARED_FORMULA_5_28_5_28_5" localSheetId="4">#REF!</definedName>
    <definedName name="SHARED_FORMULA_5_28_5_28_5" localSheetId="6">NA()</definedName>
    <definedName name="SHARED_FORMULA_5_28_5_28_5" localSheetId="7">#REF!</definedName>
    <definedName name="SHARED_FORMULA_5_28_5_28_5" localSheetId="8">#REF!</definedName>
    <definedName name="SHARED_FORMULA_5_28_5_28_5" localSheetId="9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6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6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4">#REF!</definedName>
    <definedName name="SHARED_FORMULA_5_35_5_35_5" localSheetId="16">#REF!</definedName>
    <definedName name="SHARED_FORMULA_5_35_5_35_5" localSheetId="5">#REF!</definedName>
    <definedName name="SHARED_FORMULA_5_35_5_35_5" localSheetId="4">#REF!</definedName>
    <definedName name="SHARED_FORMULA_5_35_5_35_5" localSheetId="6">NA()</definedName>
    <definedName name="SHARED_FORMULA_5_35_5_35_5" localSheetId="7">#REF!</definedName>
    <definedName name="SHARED_FORMULA_5_35_5_35_5" localSheetId="8">#REF!</definedName>
    <definedName name="SHARED_FORMULA_5_35_5_35_5" localSheetId="9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4">#REF!</definedName>
    <definedName name="SHARED_FORMULA_5_69_5_69_5" localSheetId="16">#REF!</definedName>
    <definedName name="SHARED_FORMULA_5_69_5_69_5" localSheetId="5">#REF!</definedName>
    <definedName name="SHARED_FORMULA_5_69_5_69_5" localSheetId="4">#REF!</definedName>
    <definedName name="SHARED_FORMULA_5_69_5_69_5" localSheetId="6">NA()</definedName>
    <definedName name="SHARED_FORMULA_5_69_5_69_5" localSheetId="7">#REF!</definedName>
    <definedName name="SHARED_FORMULA_5_69_5_69_5" localSheetId="8">#REF!</definedName>
    <definedName name="SHARED_FORMULA_5_69_5_69_5" localSheetId="9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4">#REF!</definedName>
    <definedName name="SHARED_FORMULA_5_7_5_7_5" localSheetId="16">#REF!</definedName>
    <definedName name="SHARED_FORMULA_5_7_5_7_5" localSheetId="5">#REF!</definedName>
    <definedName name="SHARED_FORMULA_5_7_5_7_5" localSheetId="4">#REF!</definedName>
    <definedName name="SHARED_FORMULA_5_7_5_7_5" localSheetId="6">NA()</definedName>
    <definedName name="SHARED_FORMULA_5_7_5_7_5" localSheetId="7">#REF!</definedName>
    <definedName name="SHARED_FORMULA_5_7_5_7_5" localSheetId="8">#REF!</definedName>
    <definedName name="SHARED_FORMULA_5_7_5_7_5" localSheetId="9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4">#REF!/#REF!*100</definedName>
    <definedName name="SHARED_FORMULA_6_5_6_5_0" localSheetId="16">#REF!/#REF!*100</definedName>
    <definedName name="SHARED_FORMULA_6_5_6_5_0" localSheetId="5">#REF!/#REF!*100</definedName>
    <definedName name="SHARED_FORMULA_6_5_6_5_0" localSheetId="4">#REF!/#REF!*100</definedName>
    <definedName name="SHARED_FORMULA_6_5_6_5_0" localSheetId="6">"#REF!/#REF!*100"</definedName>
    <definedName name="SHARED_FORMULA_6_5_6_5_0" localSheetId="7">#REF!/#REF!*100</definedName>
    <definedName name="SHARED_FORMULA_6_5_6_5_0" localSheetId="8">#REF!/#REF!*100</definedName>
    <definedName name="SHARED_FORMULA_6_5_6_5_0" localSheetId="9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4">#REF!</definedName>
    <definedName name="SHARED_FORMULA_7_62_7_62_5" localSheetId="16">#REF!</definedName>
    <definedName name="SHARED_FORMULA_7_62_7_62_5" localSheetId="5">#REF!</definedName>
    <definedName name="SHARED_FORMULA_7_62_7_62_5" localSheetId="4">#REF!</definedName>
    <definedName name="SHARED_FORMULA_7_62_7_62_5" localSheetId="6">NA()</definedName>
    <definedName name="SHARED_FORMULA_7_62_7_62_5" localSheetId="7">#REF!</definedName>
    <definedName name="SHARED_FORMULA_7_62_7_62_5" localSheetId="8">#REF!</definedName>
    <definedName name="SHARED_FORMULA_7_62_7_62_5" localSheetId="9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4">#REF!</definedName>
    <definedName name="SHARED_FORMULA_7_82_7_82_5" localSheetId="16">#REF!</definedName>
    <definedName name="SHARED_FORMULA_7_82_7_82_5" localSheetId="5">#REF!</definedName>
    <definedName name="SHARED_FORMULA_7_82_7_82_5" localSheetId="4">#REF!</definedName>
    <definedName name="SHARED_FORMULA_7_82_7_82_5" localSheetId="6">NA()</definedName>
    <definedName name="SHARED_FORMULA_7_82_7_82_5" localSheetId="7">#REF!</definedName>
    <definedName name="SHARED_FORMULA_7_82_7_82_5" localSheetId="8">#REF!</definedName>
    <definedName name="SHARED_FORMULA_7_82_7_82_5" localSheetId="9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4">#REF!</definedName>
    <definedName name="SHARED_FORMULA_7_93_7_93_5" localSheetId="16">#REF!</definedName>
    <definedName name="SHARED_FORMULA_7_93_7_93_5" localSheetId="5">#REF!</definedName>
    <definedName name="SHARED_FORMULA_7_93_7_93_5" localSheetId="4">#REF!</definedName>
    <definedName name="SHARED_FORMULA_7_93_7_93_5" localSheetId="6">NA()</definedName>
    <definedName name="SHARED_FORMULA_7_93_7_93_5" localSheetId="7">#REF!</definedName>
    <definedName name="SHARED_FORMULA_7_93_7_93_5" localSheetId="8">#REF!</definedName>
    <definedName name="SHARED_FORMULA_7_93_7_93_5" localSheetId="9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4">#REF!</definedName>
    <definedName name="SHARED_FORMULA_8_48_8_48_5" localSheetId="16">#REF!</definedName>
    <definedName name="SHARED_FORMULA_8_48_8_48_5" localSheetId="5">#REF!</definedName>
    <definedName name="SHARED_FORMULA_8_48_8_48_5" localSheetId="4">#REF!</definedName>
    <definedName name="SHARED_FORMULA_8_48_8_48_5" localSheetId="6">NA()</definedName>
    <definedName name="SHARED_FORMULA_8_48_8_48_5" localSheetId="7">#REF!</definedName>
    <definedName name="SHARED_FORMULA_8_48_8_48_5" localSheetId="8">#REF!</definedName>
    <definedName name="SHARED_FORMULA_8_48_8_48_5" localSheetId="9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4">#REF!</definedName>
    <definedName name="SHARED_FORMULA_9_112_9_112_5" localSheetId="16">#REF!</definedName>
    <definedName name="SHARED_FORMULA_9_112_9_112_5" localSheetId="5">#REF!</definedName>
    <definedName name="SHARED_FORMULA_9_112_9_112_5" localSheetId="4">#REF!</definedName>
    <definedName name="SHARED_FORMULA_9_112_9_112_5" localSheetId="6">NA()</definedName>
    <definedName name="SHARED_FORMULA_9_112_9_112_5" localSheetId="7">#REF!</definedName>
    <definedName name="SHARED_FORMULA_9_112_9_112_5" localSheetId="8">#REF!</definedName>
    <definedName name="SHARED_FORMULA_9_112_9_112_5" localSheetId="9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4">#REF!</definedName>
    <definedName name="SHARED_FORMULA_9_118_9_118_5" localSheetId="16">#REF!</definedName>
    <definedName name="SHARED_FORMULA_9_118_9_118_5" localSheetId="5">#REF!</definedName>
    <definedName name="SHARED_FORMULA_9_118_9_118_5" localSheetId="4">#REF!</definedName>
    <definedName name="SHARED_FORMULA_9_118_9_118_5" localSheetId="6">NA()</definedName>
    <definedName name="SHARED_FORMULA_9_118_9_118_5" localSheetId="7">#REF!</definedName>
    <definedName name="SHARED_FORMULA_9_118_9_118_5" localSheetId="8">#REF!</definedName>
    <definedName name="SHARED_FORMULA_9_118_9_118_5" localSheetId="9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4">#REF!</definedName>
    <definedName name="SHARED_FORMULA_9_44_9_44_5" localSheetId="16">#REF!</definedName>
    <definedName name="SHARED_FORMULA_9_44_9_44_5" localSheetId="5">#REF!</definedName>
    <definedName name="SHARED_FORMULA_9_44_9_44_5" localSheetId="4">#REF!</definedName>
    <definedName name="SHARED_FORMULA_9_44_9_44_5" localSheetId="6">NA()</definedName>
    <definedName name="SHARED_FORMULA_9_44_9_44_5" localSheetId="7">#REF!</definedName>
    <definedName name="SHARED_FORMULA_9_44_9_44_5" localSheetId="8">#REF!</definedName>
    <definedName name="SHARED_FORMULA_9_44_9_44_5" localSheetId="9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4">#REF!</definedName>
    <definedName name="SHARED_FORMULA_9_53_9_53_5" localSheetId="16">#REF!</definedName>
    <definedName name="SHARED_FORMULA_9_53_9_53_5" localSheetId="5">#REF!</definedName>
    <definedName name="SHARED_FORMULA_9_53_9_53_5" localSheetId="4">#REF!</definedName>
    <definedName name="SHARED_FORMULA_9_53_9_53_5" localSheetId="6">NA()</definedName>
    <definedName name="SHARED_FORMULA_9_53_9_53_5" localSheetId="7">#REF!</definedName>
    <definedName name="SHARED_FORMULA_9_53_9_53_5" localSheetId="8">#REF!</definedName>
    <definedName name="SHARED_FORMULA_9_53_9_53_5" localSheetId="9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4">#REF!</definedName>
    <definedName name="SHARED_FORMULA_9_77_9_77_5" localSheetId="16">#REF!</definedName>
    <definedName name="SHARED_FORMULA_9_77_9_77_5" localSheetId="5">#REF!</definedName>
    <definedName name="SHARED_FORMULA_9_77_9_77_5" localSheetId="4">#REF!</definedName>
    <definedName name="SHARED_FORMULA_9_77_9_77_5" localSheetId="6">NA()</definedName>
    <definedName name="SHARED_FORMULA_9_77_9_77_5" localSheetId="7">#REF!</definedName>
    <definedName name="SHARED_FORMULA_9_77_9_77_5" localSheetId="8">#REF!</definedName>
    <definedName name="SHARED_FORMULA_9_77_9_77_5" localSheetId="9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4">#REF!</definedName>
    <definedName name="SHARED_FORMULA_9_98_9_98_5" localSheetId="16">#REF!</definedName>
    <definedName name="SHARED_FORMULA_9_98_9_98_5" localSheetId="5">#REF!</definedName>
    <definedName name="SHARED_FORMULA_9_98_9_98_5" localSheetId="4">#REF!</definedName>
    <definedName name="SHARED_FORMULA_9_98_9_98_5" localSheetId="6">NA()</definedName>
    <definedName name="SHARED_FORMULA_9_98_9_98_5" localSheetId="7">#REF!</definedName>
    <definedName name="SHARED_FORMULA_9_98_9_98_5" localSheetId="8">#REF!</definedName>
    <definedName name="SHARED_FORMULA_9_98_9_98_5" localSheetId="9">#REF!</definedName>
    <definedName name="SHARED_FORMULA_9_98_9_98_5">#REF!</definedName>
    <definedName name="x" localSheetId="10">#REF!</definedName>
    <definedName name="x" localSheetId="11">#REF!</definedName>
    <definedName name="x" localSheetId="14">#REF!</definedName>
    <definedName name="x" localSheetId="16">#REF!</definedName>
    <definedName name="x" localSheetId="5">#REF!</definedName>
    <definedName name="x" localSheetId="4">#REF!</definedName>
    <definedName name="x" localSheetId="6">NA()</definedName>
    <definedName name="x" localSheetId="7">#REF!</definedName>
    <definedName name="x" localSheetId="8">#REF!</definedName>
    <definedName name="x" localSheetId="9">#REF!</definedName>
    <definedName name="x">#REF!</definedName>
  </definedNames>
  <calcPr calcId="152511" iterateDelta="1E-4"/>
  <fileRecoveryPr autoRecover="0"/>
</workbook>
</file>

<file path=xl/calcChain.xml><?xml version="1.0" encoding="utf-8"?>
<calcChain xmlns="http://schemas.openxmlformats.org/spreadsheetml/2006/main">
  <c r="I10" i="59" l="1"/>
  <c r="F10" i="59" s="1"/>
  <c r="F11" i="59"/>
  <c r="G11" i="59"/>
  <c r="H11" i="59"/>
  <c r="I11" i="59"/>
  <c r="I41" i="59" s="1"/>
  <c r="F12" i="59"/>
  <c r="I13" i="59"/>
  <c r="F13" i="59" s="1"/>
  <c r="G14" i="59"/>
  <c r="H14" i="59"/>
  <c r="F15" i="59"/>
  <c r="F18" i="59"/>
  <c r="I19" i="59"/>
  <c r="F19" i="59" s="1"/>
  <c r="F20" i="59"/>
  <c r="F21" i="59"/>
  <c r="F22" i="59"/>
  <c r="E23" i="59"/>
  <c r="E41" i="59" s="1"/>
  <c r="E82" i="59" s="1"/>
  <c r="F23" i="59"/>
  <c r="F24" i="59"/>
  <c r="I25" i="59"/>
  <c r="F25" i="59" s="1"/>
  <c r="F26" i="59"/>
  <c r="F27" i="59"/>
  <c r="F28" i="59"/>
  <c r="G29" i="59"/>
  <c r="H29" i="59"/>
  <c r="H94" i="59" s="1"/>
  <c r="F30" i="59"/>
  <c r="F31" i="59"/>
  <c r="F32" i="59"/>
  <c r="F33" i="59"/>
  <c r="F34" i="59"/>
  <c r="G35" i="59"/>
  <c r="H35" i="59"/>
  <c r="F36" i="59"/>
  <c r="F37" i="59"/>
  <c r="G38" i="59"/>
  <c r="H38" i="59"/>
  <c r="F39" i="59"/>
  <c r="E40" i="59"/>
  <c r="G40" i="59"/>
  <c r="H40" i="59"/>
  <c r="J40" i="59"/>
  <c r="K40" i="59"/>
  <c r="L40" i="59"/>
  <c r="M40" i="59"/>
  <c r="N40" i="59"/>
  <c r="O40" i="59"/>
  <c r="P40" i="59"/>
  <c r="Q40" i="59"/>
  <c r="R40" i="59"/>
  <c r="J41" i="59"/>
  <c r="K41" i="59"/>
  <c r="L41" i="59"/>
  <c r="M41" i="59"/>
  <c r="N41" i="59"/>
  <c r="O41" i="59"/>
  <c r="P41" i="59"/>
  <c r="Q41" i="59"/>
  <c r="R41" i="59"/>
  <c r="E42" i="59"/>
  <c r="G42" i="59"/>
  <c r="H42" i="59"/>
  <c r="I42" i="59"/>
  <c r="J42" i="59"/>
  <c r="K42" i="59"/>
  <c r="L42" i="59"/>
  <c r="M42" i="59"/>
  <c r="N42" i="59"/>
  <c r="O42" i="59"/>
  <c r="P42" i="59"/>
  <c r="Q42" i="59"/>
  <c r="R42" i="59"/>
  <c r="F43" i="59"/>
  <c r="F44" i="59"/>
  <c r="F45" i="59"/>
  <c r="E46" i="59"/>
  <c r="E52" i="59" s="1"/>
  <c r="E78" i="59" s="1"/>
  <c r="G46" i="59"/>
  <c r="F46" i="59" s="1"/>
  <c r="H46" i="59"/>
  <c r="F47" i="59"/>
  <c r="F48" i="59"/>
  <c r="E49" i="59"/>
  <c r="F49" i="59"/>
  <c r="F50" i="59"/>
  <c r="E51" i="59"/>
  <c r="G51" i="59"/>
  <c r="H51" i="59"/>
  <c r="I51" i="59"/>
  <c r="J51" i="59"/>
  <c r="K51" i="59"/>
  <c r="L51" i="59"/>
  <c r="M51" i="59"/>
  <c r="N51" i="59"/>
  <c r="O51" i="59"/>
  <c r="P51" i="59"/>
  <c r="P77" i="59" s="1"/>
  <c r="P81" i="59" s="1"/>
  <c r="Q51" i="59"/>
  <c r="R51" i="59"/>
  <c r="G52" i="59"/>
  <c r="H52" i="59"/>
  <c r="I52" i="59"/>
  <c r="J52" i="59"/>
  <c r="K52" i="59"/>
  <c r="L52" i="59"/>
  <c r="M52" i="59"/>
  <c r="N52" i="59"/>
  <c r="O52" i="59"/>
  <c r="P52" i="59"/>
  <c r="Q52" i="59"/>
  <c r="R52" i="59"/>
  <c r="E53" i="59"/>
  <c r="G53" i="59"/>
  <c r="H53" i="59"/>
  <c r="I53" i="59"/>
  <c r="J53" i="59"/>
  <c r="K53" i="59"/>
  <c r="L53" i="59"/>
  <c r="L79" i="59" s="1"/>
  <c r="L83" i="59" s="1"/>
  <c r="M53" i="59"/>
  <c r="N53" i="59"/>
  <c r="O53" i="59"/>
  <c r="P53" i="59"/>
  <c r="P79" i="59" s="1"/>
  <c r="P83" i="59" s="1"/>
  <c r="Q53" i="59"/>
  <c r="R53" i="59"/>
  <c r="F54" i="59"/>
  <c r="F55" i="59"/>
  <c r="F56" i="59"/>
  <c r="G57" i="59"/>
  <c r="H57" i="59"/>
  <c r="H63" i="59" s="1"/>
  <c r="F58" i="59"/>
  <c r="F59" i="59"/>
  <c r="E60" i="59"/>
  <c r="F60" i="59"/>
  <c r="F61" i="59"/>
  <c r="E62" i="59"/>
  <c r="G62" i="59"/>
  <c r="H62" i="59"/>
  <c r="I62" i="59"/>
  <c r="J62" i="59"/>
  <c r="K62" i="59"/>
  <c r="L62" i="59"/>
  <c r="M62" i="59"/>
  <c r="N62" i="59"/>
  <c r="O62" i="59"/>
  <c r="P62" i="59"/>
  <c r="Q62" i="59"/>
  <c r="R62" i="59"/>
  <c r="E63" i="59"/>
  <c r="G63" i="59"/>
  <c r="I63" i="59"/>
  <c r="J63" i="59"/>
  <c r="K63" i="59"/>
  <c r="L63" i="59"/>
  <c r="M63" i="59"/>
  <c r="N63" i="59"/>
  <c r="O63" i="59"/>
  <c r="P63" i="59"/>
  <c r="Q63" i="59"/>
  <c r="R63" i="59"/>
  <c r="E64" i="59"/>
  <c r="G64" i="59"/>
  <c r="H64" i="59"/>
  <c r="I64" i="59"/>
  <c r="J64" i="59"/>
  <c r="K64" i="59"/>
  <c r="L64" i="59"/>
  <c r="M64" i="59"/>
  <c r="N64" i="59"/>
  <c r="O64" i="59"/>
  <c r="P64" i="59"/>
  <c r="Q64" i="59"/>
  <c r="R64" i="59"/>
  <c r="F65" i="59"/>
  <c r="F66" i="59"/>
  <c r="F67" i="59"/>
  <c r="G68" i="59"/>
  <c r="H68" i="59"/>
  <c r="H74" i="59" s="1"/>
  <c r="F69" i="59"/>
  <c r="F70" i="59"/>
  <c r="E71" i="59"/>
  <c r="F71" i="59"/>
  <c r="F72" i="59"/>
  <c r="E73" i="59"/>
  <c r="G73" i="59"/>
  <c r="G77" i="59" s="1"/>
  <c r="H73" i="59"/>
  <c r="I73" i="59"/>
  <c r="J73" i="59"/>
  <c r="J77" i="59" s="1"/>
  <c r="K73" i="59"/>
  <c r="K77" i="59" s="1"/>
  <c r="L73" i="59"/>
  <c r="M73" i="59"/>
  <c r="N73" i="59"/>
  <c r="N77" i="59" s="1"/>
  <c r="O73" i="59"/>
  <c r="O77" i="59" s="1"/>
  <c r="P73" i="59"/>
  <c r="Q73" i="59"/>
  <c r="R73" i="59"/>
  <c r="R77" i="59" s="1"/>
  <c r="E74" i="59"/>
  <c r="I74" i="59"/>
  <c r="J74" i="59"/>
  <c r="J78" i="59" s="1"/>
  <c r="J82" i="59" s="1"/>
  <c r="K74" i="59"/>
  <c r="L74" i="59"/>
  <c r="M74" i="59"/>
  <c r="N74" i="59"/>
  <c r="N78" i="59" s="1"/>
  <c r="N82" i="59" s="1"/>
  <c r="O74" i="59"/>
  <c r="P74" i="59"/>
  <c r="Q74" i="59"/>
  <c r="R74" i="59"/>
  <c r="E75" i="59"/>
  <c r="G75" i="59"/>
  <c r="H75" i="59"/>
  <c r="I75" i="59"/>
  <c r="J75" i="59"/>
  <c r="K75" i="59"/>
  <c r="L75" i="59"/>
  <c r="M75" i="59"/>
  <c r="N75" i="59"/>
  <c r="O75" i="59"/>
  <c r="P75" i="59"/>
  <c r="Q75" i="59"/>
  <c r="R75" i="59"/>
  <c r="F76" i="59"/>
  <c r="H77" i="59"/>
  <c r="H81" i="59" s="1"/>
  <c r="L77" i="59"/>
  <c r="L81" i="59" s="1"/>
  <c r="R78" i="59"/>
  <c r="R82" i="59" s="1"/>
  <c r="F80" i="59"/>
  <c r="F84" i="59"/>
  <c r="E85" i="59"/>
  <c r="G85" i="59"/>
  <c r="H85" i="59"/>
  <c r="I85" i="59"/>
  <c r="J85" i="59"/>
  <c r="K85" i="59"/>
  <c r="L85" i="59"/>
  <c r="M85" i="59"/>
  <c r="N85" i="59"/>
  <c r="O85" i="59"/>
  <c r="P85" i="59"/>
  <c r="Q85" i="59"/>
  <c r="R85" i="59"/>
  <c r="G86" i="59"/>
  <c r="H86" i="59"/>
  <c r="I86" i="59"/>
  <c r="J86" i="59"/>
  <c r="K86" i="59"/>
  <c r="L86" i="59"/>
  <c r="M86" i="59"/>
  <c r="N86" i="59"/>
  <c r="O86" i="59"/>
  <c r="P86" i="59"/>
  <c r="Q86" i="59"/>
  <c r="R86" i="59"/>
  <c r="G87" i="59"/>
  <c r="H87" i="59"/>
  <c r="I87" i="59"/>
  <c r="J87" i="59"/>
  <c r="K87" i="59"/>
  <c r="L87" i="59"/>
  <c r="M87" i="59"/>
  <c r="N87" i="59"/>
  <c r="O87" i="59"/>
  <c r="P87" i="59"/>
  <c r="Q87" i="59"/>
  <c r="R87" i="59"/>
  <c r="F88" i="59"/>
  <c r="E89" i="59"/>
  <c r="G89" i="59"/>
  <c r="H89" i="59"/>
  <c r="I89" i="59"/>
  <c r="J89" i="59"/>
  <c r="K89" i="59"/>
  <c r="L89" i="59"/>
  <c r="M89" i="59"/>
  <c r="N89" i="59"/>
  <c r="O89" i="59"/>
  <c r="P89" i="59"/>
  <c r="Q89" i="59"/>
  <c r="R89" i="59"/>
  <c r="E90" i="59"/>
  <c r="G90" i="59"/>
  <c r="H90" i="59"/>
  <c r="I90" i="59"/>
  <c r="J90" i="59"/>
  <c r="K90" i="59"/>
  <c r="L90" i="59"/>
  <c r="M90" i="59"/>
  <c r="N90" i="59"/>
  <c r="O90" i="59"/>
  <c r="P90" i="59"/>
  <c r="Q90" i="59"/>
  <c r="R90" i="59"/>
  <c r="G91" i="59"/>
  <c r="H91" i="59"/>
  <c r="I91" i="59"/>
  <c r="J91" i="59"/>
  <c r="K91" i="59"/>
  <c r="L91" i="59"/>
  <c r="M91" i="59"/>
  <c r="N91" i="59"/>
  <c r="O91" i="59"/>
  <c r="P91" i="59"/>
  <c r="Q91" i="59"/>
  <c r="R91" i="59"/>
  <c r="F92" i="59"/>
  <c r="J93" i="59"/>
  <c r="K93" i="59"/>
  <c r="L93" i="59"/>
  <c r="M93" i="59"/>
  <c r="N93" i="59"/>
  <c r="O93" i="59"/>
  <c r="P93" i="59"/>
  <c r="Q93" i="59"/>
  <c r="R93" i="59"/>
  <c r="J94" i="59"/>
  <c r="K94" i="59"/>
  <c r="L94" i="59"/>
  <c r="M94" i="59"/>
  <c r="N94" i="59"/>
  <c r="O94" i="59"/>
  <c r="P94" i="59"/>
  <c r="Q94" i="59"/>
  <c r="R94" i="59"/>
  <c r="E95" i="59"/>
  <c r="E87" i="59" s="1"/>
  <c r="G95" i="59"/>
  <c r="H95" i="59"/>
  <c r="I95" i="59"/>
  <c r="J95" i="59"/>
  <c r="K95" i="59"/>
  <c r="L95" i="59"/>
  <c r="M95" i="59"/>
  <c r="N95" i="59"/>
  <c r="O95" i="59"/>
  <c r="P95" i="59"/>
  <c r="Q95" i="59"/>
  <c r="R95" i="59"/>
  <c r="F7" i="58"/>
  <c r="F8" i="58"/>
  <c r="F9" i="58"/>
  <c r="F10" i="58"/>
  <c r="F11" i="58"/>
  <c r="F12" i="58"/>
  <c r="F13" i="58"/>
  <c r="F14" i="58"/>
  <c r="F15" i="58"/>
  <c r="F16" i="58"/>
  <c r="F17" i="58"/>
  <c r="F157" i="58" s="1"/>
  <c r="F18" i="58"/>
  <c r="E19" i="58"/>
  <c r="M19" i="58"/>
  <c r="M152" i="58" s="1"/>
  <c r="F20" i="58"/>
  <c r="F21" i="58"/>
  <c r="F22" i="58"/>
  <c r="F23" i="58"/>
  <c r="F24" i="58"/>
  <c r="I25" i="58"/>
  <c r="F25" i="58" s="1"/>
  <c r="F26" i="58"/>
  <c r="F27" i="58"/>
  <c r="F28" i="58"/>
  <c r="F29" i="58"/>
  <c r="F30" i="58"/>
  <c r="F162" i="58" s="1"/>
  <c r="F31" i="58"/>
  <c r="F32" i="58"/>
  <c r="F33" i="58"/>
  <c r="F34" i="58"/>
  <c r="F164" i="58" s="1"/>
  <c r="F35" i="58"/>
  <c r="F36" i="58"/>
  <c r="F37" i="58"/>
  <c r="F38" i="58"/>
  <c r="F39" i="58"/>
  <c r="F40" i="58"/>
  <c r="F41" i="58"/>
  <c r="F42" i="58"/>
  <c r="F43" i="58"/>
  <c r="F44" i="58"/>
  <c r="F45" i="58"/>
  <c r="F46" i="58"/>
  <c r="F47" i="58"/>
  <c r="F48" i="58"/>
  <c r="F49" i="58"/>
  <c r="F50" i="58"/>
  <c r="F51" i="58"/>
  <c r="F52" i="58"/>
  <c r="F53" i="58"/>
  <c r="F54" i="58"/>
  <c r="F55" i="58"/>
  <c r="F56" i="58"/>
  <c r="F57" i="58"/>
  <c r="F58" i="58"/>
  <c r="F59" i="58"/>
  <c r="F60" i="58"/>
  <c r="F61" i="58"/>
  <c r="F62" i="58"/>
  <c r="F63" i="58"/>
  <c r="F64" i="58"/>
  <c r="F65" i="58"/>
  <c r="F66" i="58"/>
  <c r="F67" i="58"/>
  <c r="F68" i="58"/>
  <c r="F69" i="58"/>
  <c r="F70" i="58"/>
  <c r="F71" i="58"/>
  <c r="F72" i="58"/>
  <c r="F73" i="58"/>
  <c r="F74" i="58"/>
  <c r="F75" i="58"/>
  <c r="F76" i="58"/>
  <c r="F77" i="58"/>
  <c r="F78" i="58"/>
  <c r="F79" i="58"/>
  <c r="I79" i="58"/>
  <c r="F80" i="58"/>
  <c r="F81" i="58"/>
  <c r="F82" i="58"/>
  <c r="F83" i="58"/>
  <c r="F84" i="58"/>
  <c r="F85" i="58"/>
  <c r="F86" i="58"/>
  <c r="F87" i="58"/>
  <c r="F88" i="58"/>
  <c r="F89" i="58"/>
  <c r="F90" i="58"/>
  <c r="F91" i="58"/>
  <c r="F92" i="58"/>
  <c r="F93" i="58"/>
  <c r="F94" i="58"/>
  <c r="F95" i="58"/>
  <c r="F96" i="58"/>
  <c r="F97" i="58"/>
  <c r="F98" i="58"/>
  <c r="F99" i="58"/>
  <c r="F100" i="58"/>
  <c r="F101" i="58"/>
  <c r="G101" i="58"/>
  <c r="H101" i="58"/>
  <c r="I101" i="58"/>
  <c r="I153" i="58" s="1"/>
  <c r="F102" i="58"/>
  <c r="F103" i="58"/>
  <c r="F104" i="58"/>
  <c r="F105" i="58"/>
  <c r="F106" i="58"/>
  <c r="I106" i="58"/>
  <c r="F107" i="58"/>
  <c r="F108" i="58"/>
  <c r="F109" i="58"/>
  <c r="F110" i="58"/>
  <c r="F111" i="58"/>
  <c r="F112" i="58"/>
  <c r="F113" i="58"/>
  <c r="F114" i="58"/>
  <c r="F115" i="58"/>
  <c r="F116" i="58"/>
  <c r="F117" i="58"/>
  <c r="F118" i="58"/>
  <c r="G119" i="58"/>
  <c r="F119" i="58" s="1"/>
  <c r="F161" i="58" s="1"/>
  <c r="H119" i="58"/>
  <c r="H161" i="58" s="1"/>
  <c r="J119" i="58"/>
  <c r="F120" i="58"/>
  <c r="F121" i="58"/>
  <c r="F122" i="58"/>
  <c r="I122" i="58"/>
  <c r="F123" i="58"/>
  <c r="I124" i="58"/>
  <c r="F124" i="58" s="1"/>
  <c r="F125" i="58"/>
  <c r="F126" i="58"/>
  <c r="F127" i="58"/>
  <c r="F128" i="58"/>
  <c r="F129" i="58"/>
  <c r="F131" i="58"/>
  <c r="F132" i="58"/>
  <c r="F158" i="58" s="1"/>
  <c r="F133" i="58"/>
  <c r="F134" i="58"/>
  <c r="F135" i="58"/>
  <c r="F136" i="58"/>
  <c r="F137" i="58"/>
  <c r="F138" i="58"/>
  <c r="F139" i="58"/>
  <c r="F140" i="58"/>
  <c r="F141" i="58"/>
  <c r="F142" i="58"/>
  <c r="F143" i="58"/>
  <c r="F144" i="58"/>
  <c r="F145" i="58"/>
  <c r="F146" i="58"/>
  <c r="F147" i="58"/>
  <c r="F148" i="58"/>
  <c r="F149" i="58"/>
  <c r="F150" i="58"/>
  <c r="E152" i="58"/>
  <c r="G152" i="58"/>
  <c r="H152" i="58"/>
  <c r="J152" i="58"/>
  <c r="K152" i="58"/>
  <c r="L152" i="58"/>
  <c r="N152" i="58"/>
  <c r="O152" i="58"/>
  <c r="P152" i="58"/>
  <c r="Q152" i="58"/>
  <c r="R152" i="58"/>
  <c r="S152" i="58"/>
  <c r="E153" i="58"/>
  <c r="G153" i="58"/>
  <c r="H153" i="58"/>
  <c r="J153" i="58"/>
  <c r="K153" i="58"/>
  <c r="L153" i="58"/>
  <c r="M153" i="58"/>
  <c r="N153" i="58"/>
  <c r="O153" i="58"/>
  <c r="P153" i="58"/>
  <c r="Q153" i="58"/>
  <c r="R153" i="58"/>
  <c r="S153" i="58"/>
  <c r="E154" i="58"/>
  <c r="G154" i="58"/>
  <c r="H154" i="58"/>
  <c r="I154" i="58"/>
  <c r="J154" i="58"/>
  <c r="K154" i="58"/>
  <c r="L154" i="58"/>
  <c r="M154" i="58"/>
  <c r="N154" i="58"/>
  <c r="O154" i="58"/>
  <c r="P154" i="58"/>
  <c r="Q154" i="58"/>
  <c r="R154" i="58"/>
  <c r="S154" i="58"/>
  <c r="E156" i="58"/>
  <c r="G156" i="58"/>
  <c r="H156" i="58"/>
  <c r="I156" i="58"/>
  <c r="J156" i="58"/>
  <c r="K156" i="58"/>
  <c r="L156" i="58"/>
  <c r="N156" i="58"/>
  <c r="O156" i="58"/>
  <c r="P156" i="58"/>
  <c r="Q156" i="58"/>
  <c r="R156" i="58"/>
  <c r="S156" i="58"/>
  <c r="E157" i="58"/>
  <c r="G157" i="58"/>
  <c r="H157" i="58"/>
  <c r="I157" i="58"/>
  <c r="J157" i="58"/>
  <c r="K157" i="58"/>
  <c r="L157" i="58"/>
  <c r="M157" i="58"/>
  <c r="N157" i="58"/>
  <c r="O157" i="58"/>
  <c r="P157" i="58"/>
  <c r="Q157" i="58"/>
  <c r="R157" i="58"/>
  <c r="S157" i="58"/>
  <c r="E158" i="58"/>
  <c r="G158" i="58"/>
  <c r="H158" i="58"/>
  <c r="I158" i="58"/>
  <c r="J158" i="58"/>
  <c r="K158" i="58"/>
  <c r="L158" i="58"/>
  <c r="M158" i="58"/>
  <c r="N158" i="58"/>
  <c r="O158" i="58"/>
  <c r="P158" i="58"/>
  <c r="Q158" i="58"/>
  <c r="R158" i="58"/>
  <c r="S158" i="58"/>
  <c r="E160" i="58"/>
  <c r="G160" i="58"/>
  <c r="H160" i="58"/>
  <c r="I160" i="58"/>
  <c r="J160" i="58"/>
  <c r="K160" i="58"/>
  <c r="L160" i="58"/>
  <c r="M160" i="58"/>
  <c r="N160" i="58"/>
  <c r="O160" i="58"/>
  <c r="P160" i="58"/>
  <c r="Q160" i="58"/>
  <c r="R160" i="58"/>
  <c r="S160" i="58"/>
  <c r="E161" i="58"/>
  <c r="I161" i="58"/>
  <c r="J161" i="58"/>
  <c r="K161" i="58"/>
  <c r="L161" i="58"/>
  <c r="M161" i="58"/>
  <c r="N161" i="58"/>
  <c r="O161" i="58"/>
  <c r="P161" i="58"/>
  <c r="Q161" i="58"/>
  <c r="R161" i="58"/>
  <c r="S161" i="58"/>
  <c r="E162" i="58"/>
  <c r="G162" i="58"/>
  <c r="H162" i="58"/>
  <c r="I162" i="58"/>
  <c r="J162" i="58"/>
  <c r="K162" i="58"/>
  <c r="L162" i="58"/>
  <c r="M162" i="58"/>
  <c r="N162" i="58"/>
  <c r="O162" i="58"/>
  <c r="P162" i="58"/>
  <c r="Q162" i="58"/>
  <c r="R162" i="58"/>
  <c r="S162" i="58"/>
  <c r="E164" i="58"/>
  <c r="G164" i="58"/>
  <c r="H164" i="58"/>
  <c r="I164" i="58"/>
  <c r="J164" i="58"/>
  <c r="K164" i="58"/>
  <c r="L164" i="58"/>
  <c r="M164" i="58"/>
  <c r="N164" i="58"/>
  <c r="O164" i="58"/>
  <c r="P164" i="58"/>
  <c r="Q164" i="58"/>
  <c r="R164" i="58"/>
  <c r="S164" i="58"/>
  <c r="E165" i="58"/>
  <c r="G165" i="58"/>
  <c r="H165" i="58"/>
  <c r="I165" i="58"/>
  <c r="J165" i="58"/>
  <c r="K165" i="58"/>
  <c r="L165" i="58"/>
  <c r="M165" i="58"/>
  <c r="N165" i="58"/>
  <c r="O165" i="58"/>
  <c r="P165" i="58"/>
  <c r="Q165" i="58"/>
  <c r="R165" i="58"/>
  <c r="S165" i="58"/>
  <c r="E166" i="58"/>
  <c r="F166" i="58"/>
  <c r="G166" i="58"/>
  <c r="H166" i="58"/>
  <c r="I166" i="58"/>
  <c r="J166" i="58"/>
  <c r="K166" i="58"/>
  <c r="L166" i="58"/>
  <c r="M166" i="58"/>
  <c r="N166" i="58"/>
  <c r="O166" i="58"/>
  <c r="P166" i="58"/>
  <c r="Q166" i="58"/>
  <c r="R166" i="58"/>
  <c r="S166" i="58"/>
  <c r="F90" i="59" l="1"/>
  <c r="F53" i="59"/>
  <c r="Q77" i="59"/>
  <c r="Q81" i="59" s="1"/>
  <c r="M77" i="59"/>
  <c r="M81" i="59" s="1"/>
  <c r="I77" i="59"/>
  <c r="F77" i="59" s="1"/>
  <c r="F95" i="59"/>
  <c r="F91" i="59"/>
  <c r="F87" i="59"/>
  <c r="F86" i="59"/>
  <c r="Q78" i="59"/>
  <c r="M78" i="59"/>
  <c r="I78" i="59"/>
  <c r="I82" i="59" s="1"/>
  <c r="F64" i="59"/>
  <c r="H41" i="59"/>
  <c r="F29" i="59"/>
  <c r="I94" i="59"/>
  <c r="E86" i="59"/>
  <c r="F89" i="59"/>
  <c r="F85" i="59"/>
  <c r="O79" i="59"/>
  <c r="O83" i="59" s="1"/>
  <c r="K79" i="59"/>
  <c r="F75" i="59"/>
  <c r="P78" i="59"/>
  <c r="P82" i="59" s="1"/>
  <c r="L78" i="59"/>
  <c r="L82" i="59" s="1"/>
  <c r="F68" i="59"/>
  <c r="F62" i="59"/>
  <c r="E79" i="59"/>
  <c r="E83" i="59" s="1"/>
  <c r="O78" i="59"/>
  <c r="O82" i="59" s="1"/>
  <c r="K78" i="59"/>
  <c r="K82" i="59" s="1"/>
  <c r="F51" i="59"/>
  <c r="Q82" i="59"/>
  <c r="M82" i="59"/>
  <c r="F38" i="59"/>
  <c r="F35" i="59"/>
  <c r="G41" i="59"/>
  <c r="E94" i="59"/>
  <c r="H79" i="59"/>
  <c r="H83" i="59" s="1"/>
  <c r="R79" i="59"/>
  <c r="N79" i="59"/>
  <c r="N83" i="59" s="1"/>
  <c r="J79" i="59"/>
  <c r="J83" i="59" s="1"/>
  <c r="Q79" i="59"/>
  <c r="Q83" i="59" s="1"/>
  <c r="M79" i="59"/>
  <c r="M83" i="59" s="1"/>
  <c r="I79" i="59"/>
  <c r="I83" i="59" s="1"/>
  <c r="E77" i="59"/>
  <c r="E81" i="59" s="1"/>
  <c r="K83" i="59"/>
  <c r="O81" i="59"/>
  <c r="R83" i="59"/>
  <c r="R81" i="59"/>
  <c r="N81" i="59"/>
  <c r="J81" i="59"/>
  <c r="G81" i="59"/>
  <c r="F41" i="59"/>
  <c r="K81" i="59"/>
  <c r="H78" i="59"/>
  <c r="H82" i="59" s="1"/>
  <c r="F63" i="59"/>
  <c r="F73" i="59"/>
  <c r="F52" i="59"/>
  <c r="F42" i="59"/>
  <c r="F14" i="59"/>
  <c r="G94" i="59"/>
  <c r="I93" i="59"/>
  <c r="F93" i="59" s="1"/>
  <c r="F57" i="59"/>
  <c r="G79" i="59"/>
  <c r="F79" i="59" s="1"/>
  <c r="G74" i="59"/>
  <c r="F74" i="59" s="1"/>
  <c r="I40" i="59"/>
  <c r="F152" i="58"/>
  <c r="F153" i="58"/>
  <c r="F165" i="58"/>
  <c r="G161" i="58"/>
  <c r="F160" i="58"/>
  <c r="F154" i="58"/>
  <c r="M156" i="58"/>
  <c r="F19" i="58"/>
  <c r="F156" i="58" s="1"/>
  <c r="I152" i="58"/>
  <c r="I81" i="59" l="1"/>
  <c r="F83" i="59"/>
  <c r="F40" i="59"/>
  <c r="F94" i="59"/>
  <c r="G83" i="59"/>
  <c r="F81" i="59"/>
  <c r="G78" i="59"/>
  <c r="E34" i="1"/>
  <c r="F78" i="59" l="1"/>
  <c r="F82" i="59" s="1"/>
  <c r="G82" i="59"/>
  <c r="S5" i="57"/>
  <c r="X5" i="57"/>
  <c r="Y5" i="57"/>
  <c r="Z5" i="57"/>
  <c r="S6" i="57"/>
  <c r="Y6" i="57"/>
  <c r="Z6" i="57"/>
  <c r="AA6" i="57"/>
  <c r="AC6" i="57"/>
  <c r="S7" i="57"/>
  <c r="X7" i="57"/>
  <c r="Y7" i="57"/>
  <c r="Z7" i="57"/>
  <c r="AA7" i="57"/>
  <c r="S9" i="57"/>
  <c r="X9" i="57"/>
  <c r="Y9" i="57"/>
  <c r="Z9" i="57"/>
  <c r="AC9" i="57"/>
  <c r="R9" i="57" s="1"/>
  <c r="T9" i="57" s="1"/>
  <c r="S10" i="57"/>
  <c r="X10" i="57"/>
  <c r="AC10" i="57" s="1"/>
  <c r="R10" i="57" s="1"/>
  <c r="T10" i="57" s="1"/>
  <c r="Y10" i="57"/>
  <c r="Z10" i="57"/>
  <c r="S11" i="57"/>
  <c r="X11" i="57"/>
  <c r="AC11" i="57" s="1"/>
  <c r="R11" i="57" s="1"/>
  <c r="T11" i="57" s="1"/>
  <c r="Y11" i="57"/>
  <c r="Z11" i="57"/>
  <c r="S13" i="57"/>
  <c r="X13" i="57"/>
  <c r="Y13" i="57"/>
  <c r="Z13" i="57"/>
  <c r="AC13" i="57"/>
  <c r="R13" i="57" s="1"/>
  <c r="T13" i="57" s="1"/>
  <c r="S14" i="57"/>
  <c r="X14" i="57"/>
  <c r="Y14" i="57"/>
  <c r="Z14" i="57"/>
  <c r="S15" i="57"/>
  <c r="X15" i="57"/>
  <c r="Y15" i="57"/>
  <c r="Z15" i="57"/>
  <c r="AA15" i="57"/>
  <c r="AB15" i="57"/>
  <c r="S17" i="57"/>
  <c r="X17" i="57"/>
  <c r="Y17" i="57"/>
  <c r="Z17" i="57"/>
  <c r="AC17" i="57"/>
  <c r="R17" i="57" s="1"/>
  <c r="T17" i="57" s="1"/>
  <c r="S18" i="57"/>
  <c r="X18" i="57"/>
  <c r="AC18" i="57" s="1"/>
  <c r="R18" i="57" s="1"/>
  <c r="T18" i="57" s="1"/>
  <c r="Y18" i="57"/>
  <c r="Z18" i="57"/>
  <c r="S19" i="57"/>
  <c r="X19" i="57"/>
  <c r="AC19" i="57" s="1"/>
  <c r="R19" i="57" s="1"/>
  <c r="T19" i="57" s="1"/>
  <c r="Y19" i="57"/>
  <c r="Z19" i="57"/>
  <c r="S21" i="57"/>
  <c r="X21" i="57"/>
  <c r="Y21" i="57"/>
  <c r="Z21" i="57"/>
  <c r="AC21" i="57" s="1"/>
  <c r="R21" i="57" s="1"/>
  <c r="T21" i="57" s="1"/>
  <c r="E22" i="57"/>
  <c r="S22" i="57"/>
  <c r="X22" i="57"/>
  <c r="Y22" i="57"/>
  <c r="Z22" i="57"/>
  <c r="AC22" i="57"/>
  <c r="R22" i="57" s="1"/>
  <c r="T22" i="57" s="1"/>
  <c r="E23" i="57"/>
  <c r="S23" i="57"/>
  <c r="X23" i="57"/>
  <c r="Y23" i="57"/>
  <c r="Z23" i="57"/>
  <c r="AC23" i="57"/>
  <c r="R23" i="57" s="1"/>
  <c r="T23" i="57" s="1"/>
  <c r="S25" i="57"/>
  <c r="X25" i="57"/>
  <c r="AC25" i="57" s="1"/>
  <c r="R25" i="57" s="1"/>
  <c r="T25" i="57" s="1"/>
  <c r="Y25" i="57"/>
  <c r="Z25" i="57"/>
  <c r="R26" i="57"/>
  <c r="T26" i="57" s="1"/>
  <c r="S26" i="57"/>
  <c r="X26" i="57"/>
  <c r="Y26" i="57"/>
  <c r="Z26" i="57"/>
  <c r="AA26" i="57"/>
  <c r="AB26" i="57"/>
  <c r="AC26" i="57"/>
  <c r="S27" i="57"/>
  <c r="X27" i="57"/>
  <c r="Y27" i="57"/>
  <c r="Z27" i="57"/>
  <c r="AA27" i="57"/>
  <c r="AB27" i="57"/>
  <c r="S29" i="57"/>
  <c r="X29" i="57"/>
  <c r="Y29" i="57"/>
  <c r="AC29" i="57" s="1"/>
  <c r="R29" i="57" s="1"/>
  <c r="T29" i="57" s="1"/>
  <c r="Z29" i="57"/>
  <c r="S30" i="57"/>
  <c r="X30" i="57"/>
  <c r="X98" i="57" s="1"/>
  <c r="X102" i="57" s="1"/>
  <c r="Y30" i="57"/>
  <c r="Z30" i="57"/>
  <c r="S31" i="57"/>
  <c r="X31" i="57"/>
  <c r="Y31" i="57"/>
  <c r="Z31" i="57"/>
  <c r="S33" i="57"/>
  <c r="X33" i="57"/>
  <c r="Y33" i="57"/>
  <c r="Z33" i="57"/>
  <c r="AA33" i="57"/>
  <c r="AC33" i="57"/>
  <c r="R33" i="57" s="1"/>
  <c r="T33" i="57" s="1"/>
  <c r="S34" i="57"/>
  <c r="X34" i="57"/>
  <c r="Y34" i="57"/>
  <c r="AC34" i="57" s="1"/>
  <c r="Z34" i="57"/>
  <c r="AA34" i="57"/>
  <c r="S35" i="57"/>
  <c r="X35" i="57"/>
  <c r="Y35" i="57"/>
  <c r="Z35" i="57"/>
  <c r="AA35" i="57"/>
  <c r="AC35" i="57"/>
  <c r="R35" i="57" s="1"/>
  <c r="T35" i="57" s="1"/>
  <c r="G37" i="57"/>
  <c r="S37" i="57" s="1"/>
  <c r="Z37" i="57"/>
  <c r="AC37" i="57"/>
  <c r="R37" i="57" s="1"/>
  <c r="T37" i="57" s="1"/>
  <c r="G38" i="57"/>
  <c r="S38" i="57"/>
  <c r="Z38" i="57"/>
  <c r="AC38" i="57"/>
  <c r="G39" i="57"/>
  <c r="S39" i="57" s="1"/>
  <c r="R39" i="57"/>
  <c r="T39" i="57"/>
  <c r="Z39" i="57"/>
  <c r="AC39" i="57"/>
  <c r="S42" i="57"/>
  <c r="S43" i="57"/>
  <c r="G45" i="57"/>
  <c r="S45" i="57" s="1"/>
  <c r="Z45" i="57"/>
  <c r="AC45" i="57" s="1"/>
  <c r="R45" i="57" s="1"/>
  <c r="T45" i="57" s="1"/>
  <c r="G46" i="57"/>
  <c r="S46" i="57"/>
  <c r="R46" i="57" s="1"/>
  <c r="T46" i="57" s="1"/>
  <c r="Z46" i="57"/>
  <c r="AC46" i="57"/>
  <c r="G47" i="57"/>
  <c r="S47" i="57" s="1"/>
  <c r="Z47" i="57"/>
  <c r="G48" i="57"/>
  <c r="G49" i="57"/>
  <c r="H49" i="57"/>
  <c r="K49" i="57"/>
  <c r="K81" i="57" s="1"/>
  <c r="K97" i="57" s="1"/>
  <c r="L49" i="57"/>
  <c r="M49" i="57"/>
  <c r="M81" i="57" s="1"/>
  <c r="M97" i="57" s="1"/>
  <c r="M101" i="57" s="1"/>
  <c r="N49" i="57"/>
  <c r="O49" i="57"/>
  <c r="O81" i="57" s="1"/>
  <c r="O97" i="57" s="1"/>
  <c r="P49" i="57"/>
  <c r="Q49" i="57"/>
  <c r="S49" i="57"/>
  <c r="G50" i="57"/>
  <c r="H50" i="57"/>
  <c r="I50" i="57"/>
  <c r="J50" i="57"/>
  <c r="J82" i="57" s="1"/>
  <c r="K50" i="57"/>
  <c r="K82" i="57" s="1"/>
  <c r="K98" i="57" s="1"/>
  <c r="K102" i="57" s="1"/>
  <c r="L50" i="57"/>
  <c r="M50" i="57"/>
  <c r="N50" i="57"/>
  <c r="N82" i="57" s="1"/>
  <c r="O50" i="57"/>
  <c r="O82" i="57" s="1"/>
  <c r="P50" i="57"/>
  <c r="Q50" i="57"/>
  <c r="Z50" i="57"/>
  <c r="AA50" i="57"/>
  <c r="AB50" i="57"/>
  <c r="G51" i="57"/>
  <c r="I51" i="57"/>
  <c r="I83" i="57" s="1"/>
  <c r="I99" i="57" s="1"/>
  <c r="I103" i="57" s="1"/>
  <c r="J51" i="57"/>
  <c r="K51" i="57"/>
  <c r="L51" i="57"/>
  <c r="M51" i="57"/>
  <c r="M83" i="57" s="1"/>
  <c r="M99" i="57" s="1"/>
  <c r="N51" i="57"/>
  <c r="O51" i="57"/>
  <c r="P51" i="57"/>
  <c r="P83" i="57" s="1"/>
  <c r="P99" i="57" s="1"/>
  <c r="P103" i="57" s="1"/>
  <c r="Q51" i="57"/>
  <c r="Q83" i="57" s="1"/>
  <c r="Q99" i="57" s="1"/>
  <c r="AA51" i="57"/>
  <c r="AA83" i="57" s="1"/>
  <c r="AB51" i="57"/>
  <c r="E53" i="57"/>
  <c r="G53" i="57"/>
  <c r="G61" i="57" s="1"/>
  <c r="Z53" i="57"/>
  <c r="AC53" i="57" s="1"/>
  <c r="E54" i="57"/>
  <c r="S54" i="57" s="1"/>
  <c r="G54" i="57"/>
  <c r="R54" i="57"/>
  <c r="Z54" i="57"/>
  <c r="AC54" i="57" s="1"/>
  <c r="E55" i="57"/>
  <c r="G55" i="57"/>
  <c r="Z55" i="57"/>
  <c r="AC55" i="57"/>
  <c r="G57" i="57"/>
  <c r="S57" i="57" s="1"/>
  <c r="Z57" i="57"/>
  <c r="AC57" i="57" s="1"/>
  <c r="G58" i="57"/>
  <c r="G62" i="57" s="1"/>
  <c r="Z58" i="57"/>
  <c r="AC58" i="57"/>
  <c r="G59" i="57"/>
  <c r="T59" i="57"/>
  <c r="Z59" i="57"/>
  <c r="AC59" i="57"/>
  <c r="F61" i="57"/>
  <c r="H61" i="57"/>
  <c r="K61" i="57"/>
  <c r="L61" i="57"/>
  <c r="M61" i="57"/>
  <c r="N61" i="57"/>
  <c r="O61" i="57"/>
  <c r="P61" i="57"/>
  <c r="Q61" i="57"/>
  <c r="Z61" i="57"/>
  <c r="AC61" i="57"/>
  <c r="E62" i="57"/>
  <c r="F62" i="57"/>
  <c r="H62" i="57"/>
  <c r="H82" i="57" s="1"/>
  <c r="H98" i="57" s="1"/>
  <c r="H102" i="57" s="1"/>
  <c r="I62" i="57"/>
  <c r="J62" i="57"/>
  <c r="K62" i="57"/>
  <c r="L62" i="57"/>
  <c r="L82" i="57" s="1"/>
  <c r="L98" i="57" s="1"/>
  <c r="M62" i="57"/>
  <c r="M82" i="57" s="1"/>
  <c r="M98" i="57" s="1"/>
  <c r="M102" i="57" s="1"/>
  <c r="N62" i="57"/>
  <c r="O62" i="57"/>
  <c r="P62" i="57"/>
  <c r="P82" i="57" s="1"/>
  <c r="P98" i="57" s="1"/>
  <c r="P102" i="57" s="1"/>
  <c r="Q62" i="57"/>
  <c r="Z62" i="57"/>
  <c r="AC62" i="57" s="1"/>
  <c r="E63" i="57"/>
  <c r="E83" i="57" s="1"/>
  <c r="F63" i="57"/>
  <c r="I63" i="57"/>
  <c r="J63" i="57"/>
  <c r="J83" i="57" s="1"/>
  <c r="J99" i="57" s="1"/>
  <c r="J103" i="57" s="1"/>
  <c r="K63" i="57"/>
  <c r="L63" i="57"/>
  <c r="M63" i="57"/>
  <c r="N63" i="57"/>
  <c r="N83" i="57" s="1"/>
  <c r="O63" i="57"/>
  <c r="P63" i="57"/>
  <c r="Q63" i="57"/>
  <c r="Z63" i="57"/>
  <c r="AA63" i="57"/>
  <c r="AC63" i="57"/>
  <c r="R65" i="57"/>
  <c r="T65" i="57"/>
  <c r="AC65" i="57"/>
  <c r="S66" i="57"/>
  <c r="Z66" i="57"/>
  <c r="AC66" i="57"/>
  <c r="R66" i="57" s="1"/>
  <c r="T66" i="57" s="1"/>
  <c r="S67" i="57"/>
  <c r="Z67" i="57"/>
  <c r="AC67" i="57" s="1"/>
  <c r="S69" i="57"/>
  <c r="AC69" i="57"/>
  <c r="R69" i="57" s="1"/>
  <c r="T69" i="57" s="1"/>
  <c r="S70" i="57"/>
  <c r="Z70" i="57"/>
  <c r="AC70" i="57" s="1"/>
  <c r="R70" i="57" s="1"/>
  <c r="T70" i="57" s="1"/>
  <c r="S71" i="57"/>
  <c r="Z71" i="57"/>
  <c r="AC71" i="57" s="1"/>
  <c r="G73" i="57"/>
  <c r="R73" i="57"/>
  <c r="T73" i="57" s="1"/>
  <c r="S73" i="57"/>
  <c r="Z73" i="57"/>
  <c r="AC73" i="57" s="1"/>
  <c r="G74" i="57"/>
  <c r="S74" i="57"/>
  <c r="Z74" i="57"/>
  <c r="AC74" i="57" s="1"/>
  <c r="G75" i="57"/>
  <c r="S75" i="57" s="1"/>
  <c r="Z75" i="57"/>
  <c r="AC75" i="57"/>
  <c r="R75" i="57" s="1"/>
  <c r="T75" i="57" s="1"/>
  <c r="E77" i="57"/>
  <c r="S77" i="57" s="1"/>
  <c r="X77" i="57"/>
  <c r="Y77" i="57"/>
  <c r="Z77" i="57"/>
  <c r="Z105" i="57" s="1"/>
  <c r="E78" i="57"/>
  <c r="S78" i="57" s="1"/>
  <c r="H78" i="57"/>
  <c r="X78" i="57"/>
  <c r="Y78" i="57"/>
  <c r="Z78" i="57"/>
  <c r="AA78" i="57"/>
  <c r="AA106" i="57" s="1"/>
  <c r="E79" i="57"/>
  <c r="H79" i="57"/>
  <c r="X79" i="57"/>
  <c r="X83" i="57" s="1"/>
  <c r="Y79" i="57"/>
  <c r="Z79" i="57"/>
  <c r="AA79" i="57"/>
  <c r="AA107" i="57" s="1"/>
  <c r="AC79" i="57"/>
  <c r="D81" i="57"/>
  <c r="D97" i="57" s="1"/>
  <c r="F81" i="57"/>
  <c r="H81" i="57"/>
  <c r="H97" i="57" s="1"/>
  <c r="H101" i="57" s="1"/>
  <c r="L81" i="57"/>
  <c r="L97" i="57" s="1"/>
  <c r="L101" i="57" s="1"/>
  <c r="N81" i="57"/>
  <c r="P81" i="57"/>
  <c r="P97" i="57" s="1"/>
  <c r="P101" i="57" s="1"/>
  <c r="Q81" i="57"/>
  <c r="Q97" i="57" s="1"/>
  <c r="Y81" i="57"/>
  <c r="AA81" i="57"/>
  <c r="AB81" i="57"/>
  <c r="D82" i="57"/>
  <c r="F82" i="57"/>
  <c r="I82" i="57"/>
  <c r="I98" i="57" s="1"/>
  <c r="I102" i="57" s="1"/>
  <c r="Q82" i="57"/>
  <c r="X82" i="57"/>
  <c r="Y82" i="57"/>
  <c r="Y98" i="57" s="1"/>
  <c r="Y102" i="57" s="1"/>
  <c r="Z82" i="57"/>
  <c r="Z98" i="57" s="1"/>
  <c r="Z102" i="57" s="1"/>
  <c r="AB82" i="57"/>
  <c r="AB98" i="57" s="1"/>
  <c r="D83" i="57"/>
  <c r="F83" i="57"/>
  <c r="F99" i="57" s="1"/>
  <c r="F103" i="57" s="1"/>
  <c r="K83" i="57"/>
  <c r="L83" i="57"/>
  <c r="L99" i="57" s="1"/>
  <c r="O83" i="57"/>
  <c r="O99" i="57" s="1"/>
  <c r="O103" i="57" s="1"/>
  <c r="Y83" i="57"/>
  <c r="AB83" i="57"/>
  <c r="S85" i="57"/>
  <c r="X85" i="57"/>
  <c r="Y85" i="57"/>
  <c r="Z85" i="57"/>
  <c r="AA85" i="57"/>
  <c r="K86" i="57"/>
  <c r="N86" i="57"/>
  <c r="X86" i="57"/>
  <c r="Y86" i="57"/>
  <c r="Z86" i="57"/>
  <c r="AA86" i="57"/>
  <c r="AC86" i="57" s="1"/>
  <c r="D87" i="57"/>
  <c r="E87" i="57"/>
  <c r="K87" i="57"/>
  <c r="S87" i="57" s="1"/>
  <c r="M87" i="57"/>
  <c r="N87" i="57"/>
  <c r="X87" i="57"/>
  <c r="Y87" i="57"/>
  <c r="Z87" i="57"/>
  <c r="AA87" i="57"/>
  <c r="S88" i="57"/>
  <c r="S89" i="57"/>
  <c r="X89" i="57"/>
  <c r="Y89" i="57"/>
  <c r="AC89" i="57" s="1"/>
  <c r="R89" i="57" s="1"/>
  <c r="T89" i="57" s="1"/>
  <c r="Z89" i="57"/>
  <c r="AA89" i="57"/>
  <c r="E90" i="57"/>
  <c r="S90" i="57" s="1"/>
  <c r="X90" i="57"/>
  <c r="Y90" i="57"/>
  <c r="AC90" i="57" s="1"/>
  <c r="R90" i="57" s="1"/>
  <c r="T90" i="57" s="1"/>
  <c r="Z90" i="57"/>
  <c r="AA90" i="57"/>
  <c r="E91" i="57"/>
  <c r="S91" i="57" s="1"/>
  <c r="X91" i="57"/>
  <c r="Y91" i="57"/>
  <c r="Z91" i="57"/>
  <c r="AA91" i="57"/>
  <c r="AC91" i="57" s="1"/>
  <c r="S92" i="57"/>
  <c r="S93" i="57"/>
  <c r="X93" i="57"/>
  <c r="Y93" i="57"/>
  <c r="Z93" i="57"/>
  <c r="AC93" i="57"/>
  <c r="R93" i="57" s="1"/>
  <c r="T93" i="57" s="1"/>
  <c r="S94" i="57"/>
  <c r="X94" i="57"/>
  <c r="Y94" i="57"/>
  <c r="Z94" i="57"/>
  <c r="M95" i="57"/>
  <c r="S95" i="57"/>
  <c r="X95" i="57"/>
  <c r="Y95" i="57"/>
  <c r="Z95" i="57"/>
  <c r="AC95" i="57"/>
  <c r="R95" i="57" s="1"/>
  <c r="T95" i="57" s="1"/>
  <c r="Y96" i="57"/>
  <c r="Z96" i="57"/>
  <c r="AA96" i="57"/>
  <c r="AB96" i="57"/>
  <c r="F97" i="57"/>
  <c r="F101" i="57" s="1"/>
  <c r="N97" i="57"/>
  <c r="N101" i="57" s="1"/>
  <c r="AA97" i="57"/>
  <c r="AA101" i="57" s="1"/>
  <c r="AB97" i="57"/>
  <c r="AB101" i="57" s="1"/>
  <c r="D98" i="57"/>
  <c r="F98" i="57"/>
  <c r="J98" i="57"/>
  <c r="O98" i="57"/>
  <c r="Q98" i="57"/>
  <c r="Q102" i="57" s="1"/>
  <c r="D99" i="57"/>
  <c r="D103" i="57" s="1"/>
  <c r="K99" i="57"/>
  <c r="K103" i="57" s="1"/>
  <c r="N99" i="57"/>
  <c r="N103" i="57" s="1"/>
  <c r="Y99" i="57"/>
  <c r="Y103" i="57" s="1"/>
  <c r="D101" i="57"/>
  <c r="K101" i="57"/>
  <c r="O101" i="57"/>
  <c r="Q101" i="57"/>
  <c r="D102" i="57"/>
  <c r="F102" i="57"/>
  <c r="J102" i="57"/>
  <c r="L102" i="57"/>
  <c r="O102" i="57"/>
  <c r="AB102" i="57"/>
  <c r="L103" i="57"/>
  <c r="M103" i="57"/>
  <c r="Q103" i="57"/>
  <c r="D105" i="57"/>
  <c r="E105" i="57"/>
  <c r="F105" i="57"/>
  <c r="G105" i="57"/>
  <c r="H105" i="57"/>
  <c r="K105" i="57"/>
  <c r="L105" i="57"/>
  <c r="M105" i="57"/>
  <c r="N105" i="57"/>
  <c r="O105" i="57"/>
  <c r="P105" i="57"/>
  <c r="Q105" i="57"/>
  <c r="S105" i="57"/>
  <c r="Y105" i="57"/>
  <c r="AA105" i="57"/>
  <c r="AB105" i="57"/>
  <c r="D106" i="57"/>
  <c r="E106" i="57"/>
  <c r="F106" i="57"/>
  <c r="G106" i="57"/>
  <c r="H106" i="57"/>
  <c r="I106" i="57"/>
  <c r="J106" i="57"/>
  <c r="K106" i="57"/>
  <c r="L106" i="57"/>
  <c r="M106" i="57"/>
  <c r="N106" i="57"/>
  <c r="O106" i="57"/>
  <c r="P106" i="57"/>
  <c r="Q106" i="57"/>
  <c r="S106" i="57"/>
  <c r="X106" i="57"/>
  <c r="Y106" i="57"/>
  <c r="Z106" i="57"/>
  <c r="AB106" i="57"/>
  <c r="D107" i="57"/>
  <c r="E107" i="57"/>
  <c r="F107" i="57"/>
  <c r="G107" i="57"/>
  <c r="I107" i="57"/>
  <c r="J107" i="57"/>
  <c r="K107" i="57"/>
  <c r="L107" i="57"/>
  <c r="M107" i="57"/>
  <c r="N107" i="57"/>
  <c r="O107" i="57"/>
  <c r="P107" i="57"/>
  <c r="Q107" i="57"/>
  <c r="X107" i="57"/>
  <c r="Y107" i="57"/>
  <c r="Z107" i="57"/>
  <c r="AB107" i="57"/>
  <c r="AC107" i="57"/>
  <c r="B7" i="56"/>
  <c r="B37" i="56" s="1"/>
  <c r="C7" i="56"/>
  <c r="C37" i="56" s="1"/>
  <c r="D7" i="56"/>
  <c r="D37" i="56"/>
  <c r="D84" i="56" s="1"/>
  <c r="B39" i="56"/>
  <c r="C39" i="56"/>
  <c r="D39" i="56"/>
  <c r="D49" i="56" s="1"/>
  <c r="B42" i="56"/>
  <c r="B49" i="56" s="1"/>
  <c r="C42" i="56"/>
  <c r="D42" i="56"/>
  <c r="C49" i="56"/>
  <c r="B51" i="56"/>
  <c r="B72" i="56" s="1"/>
  <c r="C51" i="56"/>
  <c r="C72" i="56" s="1"/>
  <c r="D51" i="56"/>
  <c r="D72" i="56" s="1"/>
  <c r="B74" i="56"/>
  <c r="B82" i="56" s="1"/>
  <c r="C74" i="56"/>
  <c r="D74" i="56"/>
  <c r="B77" i="56"/>
  <c r="C77" i="56"/>
  <c r="C82" i="56" s="1"/>
  <c r="D77" i="56"/>
  <c r="D82" i="56"/>
  <c r="D93" i="56"/>
  <c r="D91" i="56" s="1"/>
  <c r="B98" i="56"/>
  <c r="B91" i="56" s="1"/>
  <c r="B115" i="56" s="1"/>
  <c r="C98" i="56"/>
  <c r="C91" i="56" s="1"/>
  <c r="C115" i="56" s="1"/>
  <c r="D98" i="56"/>
  <c r="B101" i="56"/>
  <c r="C101" i="56"/>
  <c r="B102" i="56"/>
  <c r="C102" i="56"/>
  <c r="D102" i="56"/>
  <c r="D101" i="56" s="1"/>
  <c r="C105" i="56"/>
  <c r="D105" i="56"/>
  <c r="B106" i="56"/>
  <c r="B105" i="56" s="1"/>
  <c r="C106" i="56"/>
  <c r="D106" i="56"/>
  <c r="B109" i="56"/>
  <c r="C109" i="56"/>
  <c r="B110" i="56"/>
  <c r="C110" i="56"/>
  <c r="D110" i="56"/>
  <c r="D109" i="56" s="1"/>
  <c r="D115" i="56"/>
  <c r="C6" i="55"/>
  <c r="C75" i="55" s="1"/>
  <c r="C84" i="55" s="1"/>
  <c r="C108" i="55" s="1"/>
  <c r="D6" i="55"/>
  <c r="D75" i="55" s="1"/>
  <c r="D84" i="55" s="1"/>
  <c r="D108" i="55" s="1"/>
  <c r="E6" i="55"/>
  <c r="F6" i="55"/>
  <c r="D7" i="55"/>
  <c r="C15" i="55"/>
  <c r="E15" i="55"/>
  <c r="F15" i="55"/>
  <c r="D57" i="55"/>
  <c r="D15" i="55" s="1"/>
  <c r="E75" i="55"/>
  <c r="F75" i="55"/>
  <c r="C77" i="55"/>
  <c r="D77" i="55"/>
  <c r="E77" i="55"/>
  <c r="F77" i="55"/>
  <c r="C82" i="55"/>
  <c r="D82" i="55"/>
  <c r="E82" i="55"/>
  <c r="F82" i="55"/>
  <c r="E84" i="55"/>
  <c r="F84" i="55"/>
  <c r="F108" i="55" s="1"/>
  <c r="F86" i="55"/>
  <c r="C89" i="55"/>
  <c r="D89" i="55"/>
  <c r="E89" i="55"/>
  <c r="F89" i="55"/>
  <c r="C101" i="55"/>
  <c r="D101" i="55"/>
  <c r="E101" i="55"/>
  <c r="F101" i="55"/>
  <c r="C103" i="55"/>
  <c r="D103" i="55"/>
  <c r="E103" i="55"/>
  <c r="F103" i="55"/>
  <c r="C106" i="55"/>
  <c r="D106" i="55"/>
  <c r="E106" i="55"/>
  <c r="F106" i="55"/>
  <c r="E108" i="55"/>
  <c r="C115" i="55"/>
  <c r="D115" i="55"/>
  <c r="E115" i="55"/>
  <c r="F115" i="55"/>
  <c r="C118" i="55"/>
  <c r="D118" i="55"/>
  <c r="E118" i="55"/>
  <c r="F118" i="55"/>
  <c r="B14" i="54"/>
  <c r="B23" i="54" s="1"/>
  <c r="C14" i="54"/>
  <c r="C23" i="54" s="1"/>
  <c r="D14" i="54"/>
  <c r="B21" i="54"/>
  <c r="C21" i="54"/>
  <c r="D21" i="54"/>
  <c r="D23" i="54" s="1"/>
  <c r="G81" i="57" l="1"/>
  <c r="G97" i="57" s="1"/>
  <c r="G101" i="57" s="1"/>
  <c r="R79" i="57"/>
  <c r="S62" i="57"/>
  <c r="E82" i="57"/>
  <c r="T54" i="57"/>
  <c r="T49" i="57"/>
  <c r="AC15" i="57"/>
  <c r="R15" i="57" s="1"/>
  <c r="T15" i="57" s="1"/>
  <c r="AA99" i="57"/>
  <c r="AA103" i="57" s="1"/>
  <c r="R86" i="57"/>
  <c r="T86" i="57" s="1"/>
  <c r="S55" i="57"/>
  <c r="R55" i="57" s="1"/>
  <c r="T55" i="57" s="1"/>
  <c r="T63" i="57" s="1"/>
  <c r="G63" i="57"/>
  <c r="G82" i="57"/>
  <c r="G98" i="57" s="1"/>
  <c r="G102" i="57" s="1"/>
  <c r="Z49" i="57"/>
  <c r="AC30" i="57"/>
  <c r="R30" i="57" s="1"/>
  <c r="T30" i="57" s="1"/>
  <c r="AC94" i="57"/>
  <c r="R94" i="57" s="1"/>
  <c r="T94" i="57" s="1"/>
  <c r="AC85" i="57"/>
  <c r="R85" i="57" s="1"/>
  <c r="T85" i="57" s="1"/>
  <c r="H83" i="57"/>
  <c r="H99" i="57" s="1"/>
  <c r="H103" i="57" s="1"/>
  <c r="H107" i="57"/>
  <c r="AC78" i="57"/>
  <c r="AC77" i="57"/>
  <c r="S51" i="57"/>
  <c r="S50" i="57"/>
  <c r="N98" i="57"/>
  <c r="N102" i="57" s="1"/>
  <c r="AC47" i="57"/>
  <c r="R47" i="57" s="1"/>
  <c r="T47" i="57" s="1"/>
  <c r="T51" i="57" s="1"/>
  <c r="Z51" i="57"/>
  <c r="Z83" i="57" s="1"/>
  <c r="Y97" i="57"/>
  <c r="Y101" i="57" s="1"/>
  <c r="X105" i="57"/>
  <c r="R91" i="57"/>
  <c r="T91" i="57" s="1"/>
  <c r="S86" i="57"/>
  <c r="X81" i="57"/>
  <c r="X97" i="57" s="1"/>
  <c r="X101" i="57" s="1"/>
  <c r="R71" i="57"/>
  <c r="T71" i="57" s="1"/>
  <c r="R67" i="57"/>
  <c r="T67" i="57" s="1"/>
  <c r="E99" i="57"/>
  <c r="E103" i="57" s="1"/>
  <c r="S58" i="57"/>
  <c r="R58" i="57" s="1"/>
  <c r="R49" i="57"/>
  <c r="R34" i="57"/>
  <c r="T34" i="57" s="1"/>
  <c r="Z99" i="57"/>
  <c r="Z103" i="57" s="1"/>
  <c r="AC7" i="57"/>
  <c r="R6" i="57"/>
  <c r="AC5" i="57"/>
  <c r="R57" i="57"/>
  <c r="T57" i="57" s="1"/>
  <c r="S53" i="57"/>
  <c r="S61" i="57" s="1"/>
  <c r="E61" i="57"/>
  <c r="E81" i="57" s="1"/>
  <c r="E97" i="57" s="1"/>
  <c r="E101" i="57" s="1"/>
  <c r="AC31" i="57"/>
  <c r="R31" i="57" s="1"/>
  <c r="T31" i="57" s="1"/>
  <c r="AC14" i="57"/>
  <c r="R14" i="57" s="1"/>
  <c r="T14" i="57" s="1"/>
  <c r="S79" i="57"/>
  <c r="S107" i="57" s="1"/>
  <c r="S81" i="57"/>
  <c r="S97" i="57" s="1"/>
  <c r="S101" i="57" s="1"/>
  <c r="X99" i="57"/>
  <c r="X103" i="57" s="1"/>
  <c r="AC87" i="57"/>
  <c r="R87" i="57" s="1"/>
  <c r="T87" i="57" s="1"/>
  <c r="R74" i="57"/>
  <c r="T74" i="57" s="1"/>
  <c r="AA82" i="57"/>
  <c r="AA98" i="57" s="1"/>
  <c r="AA102" i="57" s="1"/>
  <c r="AC50" i="57"/>
  <c r="R38" i="57"/>
  <c r="AC27" i="57"/>
  <c r="R27" i="57" s="1"/>
  <c r="T27" i="57" s="1"/>
  <c r="AB99" i="57"/>
  <c r="AB103" i="57" s="1"/>
  <c r="C113" i="56"/>
  <c r="B113" i="56"/>
  <c r="C117" i="56"/>
  <c r="B117" i="56"/>
  <c r="C84" i="56"/>
  <c r="B84" i="56"/>
  <c r="D113" i="56"/>
  <c r="D117" i="56" s="1"/>
  <c r="B8" i="53"/>
  <c r="B6" i="53" s="1"/>
  <c r="C8" i="53"/>
  <c r="C6" i="53" s="1"/>
  <c r="D8" i="53"/>
  <c r="D6" i="53" s="1"/>
  <c r="D75" i="53" s="1"/>
  <c r="E8" i="53"/>
  <c r="G8" i="53"/>
  <c r="H8" i="53"/>
  <c r="I8" i="53"/>
  <c r="K8" i="53"/>
  <c r="L8" i="53"/>
  <c r="L6" i="53" s="1"/>
  <c r="M8" i="53"/>
  <c r="M6" i="53" s="1"/>
  <c r="J9" i="53"/>
  <c r="J7" i="53" s="1"/>
  <c r="B12" i="53"/>
  <c r="C12" i="53"/>
  <c r="D12" i="53"/>
  <c r="E12" i="53"/>
  <c r="G12" i="53"/>
  <c r="I12" i="53"/>
  <c r="I6" i="53" s="1"/>
  <c r="K12" i="53"/>
  <c r="L12" i="53"/>
  <c r="M12" i="53"/>
  <c r="J23" i="53"/>
  <c r="F34" i="53"/>
  <c r="F12" i="53" s="1"/>
  <c r="F6" i="53" s="1"/>
  <c r="F75" i="53" s="1"/>
  <c r="H34" i="53"/>
  <c r="J34" i="53"/>
  <c r="H46" i="53"/>
  <c r="B60" i="53"/>
  <c r="C60" i="53"/>
  <c r="D60" i="53"/>
  <c r="E60" i="53"/>
  <c r="F60" i="53"/>
  <c r="G60" i="53"/>
  <c r="I60" i="53"/>
  <c r="K60" i="53"/>
  <c r="L60" i="53"/>
  <c r="M60" i="53"/>
  <c r="B64" i="53"/>
  <c r="C64" i="53"/>
  <c r="D64" i="53"/>
  <c r="E64" i="53"/>
  <c r="F64" i="53"/>
  <c r="G64" i="53"/>
  <c r="I64" i="53"/>
  <c r="K64" i="53"/>
  <c r="L64" i="53"/>
  <c r="M64" i="53"/>
  <c r="J7" i="52"/>
  <c r="B8" i="52"/>
  <c r="B6" i="52" s="1"/>
  <c r="C8" i="52"/>
  <c r="C6" i="52" s="1"/>
  <c r="D8" i="52"/>
  <c r="E8" i="52"/>
  <c r="E6" i="52" s="1"/>
  <c r="F8" i="52"/>
  <c r="J8" i="52"/>
  <c r="J9" i="52"/>
  <c r="J10" i="52"/>
  <c r="J11" i="52"/>
  <c r="J12" i="52"/>
  <c r="J13" i="52"/>
  <c r="J14" i="52"/>
  <c r="J15" i="52"/>
  <c r="J16" i="52"/>
  <c r="J17" i="52"/>
  <c r="J18" i="52"/>
  <c r="J19" i="52"/>
  <c r="F21" i="52"/>
  <c r="F6" i="52" s="1"/>
  <c r="G21" i="52"/>
  <c r="H21" i="52"/>
  <c r="I21" i="52"/>
  <c r="J21" i="52"/>
  <c r="J6" i="52" s="1"/>
  <c r="K21" i="52"/>
  <c r="B38" i="52"/>
  <c r="C38" i="52"/>
  <c r="D38" i="52"/>
  <c r="E38" i="52"/>
  <c r="F38" i="52"/>
  <c r="H38" i="52"/>
  <c r="I38" i="52"/>
  <c r="J38" i="52"/>
  <c r="K38" i="52"/>
  <c r="G63" i="52"/>
  <c r="G38" i="52" s="1"/>
  <c r="G6" i="52" s="1"/>
  <c r="B114" i="52"/>
  <c r="C114" i="52"/>
  <c r="D114" i="52"/>
  <c r="D112" i="52" s="1"/>
  <c r="E114" i="52"/>
  <c r="F114" i="52"/>
  <c r="G114" i="52"/>
  <c r="H114" i="52"/>
  <c r="I114" i="52"/>
  <c r="J114" i="52"/>
  <c r="K114" i="52"/>
  <c r="K112" i="52" s="1"/>
  <c r="B124" i="52"/>
  <c r="B112" i="52" s="1"/>
  <c r="C124" i="52"/>
  <c r="D124" i="52"/>
  <c r="E124" i="52"/>
  <c r="F124" i="52"/>
  <c r="F112" i="52" s="1"/>
  <c r="G124" i="52"/>
  <c r="H124" i="52"/>
  <c r="I124" i="52"/>
  <c r="I112" i="52" s="1"/>
  <c r="J124" i="52"/>
  <c r="K124" i="52"/>
  <c r="B127" i="52"/>
  <c r="C127" i="52"/>
  <c r="D127" i="52"/>
  <c r="E127" i="52"/>
  <c r="F127" i="52"/>
  <c r="G127" i="52"/>
  <c r="H127" i="52"/>
  <c r="I127" i="52"/>
  <c r="J127" i="52"/>
  <c r="K127" i="52"/>
  <c r="B130" i="52"/>
  <c r="C130" i="52"/>
  <c r="D130" i="52"/>
  <c r="E130" i="52"/>
  <c r="F130" i="52"/>
  <c r="G130" i="52"/>
  <c r="H130" i="52"/>
  <c r="I130" i="52"/>
  <c r="I75" i="53" l="1"/>
  <c r="M75" i="53"/>
  <c r="C75" i="53"/>
  <c r="L75" i="53"/>
  <c r="G6" i="53"/>
  <c r="G75" i="53" s="1"/>
  <c r="B75" i="53"/>
  <c r="H12" i="53"/>
  <c r="K6" i="53"/>
  <c r="K75" i="53" s="1"/>
  <c r="E6" i="53"/>
  <c r="E75" i="53" s="1"/>
  <c r="H112" i="52"/>
  <c r="C144" i="52"/>
  <c r="G112" i="52"/>
  <c r="C112" i="52"/>
  <c r="I6" i="52"/>
  <c r="I144" i="52" s="1"/>
  <c r="J112" i="52"/>
  <c r="H6" i="52"/>
  <c r="E112" i="52"/>
  <c r="E144" i="52" s="1"/>
  <c r="K6" i="52"/>
  <c r="D6" i="52"/>
  <c r="D144" i="52" s="1"/>
  <c r="T83" i="57"/>
  <c r="T58" i="57"/>
  <c r="R62" i="57"/>
  <c r="R5" i="57"/>
  <c r="R77" i="57"/>
  <c r="AC105" i="57"/>
  <c r="Z81" i="57"/>
  <c r="Z97" i="57" s="1"/>
  <c r="Z101" i="57" s="1"/>
  <c r="AC49" i="57"/>
  <c r="AC81" i="57" s="1"/>
  <c r="AC97" i="57" s="1"/>
  <c r="AC101" i="57" s="1"/>
  <c r="E98" i="57"/>
  <c r="E102" i="57" s="1"/>
  <c r="S102" i="57" s="1"/>
  <c r="S82" i="57"/>
  <c r="S98" i="57" s="1"/>
  <c r="R78" i="57"/>
  <c r="AC106" i="57"/>
  <c r="R51" i="57"/>
  <c r="R83" i="57" s="1"/>
  <c r="R50" i="57"/>
  <c r="T38" i="57"/>
  <c r="T50" i="57" s="1"/>
  <c r="R53" i="57"/>
  <c r="T6" i="57"/>
  <c r="AC51" i="57"/>
  <c r="AC83" i="57" s="1"/>
  <c r="T62" i="57"/>
  <c r="R107" i="57"/>
  <c r="T79" i="57"/>
  <c r="T107" i="57" s="1"/>
  <c r="AC82" i="57"/>
  <c r="AC98" i="57" s="1"/>
  <c r="AC102" i="57" s="1"/>
  <c r="R7" i="57"/>
  <c r="AC99" i="57"/>
  <c r="AC103" i="57" s="1"/>
  <c r="S63" i="57"/>
  <c r="G83" i="57"/>
  <c r="H6" i="53"/>
  <c r="H144" i="52"/>
  <c r="B144" i="52"/>
  <c r="G144" i="52"/>
  <c r="F144" i="52"/>
  <c r="T82" i="57" l="1"/>
  <c r="T98" i="57" s="1"/>
  <c r="T102" i="57" s="1"/>
  <c r="T78" i="57"/>
  <c r="T106" i="57" s="1"/>
  <c r="R106" i="57"/>
  <c r="T7" i="57"/>
  <c r="T99" i="57" s="1"/>
  <c r="T103" i="57" s="1"/>
  <c r="R99" i="57"/>
  <c r="R103" i="57" s="1"/>
  <c r="R82" i="57"/>
  <c r="R98" i="57" s="1"/>
  <c r="R102" i="57" s="1"/>
  <c r="T5" i="57"/>
  <c r="R97" i="57"/>
  <c r="R101" i="57" s="1"/>
  <c r="G99" i="57"/>
  <c r="G103" i="57" s="1"/>
  <c r="S103" i="57" s="1"/>
  <c r="S83" i="57"/>
  <c r="S99" i="57" s="1"/>
  <c r="R61" i="57"/>
  <c r="R81" i="57" s="1"/>
  <c r="T53" i="57"/>
  <c r="T61" i="57" s="1"/>
  <c r="T81" i="57" s="1"/>
  <c r="T77" i="57"/>
  <c r="T105" i="57" s="1"/>
  <c r="R105" i="57"/>
  <c r="F14" i="51"/>
  <c r="G14" i="51"/>
  <c r="G18" i="51" s="1"/>
  <c r="G21" i="51" s="1"/>
  <c r="H14" i="51"/>
  <c r="F18" i="51"/>
  <c r="F21" i="51" s="1"/>
  <c r="H18" i="51"/>
  <c r="H21" i="51" s="1"/>
  <c r="H24" i="51"/>
  <c r="H31" i="51" s="1"/>
  <c r="H43" i="51" s="1"/>
  <c r="H25" i="51"/>
  <c r="H28" i="51"/>
  <c r="F31" i="51"/>
  <c r="G31" i="51"/>
  <c r="G43" i="51" s="1"/>
  <c r="H34" i="51"/>
  <c r="H36" i="51"/>
  <c r="F38" i="51"/>
  <c r="G38" i="51"/>
  <c r="H38" i="51"/>
  <c r="H40" i="51"/>
  <c r="E41" i="51"/>
  <c r="F42" i="51"/>
  <c r="G42" i="51"/>
  <c r="H42" i="51"/>
  <c r="F43" i="51"/>
  <c r="H44" i="51"/>
  <c r="H50" i="51"/>
  <c r="H51" i="51" s="1"/>
  <c r="H67" i="51" s="1"/>
  <c r="H78" i="51" s="1"/>
  <c r="F51" i="51"/>
  <c r="G51" i="51"/>
  <c r="G67" i="51" s="1"/>
  <c r="G78" i="51" s="1"/>
  <c r="F60" i="51"/>
  <c r="G60" i="51"/>
  <c r="H60" i="51"/>
  <c r="E61" i="51"/>
  <c r="F67" i="51"/>
  <c r="G69" i="51"/>
  <c r="F71" i="51"/>
  <c r="G71" i="51"/>
  <c r="H71" i="51"/>
  <c r="H73" i="51"/>
  <c r="F75" i="51"/>
  <c r="G75" i="51"/>
  <c r="H75" i="51"/>
  <c r="H76" i="51"/>
  <c r="F78" i="51"/>
  <c r="F83" i="51"/>
  <c r="G83" i="51"/>
  <c r="H83" i="51"/>
  <c r="H91" i="51"/>
  <c r="H92" i="51"/>
  <c r="H93" i="51"/>
  <c r="T97" i="57" l="1"/>
  <c r="T101" i="57" s="1"/>
  <c r="F88" i="51"/>
  <c r="F97" i="51" s="1"/>
  <c r="G88" i="51"/>
  <c r="G97" i="51" s="1"/>
  <c r="H88" i="51"/>
  <c r="H97" i="51" s="1"/>
  <c r="E41" i="1" l="1"/>
  <c r="D27" i="2"/>
  <c r="L18" i="48"/>
  <c r="L12" i="48"/>
  <c r="L4" i="48"/>
  <c r="L5" i="48"/>
  <c r="L6" i="48"/>
  <c r="L7" i="48"/>
  <c r="L8" i="48"/>
  <c r="L9" i="48"/>
  <c r="L10" i="48"/>
  <c r="L11" i="48"/>
  <c r="L13" i="48"/>
  <c r="L14" i="48"/>
  <c r="L15" i="48"/>
  <c r="L16" i="48"/>
  <c r="L17" i="48"/>
  <c r="D13" i="48"/>
  <c r="D12" i="48"/>
  <c r="D6" i="48"/>
  <c r="D11" i="48" l="1"/>
  <c r="C11" i="48"/>
  <c r="D10" i="48"/>
  <c r="D9" i="48"/>
  <c r="D8" i="48"/>
  <c r="D7" i="48"/>
  <c r="D5" i="48"/>
  <c r="D4" i="48"/>
  <c r="D18" i="48"/>
  <c r="E18" i="48"/>
  <c r="F18" i="48"/>
  <c r="G18" i="48"/>
  <c r="H18" i="48"/>
  <c r="I18" i="48"/>
  <c r="J18" i="48"/>
  <c r="K18" i="48"/>
  <c r="K15" i="48"/>
  <c r="K14" i="48" s="1"/>
  <c r="K17" i="48" s="1"/>
  <c r="J15" i="48"/>
  <c r="J14" i="48" s="1"/>
  <c r="J17" i="48" s="1"/>
  <c r="I15" i="48"/>
  <c r="I14" i="48" s="1"/>
  <c r="I17" i="48" s="1"/>
  <c r="H15" i="48"/>
  <c r="H14" i="48" s="1"/>
  <c r="H17" i="48" s="1"/>
  <c r="G15" i="48"/>
  <c r="G14" i="48" s="1"/>
  <c r="G17" i="48" s="1"/>
  <c r="F15" i="48"/>
  <c r="F14" i="48" s="1"/>
  <c r="F17" i="48" s="1"/>
  <c r="E15" i="48"/>
  <c r="E14" i="48" s="1"/>
  <c r="E17" i="48" s="1"/>
  <c r="D15" i="48"/>
  <c r="D14" i="48" s="1"/>
  <c r="D17" i="48" s="1"/>
  <c r="C10" i="48"/>
  <c r="C17" i="48"/>
  <c r="C14" i="48"/>
  <c r="C15" i="48"/>
  <c r="N8" i="45" l="1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7" i="45"/>
  <c r="D54" i="2"/>
  <c r="D55" i="2"/>
  <c r="C55" i="2"/>
  <c r="D61" i="2"/>
  <c r="C61" i="2"/>
  <c r="D33" i="2"/>
  <c r="D62" i="2" s="1"/>
  <c r="D40" i="13"/>
  <c r="I12" i="16"/>
  <c r="I8" i="16"/>
  <c r="I14" i="16" s="1"/>
  <c r="D14" i="16"/>
  <c r="I33" i="4"/>
  <c r="I32" i="4"/>
  <c r="I26" i="4"/>
  <c r="I20" i="4"/>
  <c r="D27" i="20"/>
  <c r="D20" i="20"/>
  <c r="D10" i="20"/>
  <c r="D7" i="20"/>
  <c r="E23" i="4"/>
  <c r="F23" i="4"/>
  <c r="E20" i="4" l="1"/>
  <c r="F20" i="4"/>
  <c r="E14" i="4"/>
  <c r="F14" i="4"/>
  <c r="D34" i="3" l="1"/>
  <c r="D35" i="3"/>
  <c r="D26" i="3"/>
  <c r="D32" i="3"/>
  <c r="D30" i="3"/>
  <c r="D28" i="3"/>
  <c r="D25" i="3"/>
  <c r="D13" i="3"/>
  <c r="D16" i="3"/>
  <c r="E7" i="1"/>
  <c r="D6" i="2"/>
  <c r="M7" i="3"/>
  <c r="L32" i="4"/>
  <c r="L33" i="4" s="1"/>
  <c r="D6" i="20" l="1"/>
  <c r="D9" i="20"/>
  <c r="D12" i="20"/>
  <c r="D19" i="20"/>
  <c r="D22" i="20"/>
  <c r="D8" i="13"/>
  <c r="D13" i="13"/>
  <c r="D28" i="13"/>
  <c r="C8" i="13"/>
  <c r="C14" i="13" s="1"/>
  <c r="C20" i="13" s="1"/>
  <c r="C21" i="13" s="1"/>
  <c r="C13" i="13"/>
  <c r="L10" i="4"/>
  <c r="L26" i="4" s="1"/>
  <c r="D4" i="20" l="1"/>
  <c r="D14" i="13"/>
  <c r="D20" i="13" s="1"/>
  <c r="D21" i="13" s="1"/>
  <c r="D32" i="13" s="1"/>
  <c r="D17" i="20"/>
  <c r="O6" i="4"/>
  <c r="J6" i="1" s="1"/>
  <c r="O7" i="4"/>
  <c r="H7" i="2" s="1"/>
  <c r="O8" i="4"/>
  <c r="J13" i="1" s="1"/>
  <c r="O9" i="4"/>
  <c r="H10" i="2" s="1"/>
  <c r="O11" i="4"/>
  <c r="H12" i="2" s="1"/>
  <c r="O12" i="4"/>
  <c r="O13" i="4"/>
  <c r="H14" i="2" s="1"/>
  <c r="O14" i="4"/>
  <c r="J20" i="1" s="1"/>
  <c r="O15" i="4"/>
  <c r="H16" i="2" s="1"/>
  <c r="O16" i="4"/>
  <c r="O17" i="4"/>
  <c r="H18" i="2" s="1"/>
  <c r="O18" i="4"/>
  <c r="J26" i="1" s="1"/>
  <c r="O19" i="4"/>
  <c r="J28" i="1" s="1"/>
  <c r="O20" i="4"/>
  <c r="H52" i="2" s="1"/>
  <c r="O21" i="4"/>
  <c r="J31" i="1" s="1"/>
  <c r="O22" i="4"/>
  <c r="J32" i="1" s="1"/>
  <c r="O23" i="4"/>
  <c r="J33" i="1" s="1"/>
  <c r="O24" i="4"/>
  <c r="H56" i="2" s="1"/>
  <c r="O25" i="4"/>
  <c r="J35" i="1" s="1"/>
  <c r="O27" i="4"/>
  <c r="H59" i="2" s="1"/>
  <c r="O28" i="4"/>
  <c r="O29" i="4"/>
  <c r="J47" i="1" s="1"/>
  <c r="O30" i="4"/>
  <c r="J48" i="1" s="1"/>
  <c r="O31" i="4"/>
  <c r="J49" i="1" s="1"/>
  <c r="F10" i="4"/>
  <c r="O10" i="4" s="1"/>
  <c r="F32" i="4"/>
  <c r="O32" i="4" s="1"/>
  <c r="J50" i="1" s="1"/>
  <c r="J8" i="3"/>
  <c r="J10" i="3"/>
  <c r="J12" i="3"/>
  <c r="J24" i="3"/>
  <c r="J33" i="3"/>
  <c r="J36" i="3"/>
  <c r="J39" i="3"/>
  <c r="J49" i="3"/>
  <c r="G8" i="3"/>
  <c r="G10" i="3"/>
  <c r="G12" i="3"/>
  <c r="G24" i="3"/>
  <c r="G33" i="3"/>
  <c r="G39" i="3"/>
  <c r="G49" i="3"/>
  <c r="D8" i="3"/>
  <c r="D10" i="3"/>
  <c r="D12" i="3"/>
  <c r="D24" i="3"/>
  <c r="D33" i="3"/>
  <c r="D36" i="3"/>
  <c r="D39" i="3"/>
  <c r="D49" i="3"/>
  <c r="M6" i="3"/>
  <c r="D5" i="2" s="1"/>
  <c r="M9" i="3"/>
  <c r="E9" i="1" s="1"/>
  <c r="M11" i="3"/>
  <c r="E11" i="1" s="1"/>
  <c r="M14" i="3"/>
  <c r="M15" i="3"/>
  <c r="M16" i="3"/>
  <c r="D13" i="2" s="1"/>
  <c r="M17" i="3"/>
  <c r="M18" i="3"/>
  <c r="M19" i="3"/>
  <c r="M20" i="3"/>
  <c r="M21" i="3"/>
  <c r="E16" i="1" s="1"/>
  <c r="M22" i="3"/>
  <c r="E18" i="1" s="1"/>
  <c r="M23" i="3"/>
  <c r="E19" i="1" s="1"/>
  <c r="M25" i="3"/>
  <c r="D19" i="2" s="1"/>
  <c r="M26" i="3"/>
  <c r="E22" i="1" s="1"/>
  <c r="M27" i="3"/>
  <c r="E23" i="1" s="1"/>
  <c r="M28" i="3"/>
  <c r="D22" i="2" s="1"/>
  <c r="M29" i="3"/>
  <c r="D23" i="2" s="1"/>
  <c r="M30" i="3"/>
  <c r="E26" i="1" s="1"/>
  <c r="M31" i="3"/>
  <c r="D25" i="2" s="1"/>
  <c r="M32" i="3"/>
  <c r="E28" i="1" s="1"/>
  <c r="M34" i="3"/>
  <c r="D50" i="2" s="1"/>
  <c r="M35" i="3"/>
  <c r="D49" i="2" s="1"/>
  <c r="M37" i="3"/>
  <c r="E33" i="1" s="1"/>
  <c r="M38" i="3"/>
  <c r="D31" i="2" s="1"/>
  <c r="M40" i="3"/>
  <c r="D52" i="2" s="1"/>
  <c r="M41" i="3"/>
  <c r="D53" i="2" s="1"/>
  <c r="M43" i="3"/>
  <c r="M44" i="3"/>
  <c r="D35" i="2" s="1"/>
  <c r="M45" i="3"/>
  <c r="E45" i="1" s="1"/>
  <c r="M46" i="3"/>
  <c r="E47" i="1" s="1"/>
  <c r="M47" i="3"/>
  <c r="H36" i="2" s="1"/>
  <c r="M48" i="3"/>
  <c r="H37" i="2" s="1"/>
  <c r="H53" i="2"/>
  <c r="H55" i="2"/>
  <c r="H57" i="2"/>
  <c r="H13" i="2"/>
  <c r="H17" i="2"/>
  <c r="H33" i="2"/>
  <c r="D63" i="2"/>
  <c r="J42" i="1"/>
  <c r="J34" i="1"/>
  <c r="J22" i="1"/>
  <c r="J18" i="1"/>
  <c r="J30" i="1" l="1"/>
  <c r="D29" i="20"/>
  <c r="H9" i="2"/>
  <c r="H5" i="2"/>
  <c r="D36" i="2"/>
  <c r="D42" i="3"/>
  <c r="H50" i="2"/>
  <c r="H54" i="2"/>
  <c r="H48" i="2"/>
  <c r="H15" i="2"/>
  <c r="F26" i="4"/>
  <c r="F33" i="4" s="1"/>
  <c r="O33" i="4" s="1"/>
  <c r="J52" i="1" s="1"/>
  <c r="M36" i="3"/>
  <c r="D29" i="2" s="1"/>
  <c r="H11" i="2"/>
  <c r="J16" i="1"/>
  <c r="M8" i="3"/>
  <c r="D7" i="2" s="1"/>
  <c r="M33" i="3"/>
  <c r="E29" i="1" s="1"/>
  <c r="G42" i="3"/>
  <c r="G50" i="3" s="1"/>
  <c r="J9" i="1"/>
  <c r="J17" i="1"/>
  <c r="J21" i="1"/>
  <c r="J41" i="1"/>
  <c r="J15" i="1"/>
  <c r="J19" i="1"/>
  <c r="J23" i="1"/>
  <c r="M39" i="3"/>
  <c r="E36" i="1" s="1"/>
  <c r="E38" i="1"/>
  <c r="J42" i="3"/>
  <c r="J50" i="3" s="1"/>
  <c r="M10" i="3"/>
  <c r="E10" i="1" s="1"/>
  <c r="D30" i="2"/>
  <c r="M24" i="3"/>
  <c r="E20" i="1" s="1"/>
  <c r="D15" i="2"/>
  <c r="D8" i="2"/>
  <c r="E6" i="1"/>
  <c r="E27" i="1"/>
  <c r="H35" i="2"/>
  <c r="M12" i="3"/>
  <c r="E13" i="1" s="1"/>
  <c r="D17" i="2"/>
  <c r="D47" i="2"/>
  <c r="E24" i="1"/>
  <c r="E48" i="1"/>
  <c r="M13" i="3"/>
  <c r="H38" i="2"/>
  <c r="E15" i="1"/>
  <c r="E37" i="1"/>
  <c r="E49" i="1"/>
  <c r="D26" i="2"/>
  <c r="D37" i="2"/>
  <c r="D38" i="2" s="1"/>
  <c r="E30" i="1"/>
  <c r="D21" i="2"/>
  <c r="E44" i="1"/>
  <c r="E31" i="1"/>
  <c r="D24" i="2"/>
  <c r="D59" i="2"/>
  <c r="D66" i="2" s="1"/>
  <c r="D20" i="2"/>
  <c r="D16" i="2"/>
  <c r="M49" i="3"/>
  <c r="E21" i="1"/>
  <c r="E25" i="1"/>
  <c r="D51" i="2"/>
  <c r="H32" i="2" l="1"/>
  <c r="H39" i="2" s="1"/>
  <c r="D48" i="2"/>
  <c r="H58" i="2"/>
  <c r="O26" i="4"/>
  <c r="J39" i="1" s="1"/>
  <c r="D46" i="2"/>
  <c r="D58" i="2" s="1"/>
  <c r="D67" i="2" s="1"/>
  <c r="E32" i="1"/>
  <c r="E8" i="1"/>
  <c r="E50" i="1"/>
  <c r="D50" i="3"/>
  <c r="M50" i="3" s="1"/>
  <c r="E52" i="1" s="1"/>
  <c r="M42" i="3"/>
  <c r="E39" i="1" s="1"/>
  <c r="H61" i="2"/>
  <c r="H66" i="2" s="1"/>
  <c r="D18" i="2"/>
  <c r="D11" i="2"/>
  <c r="D10" i="2" s="1"/>
  <c r="E14" i="1"/>
  <c r="H67" i="2" l="1"/>
  <c r="H69" i="2" s="1"/>
  <c r="E10" i="4" l="1"/>
  <c r="M8" i="45" l="1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M29" i="45"/>
  <c r="M30" i="45"/>
  <c r="M7" i="45"/>
  <c r="D19" i="4" l="1"/>
  <c r="C24" i="3" l="1"/>
  <c r="L45" i="3" l="1"/>
  <c r="L43" i="3"/>
  <c r="E49" i="3"/>
  <c r="F49" i="3"/>
  <c r="H49" i="3"/>
  <c r="I49" i="3"/>
  <c r="C49" i="3"/>
  <c r="B49" i="3"/>
  <c r="C28" i="13" l="1"/>
  <c r="C32" i="13" s="1"/>
  <c r="I39" i="3" l="1"/>
  <c r="C63" i="2" l="1"/>
  <c r="L9" i="3"/>
  <c r="D9" i="1" s="1"/>
  <c r="L11" i="3"/>
  <c r="C47" i="2" s="1"/>
  <c r="L14" i="3"/>
  <c r="L15" i="3"/>
  <c r="L17" i="3"/>
  <c r="L18" i="3"/>
  <c r="L19" i="3"/>
  <c r="L20" i="3"/>
  <c r="L21" i="3"/>
  <c r="D16" i="1" s="1"/>
  <c r="L22" i="3"/>
  <c r="L23" i="3"/>
  <c r="C17" i="2" s="1"/>
  <c r="L25" i="3"/>
  <c r="L26" i="3"/>
  <c r="L27" i="3"/>
  <c r="C21" i="2" s="1"/>
  <c r="L28" i="3"/>
  <c r="C22" i="2" s="1"/>
  <c r="L29" i="3"/>
  <c r="L30" i="3"/>
  <c r="L31" i="3"/>
  <c r="L32" i="3"/>
  <c r="L34" i="3"/>
  <c r="L35" i="3"/>
  <c r="L37" i="3"/>
  <c r="L38" i="3"/>
  <c r="C31" i="2" s="1"/>
  <c r="L40" i="3"/>
  <c r="L41" i="3"/>
  <c r="L44" i="3"/>
  <c r="D45" i="1"/>
  <c r="L46" i="3"/>
  <c r="L47" i="3"/>
  <c r="L48" i="3"/>
  <c r="L6" i="3"/>
  <c r="C5" i="2" s="1"/>
  <c r="F39" i="3"/>
  <c r="E39" i="3"/>
  <c r="I36" i="3"/>
  <c r="F24" i="3"/>
  <c r="I24" i="3"/>
  <c r="F12" i="3"/>
  <c r="I33" i="3"/>
  <c r="I12" i="3"/>
  <c r="I10" i="3"/>
  <c r="I8" i="3"/>
  <c r="F33" i="3"/>
  <c r="F10" i="3"/>
  <c r="F8" i="3"/>
  <c r="C39" i="3"/>
  <c r="C36" i="3"/>
  <c r="C33" i="3"/>
  <c r="C16" i="3"/>
  <c r="L16" i="3" s="1"/>
  <c r="C13" i="3"/>
  <c r="C10" i="3"/>
  <c r="C8" i="3"/>
  <c r="N31" i="4"/>
  <c r="I49" i="1" s="1"/>
  <c r="N7" i="4"/>
  <c r="G7" i="2" s="1"/>
  <c r="N8" i="4"/>
  <c r="I13" i="1" s="1"/>
  <c r="N9" i="4"/>
  <c r="I15" i="1" s="1"/>
  <c r="N11" i="4"/>
  <c r="I17" i="1" s="1"/>
  <c r="N12" i="4"/>
  <c r="G13" i="2" s="1"/>
  <c r="N13" i="4"/>
  <c r="G14" i="2" s="1"/>
  <c r="N14" i="4"/>
  <c r="G15" i="2" s="1"/>
  <c r="N15" i="4"/>
  <c r="G16" i="2" s="1"/>
  <c r="N16" i="4"/>
  <c r="I22" i="1" s="1"/>
  <c r="N17" i="4"/>
  <c r="I23" i="1" s="1"/>
  <c r="N18" i="4"/>
  <c r="I26" i="1" s="1"/>
  <c r="N19" i="4"/>
  <c r="I28" i="1" s="1"/>
  <c r="N21" i="4"/>
  <c r="G53" i="2" s="1"/>
  <c r="N22" i="4"/>
  <c r="G54" i="2" s="1"/>
  <c r="N24" i="4"/>
  <c r="I34" i="1" s="1"/>
  <c r="N25" i="4"/>
  <c r="G57" i="2" s="1"/>
  <c r="N27" i="4"/>
  <c r="I41" i="1" s="1"/>
  <c r="N28" i="4"/>
  <c r="I42" i="1" s="1"/>
  <c r="N29" i="4"/>
  <c r="I47" i="1" s="1"/>
  <c r="N30" i="4"/>
  <c r="I48" i="1" s="1"/>
  <c r="N6" i="4"/>
  <c r="I6" i="1" s="1"/>
  <c r="K32" i="4"/>
  <c r="K23" i="4"/>
  <c r="K20" i="4" s="1"/>
  <c r="K10" i="4"/>
  <c r="H32" i="4"/>
  <c r="H23" i="4"/>
  <c r="H20" i="4" s="1"/>
  <c r="H10" i="4"/>
  <c r="N10" i="4" s="1"/>
  <c r="E32" i="4"/>
  <c r="C40" i="13"/>
  <c r="C13" i="2" l="1"/>
  <c r="D15" i="1"/>
  <c r="H26" i="4"/>
  <c r="H33" i="4" s="1"/>
  <c r="N23" i="4"/>
  <c r="G55" i="2" s="1"/>
  <c r="N32" i="4"/>
  <c r="I50" i="1" s="1"/>
  <c r="K26" i="4"/>
  <c r="K33" i="4" s="1"/>
  <c r="C33" i="2"/>
  <c r="C62" i="2" s="1"/>
  <c r="C59" i="2" s="1"/>
  <c r="I35" i="1"/>
  <c r="I18" i="1"/>
  <c r="I32" i="1"/>
  <c r="D49" i="1"/>
  <c r="G37" i="2"/>
  <c r="C37" i="2"/>
  <c r="G35" i="2"/>
  <c r="C35" i="2"/>
  <c r="D27" i="1"/>
  <c r="C25" i="2"/>
  <c r="D18" i="1"/>
  <c r="C16" i="2"/>
  <c r="D48" i="1"/>
  <c r="G36" i="2"/>
  <c r="C36" i="2"/>
  <c r="D38" i="1"/>
  <c r="C53" i="2"/>
  <c r="D30" i="1"/>
  <c r="C49" i="2"/>
  <c r="D26" i="1"/>
  <c r="C24" i="2"/>
  <c r="D22" i="1"/>
  <c r="C20" i="2"/>
  <c r="C15" i="2"/>
  <c r="D37" i="1"/>
  <c r="C52" i="2"/>
  <c r="D31" i="1"/>
  <c r="C50" i="2"/>
  <c r="D25" i="1"/>
  <c r="C23" i="2"/>
  <c r="D21" i="1"/>
  <c r="C19" i="2"/>
  <c r="L39" i="3"/>
  <c r="D36" i="1" s="1"/>
  <c r="D33" i="1"/>
  <c r="C30" i="2"/>
  <c r="D28" i="1"/>
  <c r="C26" i="2"/>
  <c r="L10" i="3"/>
  <c r="I19" i="1"/>
  <c r="L49" i="3"/>
  <c r="D24" i="1"/>
  <c r="D44" i="1"/>
  <c r="L36" i="3"/>
  <c r="L33" i="3"/>
  <c r="L24" i="3"/>
  <c r="D19" i="1"/>
  <c r="C12" i="3"/>
  <c r="L12" i="3" s="1"/>
  <c r="L13" i="3"/>
  <c r="D14" i="1" s="1"/>
  <c r="L8" i="3"/>
  <c r="D8" i="1" s="1"/>
  <c r="D6" i="1"/>
  <c r="N20" i="4"/>
  <c r="I30" i="1" s="1"/>
  <c r="G59" i="2"/>
  <c r="G56" i="2"/>
  <c r="I31" i="1"/>
  <c r="G50" i="2"/>
  <c r="G18" i="2"/>
  <c r="G17" i="2"/>
  <c r="I21" i="1"/>
  <c r="I20" i="1"/>
  <c r="I16" i="1"/>
  <c r="G11" i="2"/>
  <c r="E26" i="4"/>
  <c r="E33" i="4" s="1"/>
  <c r="G12" i="2"/>
  <c r="G10" i="2"/>
  <c r="I9" i="1"/>
  <c r="G5" i="2"/>
  <c r="G48" i="2"/>
  <c r="G9" i="2"/>
  <c r="D47" i="1"/>
  <c r="D23" i="1"/>
  <c r="D10" i="1"/>
  <c r="C46" i="2"/>
  <c r="D11" i="1"/>
  <c r="C8" i="2"/>
  <c r="I42" i="3"/>
  <c r="F42" i="3"/>
  <c r="F50" i="3" s="1"/>
  <c r="C38" i="2" l="1"/>
  <c r="I33" i="1"/>
  <c r="C18" i="2"/>
  <c r="C11" i="2"/>
  <c r="C10" i="2" s="1"/>
  <c r="D29" i="1"/>
  <c r="C48" i="2"/>
  <c r="C51" i="2"/>
  <c r="D50" i="1"/>
  <c r="G52" i="2"/>
  <c r="G58" i="2" s="1"/>
  <c r="D32" i="1"/>
  <c r="C29" i="2"/>
  <c r="G33" i="2"/>
  <c r="D20" i="1"/>
  <c r="D13" i="1"/>
  <c r="C42" i="3"/>
  <c r="C50" i="3" s="1"/>
  <c r="C7" i="2"/>
  <c r="N26" i="4"/>
  <c r="I39" i="1" s="1"/>
  <c r="N33" i="4"/>
  <c r="I52" i="1" s="1"/>
  <c r="G32" i="2"/>
  <c r="C66" i="2"/>
  <c r="G61" i="2"/>
  <c r="G66" i="2" s="1"/>
  <c r="I50" i="3"/>
  <c r="C9" i="48"/>
  <c r="C8" i="48"/>
  <c r="C7" i="48"/>
  <c r="C5" i="48"/>
  <c r="C4" i="48"/>
  <c r="H12" i="16"/>
  <c r="H8" i="16"/>
  <c r="H14" i="16" s="1"/>
  <c r="C14" i="16"/>
  <c r="C22" i="20"/>
  <c r="C19" i="20"/>
  <c r="C12" i="20"/>
  <c r="C9" i="20"/>
  <c r="C6" i="20"/>
  <c r="C17" i="20" l="1"/>
  <c r="C32" i="2"/>
  <c r="C39" i="2" s="1"/>
  <c r="G67" i="2"/>
  <c r="C58" i="2"/>
  <c r="C67" i="2" s="1"/>
  <c r="L42" i="3"/>
  <c r="D39" i="1" s="1"/>
  <c r="D41" i="1" s="1"/>
  <c r="L50" i="3"/>
  <c r="G38" i="2" s="1"/>
  <c r="G39" i="2" s="1"/>
  <c r="C4" i="20"/>
  <c r="C6" i="48"/>
  <c r="C29" i="20" l="1"/>
  <c r="G69" i="2"/>
  <c r="C69" i="2"/>
  <c r="D52" i="1"/>
  <c r="C12" i="48"/>
  <c r="C13" i="48" l="1"/>
  <c r="C18" i="48" l="1"/>
  <c r="M30" i="4" l="1"/>
  <c r="M31" i="4"/>
  <c r="D32" i="4"/>
  <c r="K9" i="3"/>
  <c r="K11" i="3"/>
  <c r="K14" i="3"/>
  <c r="K15" i="3"/>
  <c r="K17" i="3"/>
  <c r="K18" i="3"/>
  <c r="K19" i="3"/>
  <c r="K20" i="3"/>
  <c r="K21" i="3"/>
  <c r="K22" i="3"/>
  <c r="K23" i="3"/>
  <c r="K25" i="3"/>
  <c r="K26" i="3"/>
  <c r="K27" i="3"/>
  <c r="K28" i="3"/>
  <c r="K29" i="3"/>
  <c r="K30" i="3"/>
  <c r="K31" i="3"/>
  <c r="K32" i="3"/>
  <c r="K34" i="3"/>
  <c r="K35" i="3"/>
  <c r="K37" i="3"/>
  <c r="K38" i="3"/>
  <c r="K40" i="3"/>
  <c r="K41" i="3"/>
  <c r="K44" i="3"/>
  <c r="K45" i="3"/>
  <c r="K46" i="3"/>
  <c r="K47" i="3"/>
  <c r="K48" i="3"/>
  <c r="K49" i="3" l="1"/>
  <c r="F10" i="45"/>
  <c r="F13" i="45" s="1"/>
  <c r="F16" i="45" s="1"/>
  <c r="B14" i="16" l="1"/>
  <c r="G12" i="16"/>
  <c r="F12" i="16"/>
  <c r="G8" i="16"/>
  <c r="F8" i="16"/>
  <c r="F14" i="16" l="1"/>
  <c r="G14" i="16"/>
  <c r="B14" i="48" l="1"/>
  <c r="B17" i="48" s="1"/>
  <c r="K6" i="48"/>
  <c r="K12" i="48" s="1"/>
  <c r="J6" i="48"/>
  <c r="J12" i="48" s="1"/>
  <c r="J13" i="48" s="1"/>
  <c r="I6" i="48"/>
  <c r="I12" i="48" s="1"/>
  <c r="I13" i="48" s="1"/>
  <c r="H6" i="48"/>
  <c r="H12" i="48" s="1"/>
  <c r="H13" i="48" s="1"/>
  <c r="G6" i="48"/>
  <c r="G12" i="48" s="1"/>
  <c r="G13" i="48" s="1"/>
  <c r="F6" i="48"/>
  <c r="F12" i="48" s="1"/>
  <c r="F13" i="48" s="1"/>
  <c r="E6" i="48"/>
  <c r="B6" i="48"/>
  <c r="B12" i="48" s="1"/>
  <c r="B13" i="48" s="1"/>
  <c r="B18" i="48" s="1"/>
  <c r="E12" i="48" l="1"/>
  <c r="K13" i="48"/>
  <c r="E13" i="48" l="1"/>
  <c r="B59" i="2"/>
  <c r="D23" i="4" l="1"/>
  <c r="D20" i="4" s="1"/>
  <c r="E10" i="3"/>
  <c r="H10" i="3"/>
  <c r="E33" i="3"/>
  <c r="H33" i="3"/>
  <c r="B33" i="3"/>
  <c r="E24" i="3"/>
  <c r="H24" i="3"/>
  <c r="B24" i="3"/>
  <c r="B16" i="3"/>
  <c r="K16" i="3" s="1"/>
  <c r="B8" i="3"/>
  <c r="K24" i="3" l="1"/>
  <c r="K33" i="3"/>
  <c r="C44" i="1"/>
  <c r="B35" i="2"/>
  <c r="B22" i="20" l="1"/>
  <c r="B12" i="20"/>
  <c r="M8" i="4"/>
  <c r="D14" i="4" l="1"/>
  <c r="L30" i="45"/>
  <c r="L29" i="45"/>
  <c r="L27" i="45"/>
  <c r="L26" i="45"/>
  <c r="L24" i="45"/>
  <c r="L23" i="45"/>
  <c r="L21" i="45"/>
  <c r="L20" i="45"/>
  <c r="L18" i="45"/>
  <c r="L17" i="45"/>
  <c r="L15" i="45"/>
  <c r="L14" i="45"/>
  <c r="L12" i="45"/>
  <c r="L11" i="45"/>
  <c r="F19" i="45"/>
  <c r="C10" i="45"/>
  <c r="C13" i="45" s="1"/>
  <c r="L9" i="45"/>
  <c r="L8" i="45"/>
  <c r="L7" i="45"/>
  <c r="M25" i="4"/>
  <c r="H35" i="1" s="1"/>
  <c r="F57" i="2" l="1"/>
  <c r="L10" i="45"/>
  <c r="L19" i="45"/>
  <c r="F22" i="45"/>
  <c r="L13" i="45"/>
  <c r="C16" i="45"/>
  <c r="L16" i="45" s="1"/>
  <c r="B33" i="2"/>
  <c r="K6" i="3"/>
  <c r="C11" i="1"/>
  <c r="C37" i="1"/>
  <c r="B13" i="3"/>
  <c r="B12" i="3" l="1"/>
  <c r="K13" i="3"/>
  <c r="C30" i="1"/>
  <c r="B49" i="2"/>
  <c r="B53" i="2"/>
  <c r="C38" i="1"/>
  <c r="B50" i="2"/>
  <c r="C31" i="1"/>
  <c r="L22" i="45"/>
  <c r="F25" i="45"/>
  <c r="B48" i="2" l="1"/>
  <c r="L25" i="45"/>
  <c r="F28" i="45"/>
  <c r="L28" i="45" s="1"/>
  <c r="B19" i="20" l="1"/>
  <c r="B17" i="20" s="1"/>
  <c r="B9" i="20"/>
  <c r="B6" i="20"/>
  <c r="B4" i="20" l="1"/>
  <c r="B29" i="20" s="1"/>
  <c r="D10" i="4" l="1"/>
  <c r="D26" i="4" s="1"/>
  <c r="C10" i="1"/>
  <c r="C36" i="1"/>
  <c r="C29" i="1"/>
  <c r="M11" i="4"/>
  <c r="F12" i="2" l="1"/>
  <c r="H17" i="1"/>
  <c r="B39" i="3"/>
  <c r="B10" i="3"/>
  <c r="K10" i="3" s="1"/>
  <c r="M28" i="4" l="1"/>
  <c r="B47" i="2"/>
  <c r="B46" i="2"/>
  <c r="H42" i="1" l="1"/>
  <c r="F35" i="2"/>
  <c r="C9" i="1" l="1"/>
  <c r="B38" i="2"/>
  <c r="C27" i="1" l="1"/>
  <c r="B8" i="13"/>
  <c r="B13" i="13"/>
  <c r="B28" i="13"/>
  <c r="B40" i="13"/>
  <c r="B27" i="2"/>
  <c r="B54" i="2"/>
  <c r="B5" i="2"/>
  <c r="E8" i="3"/>
  <c r="H8" i="3"/>
  <c r="B8" i="2"/>
  <c r="E12" i="3"/>
  <c r="H12" i="3"/>
  <c r="B15" i="2"/>
  <c r="C16" i="1"/>
  <c r="C18" i="1"/>
  <c r="C21" i="1"/>
  <c r="C22" i="1"/>
  <c r="C23" i="1"/>
  <c r="B22" i="2"/>
  <c r="B23" i="2"/>
  <c r="C25" i="1"/>
  <c r="B25" i="2"/>
  <c r="B36" i="3"/>
  <c r="K36" i="3" s="1"/>
  <c r="C33" i="1"/>
  <c r="C32" i="1" s="1"/>
  <c r="H39" i="3"/>
  <c r="B52" i="2"/>
  <c r="B63" i="2"/>
  <c r="B66" i="2" s="1"/>
  <c r="C45" i="1"/>
  <c r="C47" i="1"/>
  <c r="M6" i="4"/>
  <c r="F5" i="2" s="1"/>
  <c r="H13" i="1"/>
  <c r="M9" i="4"/>
  <c r="H15" i="1" s="1"/>
  <c r="G10" i="4"/>
  <c r="J10" i="4"/>
  <c r="M12" i="4"/>
  <c r="F13" i="2" s="1"/>
  <c r="M13" i="4"/>
  <c r="F14" i="2" s="1"/>
  <c r="M15" i="4"/>
  <c r="F16" i="2" s="1"/>
  <c r="M16" i="4"/>
  <c r="H22" i="1" s="1"/>
  <c r="M18" i="4"/>
  <c r="H26" i="1" s="1"/>
  <c r="M19" i="4"/>
  <c r="F50" i="2" s="1"/>
  <c r="M21" i="4"/>
  <c r="H31" i="1" s="1"/>
  <c r="M22" i="4"/>
  <c r="H32" i="1" s="1"/>
  <c r="G23" i="4"/>
  <c r="G20" i="4" s="1"/>
  <c r="J23" i="4"/>
  <c r="J20" i="4" s="1"/>
  <c r="M24" i="4"/>
  <c r="H34" i="1" s="1"/>
  <c r="M27" i="4"/>
  <c r="F59" i="2" s="1"/>
  <c r="F66" i="2" s="1"/>
  <c r="M29" i="4"/>
  <c r="F33" i="2" s="1"/>
  <c r="F38" i="2" s="1"/>
  <c r="G32" i="4"/>
  <c r="J32" i="4"/>
  <c r="B20" i="2"/>
  <c r="B30" i="2"/>
  <c r="C50" i="1" l="1"/>
  <c r="K8" i="3"/>
  <c r="B7" i="2" s="1"/>
  <c r="K12" i="3"/>
  <c r="K39" i="3"/>
  <c r="B29" i="2"/>
  <c r="B42" i="3"/>
  <c r="M10" i="4"/>
  <c r="H42" i="3"/>
  <c r="H50" i="3" s="1"/>
  <c r="E42" i="3"/>
  <c r="E50" i="3" s="1"/>
  <c r="H47" i="1"/>
  <c r="M32" i="4"/>
  <c r="H50" i="1" s="1"/>
  <c r="B11" i="2"/>
  <c r="M17" i="4"/>
  <c r="H23" i="1" s="1"/>
  <c r="H19" i="1"/>
  <c r="J26" i="4"/>
  <c r="J33" i="4" s="1"/>
  <c r="B13" i="2"/>
  <c r="M23" i="4"/>
  <c r="F55" i="2" s="1"/>
  <c r="F10" i="2"/>
  <c r="H28" i="1"/>
  <c r="F17" i="2"/>
  <c r="F53" i="2"/>
  <c r="H18" i="1"/>
  <c r="F54" i="2"/>
  <c r="F9" i="2"/>
  <c r="B14" i="13"/>
  <c r="B16" i="2"/>
  <c r="F48" i="2"/>
  <c r="G26" i="4"/>
  <c r="G33" i="4" s="1"/>
  <c r="M7" i="4"/>
  <c r="H6" i="1"/>
  <c r="M14" i="4"/>
  <c r="H20" i="1" s="1"/>
  <c r="H41" i="1"/>
  <c r="B24" i="2"/>
  <c r="C26" i="1"/>
  <c r="C24" i="1"/>
  <c r="C8" i="1"/>
  <c r="B19" i="2"/>
  <c r="H21" i="1"/>
  <c r="B21" i="2"/>
  <c r="F56" i="2"/>
  <c r="C6" i="1"/>
  <c r="K42" i="3" l="1"/>
  <c r="B20" i="13"/>
  <c r="B21" i="13" s="1"/>
  <c r="B32" i="13" s="1"/>
  <c r="B10" i="2"/>
  <c r="B18" i="2"/>
  <c r="H16" i="1"/>
  <c r="C14" i="1"/>
  <c r="C20" i="1"/>
  <c r="M20" i="4"/>
  <c r="H30" i="1" s="1"/>
  <c r="F18" i="2"/>
  <c r="F15" i="2" s="1"/>
  <c r="F11" i="2" s="1"/>
  <c r="B51" i="2"/>
  <c r="C15" i="1"/>
  <c r="H33" i="1"/>
  <c r="F52" i="2"/>
  <c r="F58" i="2" s="1"/>
  <c r="F67" i="2" s="1"/>
  <c r="H9" i="1"/>
  <c r="F7" i="2"/>
  <c r="F32" i="2" l="1"/>
  <c r="F39" i="2" s="1"/>
  <c r="F69" i="2" s="1"/>
  <c r="C13" i="1"/>
  <c r="C39" i="1" s="1"/>
  <c r="B50" i="3"/>
  <c r="B58" i="2"/>
  <c r="H39" i="1"/>
  <c r="B32" i="2"/>
  <c r="B39" i="2" s="1"/>
  <c r="K50" i="3" l="1"/>
  <c r="C52" i="1" s="1"/>
  <c r="B67" i="2"/>
  <c r="M26" i="4"/>
  <c r="M33" i="4" s="1"/>
  <c r="H52" i="1" s="1"/>
  <c r="D33" i="4"/>
  <c r="C41" i="1"/>
  <c r="B69" i="2" l="1"/>
  <c r="D32" i="2"/>
  <c r="D39" i="2" s="1"/>
  <c r="D69" i="2" l="1"/>
</calcChain>
</file>

<file path=xl/comments1.xml><?xml version="1.0" encoding="utf-8"?>
<comments xmlns="http://schemas.openxmlformats.org/spreadsheetml/2006/main">
  <authors>
    <author>Czunyiné Pete Krisztina</author>
  </authors>
  <commentLis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Czunyiné Pete Krisztina:</t>
        </r>
        <r>
          <rPr>
            <sz val="9"/>
            <color indexed="81"/>
            <rFont val="Tahoma"/>
            <family val="2"/>
            <charset val="238"/>
          </rPr>
          <t xml:space="preserve">
előirányzat (IV.hóban) is 2499 e Ft al kevesebb van a táblázatban.Helyesen: 3706+2499 E Ft= 6205 E ft nak kellene lennie.D szentmiklósnál pedig kevesebbet kell írni.
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  <charset val="238"/>
          </rPr>
          <t>Czunyiné Pete Krisztina:</t>
        </r>
        <r>
          <rPr>
            <sz val="9"/>
            <color indexed="81"/>
            <rFont val="Tahoma"/>
            <family val="2"/>
            <charset val="238"/>
          </rPr>
          <t xml:space="preserve">
előirányzat IV hóban jó, VII hóban 7831-2499=5332 E Ft kellene lennie
</t>
        </r>
      </text>
    </comment>
  </commentList>
</comments>
</file>

<file path=xl/sharedStrings.xml><?xml version="1.0" encoding="utf-8"?>
<sst xmlns="http://schemas.openxmlformats.org/spreadsheetml/2006/main" count="2013" uniqueCount="978">
  <si>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</si>
  <si>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</si>
  <si>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</si>
  <si>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</si>
  <si>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</si>
  <si>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</si>
  <si>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</si>
  <si>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</si>
  <si>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</si>
  <si>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</si>
  <si>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</si>
  <si>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</si>
  <si>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</si>
  <si>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</si>
  <si>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</si>
  <si>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</si>
  <si>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</si>
  <si>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</si>
  <si>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</si>
  <si>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</si>
  <si>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</si>
  <si>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</si>
  <si>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</si>
  <si>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</si>
  <si>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</si>
  <si>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</si>
  <si>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</si>
  <si>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</si>
  <si>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</si>
  <si>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</si>
  <si>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</si>
  <si>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</si>
  <si>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</si>
  <si>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</si>
  <si>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</si>
  <si>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</si>
  <si>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</si>
  <si>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</si>
  <si>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</si>
  <si>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</si>
  <si>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</si>
  <si>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</si>
  <si>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</si>
  <si>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</si>
  <si>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</si>
  <si>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</si>
  <si>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</si>
  <si>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</si>
  <si>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</si>
  <si>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</si>
  <si>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</si>
  <si>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</si>
  <si>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</si>
  <si>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</si>
  <si>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</si>
  <si>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</si>
  <si>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</si>
  <si>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</si>
  <si>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</si>
  <si>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</si>
  <si>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</si>
  <si>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</si>
  <si>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</si>
  <si>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</si>
  <si>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</si>
  <si>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Hiány finanszírozása belső forrásból:</t>
  </si>
  <si>
    <t>Hiány finanszírozása külső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</si>
  <si>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</si>
  <si>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</si>
  <si>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</si>
  <si>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</si>
  <si>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</si>
  <si>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</si>
  <si>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</si>
  <si>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</si>
  <si>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</si>
  <si>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</si>
  <si>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</si>
  <si>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</si>
  <si>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</si>
  <si>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</si>
  <si>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</si>
  <si>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</si>
  <si>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</si>
  <si>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</si>
  <si>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</si>
  <si>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</si>
  <si>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</si>
  <si>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</si>
  <si>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</si>
  <si>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</si>
  <si>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</si>
  <si>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</si>
  <si>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</si>
  <si>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</si>
  <si>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</si>
  <si>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</si>
  <si>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Kuny Domokos Múzeum</t>
  </si>
  <si>
    <t>Mindösszesen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</si>
  <si>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</si>
  <si>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</si>
  <si>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</si>
  <si>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</si>
  <si>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</si>
  <si>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</si>
  <si>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</si>
  <si>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</si>
  <si>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</si>
  <si>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</si>
  <si>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</si>
  <si>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</si>
  <si>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</si>
  <si>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</si>
  <si>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</si>
  <si>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</si>
  <si>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</si>
  <si>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</si>
  <si>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</si>
  <si>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</si>
  <si>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</si>
  <si>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</si>
  <si>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</si>
  <si>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</si>
  <si>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</si>
  <si>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</si>
  <si>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</si>
  <si>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</si>
  <si>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</si>
  <si>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</si>
  <si>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</si>
  <si>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Felhalmozási pénzmaradvány</t>
  </si>
  <si>
    <t>MŰKÖDÉSI TARTALÉK</t>
  </si>
  <si>
    <t>Általános tartalék</t>
  </si>
  <si>
    <t>Működési tartalék</t>
  </si>
  <si>
    <t>Működési céltartalék</t>
  </si>
  <si>
    <t>Tatai Városkapu Közhasznú Zrt. vezérigazgatójának prémiumfeladatára</t>
  </si>
  <si>
    <t>FELHALMOZÁSI TARTALÉK</t>
  </si>
  <si>
    <t>Felhalmozási tartalék</t>
  </si>
  <si>
    <t>Felhalmozási céltartalék</t>
  </si>
  <si>
    <t>MINDÖSSZESEN:</t>
  </si>
  <si>
    <t>Bevételek</t>
  </si>
  <si>
    <t>Felhalmozási célú támogatások államháztartáson belülről</t>
  </si>
  <si>
    <t>Állami támogatás megelőlegezési hitel törlesztés</t>
  </si>
  <si>
    <t>Felhalmozási célú támogatások (államháztartáson belülről)</t>
  </si>
  <si>
    <t>Egyéb tárgyi eszköz értékesítés</t>
  </si>
  <si>
    <t>Elvonások és befizetések</t>
  </si>
  <si>
    <t xml:space="preserve">Vissza nem térítendő támogatások </t>
  </si>
  <si>
    <t>Vissza nem térítendő támogatás</t>
  </si>
  <si>
    <t xml:space="preserve"> Tata Város Önkormányzatának 2017. évi közgazdasági mérlege (E Ft-ban)</t>
  </si>
  <si>
    <t>2017. évi működési célú bevételek és kiadások mérlege (E Ft-ban)</t>
  </si>
  <si>
    <t>2017. évi felhalmozási célú bevételek és kiadások mérlege (E Ft-ban)</t>
  </si>
  <si>
    <t xml:space="preserve">Tata Város Önkormányzata és az általa irányított költségvetési szervek 2017. évi kiadásai </t>
  </si>
  <si>
    <t>Tata Város Önkormányzatának 2017. évi tartalékai (E Ft-ban)</t>
  </si>
  <si>
    <t xml:space="preserve"> - Működési tartalék</t>
  </si>
  <si>
    <t>Adósságot keletkeztető ügyletek</t>
  </si>
  <si>
    <t>2017 – 2024-ig a hosszú lejáratú felhalmozási hitel visszafizetéseket figyelembe véve (E Ft-ban)</t>
  </si>
  <si>
    <t>Tartozás 2017.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</si>
  <si>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</si>
  <si>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</si>
  <si>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</si>
  <si>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</si>
  <si>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</si>
  <si>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</si>
  <si>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</si>
  <si>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</si>
  <si>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</si>
  <si>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Közösségi Felsőoktatási Képzési Központ létrehozása</t>
  </si>
  <si>
    <t>Önkormányzati főzőkonyha kialakítása a Kőkúti Általános Iskolában</t>
  </si>
  <si>
    <t>Ételszállító gépjármű beszerzés</t>
  </si>
  <si>
    <t>Tatai bölcsődei konyha és két gondozási egység teljes körű belső felújítása, udvar részleges felújítása, a megszűnő főzőkonyhák tálaló konyhává alakítása</t>
  </si>
  <si>
    <t>Móricz Zsigmond Városi Könyvtár elhelyezése a Helyőrségi Klubban</t>
  </si>
  <si>
    <t>Ingatlanértékesítés</t>
  </si>
  <si>
    <t xml:space="preserve"> - Felhalmozási céltartalék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</si>
  <si>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</si>
  <si>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</si>
  <si>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</si>
  <si>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</si>
  <si>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Tata Város Önkormányzata és az általa irányított költségvetési szervek 2017. évi bevételei forrásonként (E Ft-ban)</t>
  </si>
  <si>
    <t>(kiemelt előirányzatok szerinti részletezésben ) E Ft-ban</t>
  </si>
  <si>
    <t>Fekete- Arany J. utca csapadékvíz elvezetés</t>
  </si>
  <si>
    <t>Állami támogatás megelőlegezési hitelfelvétel</t>
  </si>
  <si>
    <t>Iparűzési adóból</t>
  </si>
  <si>
    <t>Közhatalmi bevételekből átcsoportosított</t>
  </si>
  <si>
    <t>Előző évi költségvetés maradványának igénybevétele</t>
  </si>
  <si>
    <t>Előző év költségvetési maradványának igénybevétele</t>
  </si>
  <si>
    <t>Piarista rendház felújítása</t>
  </si>
  <si>
    <t>Hajdú utca felújítása</t>
  </si>
  <si>
    <t>Rákóczi - Bercsényi - Hajdú utca csapadékcsatorna felújítása, nyomvonal kiváltás</t>
  </si>
  <si>
    <t>Dobroszláv úti fűtőműből kazán áttelepítés</t>
  </si>
  <si>
    <t>Tata Város Önkormányzatának pénzmaradvány igénybevétele felhalmozási cél szerinti tagolásban (E Ft-ban)</t>
  </si>
  <si>
    <t>2017.</t>
  </si>
  <si>
    <t>2018.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</si>
  <si>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</si>
  <si>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</si>
  <si>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</si>
  <si>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</si>
  <si>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</si>
  <si>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</si>
  <si>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</si>
  <si>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</si>
  <si>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</si>
  <si>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</si>
  <si>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</si>
  <si>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</si>
  <si>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</si>
  <si>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</si>
  <si>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</si>
  <si>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</si>
  <si>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</si>
  <si>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</si>
  <si>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</si>
  <si>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</si>
  <si>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</si>
  <si>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Az Önkormányzat adósságot keletkeztető ügyleteinek és azok fedezetére felhasználható saját bevételeink alakulása (E Ft-ban)</t>
  </si>
  <si>
    <t>Módosított átlag létszám</t>
  </si>
  <si>
    <t>Mód.(IV.26.)</t>
  </si>
  <si>
    <t>Egyéb közhatalmi bevétel</t>
  </si>
  <si>
    <t>Egyéb működési bevétel</t>
  </si>
  <si>
    <t>Likvid hitel felvétel</t>
  </si>
  <si>
    <t>Értékpapír vásárlás</t>
  </si>
  <si>
    <t>Értékpapír eladás</t>
  </si>
  <si>
    <t>Adóbírság és közigazgatási bírság</t>
  </si>
  <si>
    <t>Likvid hitel törlesztés</t>
  </si>
  <si>
    <t>Értékpapír értékesítés</t>
  </si>
  <si>
    <t>Livkidhitel felvétel</t>
  </si>
  <si>
    <t>Mód.(IX.27.)</t>
  </si>
  <si>
    <t>Mód.(IX.27)</t>
  </si>
  <si>
    <t>Mód. (IX.27)</t>
  </si>
  <si>
    <t>Mód. (IX.27.)</t>
  </si>
  <si>
    <t>2017. Mód.(IX.27.)</t>
  </si>
  <si>
    <t>Hosszú lejáratú hitelfelvétel</t>
  </si>
  <si>
    <t>Hosszúlejáratú hitelfelvétel</t>
  </si>
  <si>
    <t>Hosszúlejáratú hitelfelvétel:</t>
  </si>
  <si>
    <t>572.581 E Ft</t>
  </si>
  <si>
    <t>Mód.(XII)</t>
  </si>
  <si>
    <t>Mód.(XII.20.)</t>
  </si>
  <si>
    <t>Elvonások és befizetések (Irányító szerv javára teljesített befizetés)</t>
  </si>
  <si>
    <t>Mód(XII.20.)</t>
  </si>
  <si>
    <t>2018. Mód.(XII.20.)</t>
  </si>
  <si>
    <t xml:space="preserve"> - Felhalmozási tartalék (a 25.000 E Ft felhasználása a bevétel beérkezéséhez kötött )</t>
  </si>
  <si>
    <t>Felhalmozási tartalék (a 25.000 E Ft felhasználása a bevétel beérkezéséhez kötött )</t>
  </si>
  <si>
    <t>Államigazgatás összesen:</t>
  </si>
  <si>
    <t>Nem kötelező összesen:</t>
  </si>
  <si>
    <t>Kötelező összesen:</t>
  </si>
  <si>
    <t>Önkormányzatok funkcióra nem tervezhető bevételei /helyi adók/</t>
  </si>
  <si>
    <t>900 020</t>
  </si>
  <si>
    <t>Kötelező</t>
  </si>
  <si>
    <t>Fejezeti és befektetési célú finanszírozási műveletek - Általános tartalék</t>
  </si>
  <si>
    <t>900 070</t>
  </si>
  <si>
    <t>Államigazgatás</t>
  </si>
  <si>
    <t>Forgatási és befektetési célú finanszírozási műveletek</t>
  </si>
  <si>
    <t>900 060</t>
  </si>
  <si>
    <t>Egyéb szociális pénzbeli és természetbeni ellátások, támogatások</t>
  </si>
  <si>
    <t>107 060</t>
  </si>
  <si>
    <t>Lakásfenntartással, lakhatással összefüggő ellátások</t>
  </si>
  <si>
    <t>106 020</t>
  </si>
  <si>
    <t>Lakóingatlan szociális célú bérbeadása, üzemeltetése</t>
  </si>
  <si>
    <t>106 010</t>
  </si>
  <si>
    <t>Gyermekvédelmi pénzbeli és természetbeni ellátások</t>
  </si>
  <si>
    <t>104051</t>
  </si>
  <si>
    <t>Betegséggel kapcsolatos pénzbeli ellátások, támogatások</t>
  </si>
  <si>
    <t>101 150</t>
  </si>
  <si>
    <t>Nem kötelező</t>
  </si>
  <si>
    <t>Pedagógiai szakmai szolgáltatások szakmai feladatai</t>
  </si>
  <si>
    <t>098 031</t>
  </si>
  <si>
    <t>Nemzetközi kulturális együttműködés (Testvérvárosi feladatok)</t>
  </si>
  <si>
    <t>086 030</t>
  </si>
  <si>
    <t>A fiatalok társadalmi integrációját segítő struktúra, szakmai szolgáltatások fejlesztése, működtetése</t>
  </si>
  <si>
    <t>084 070</t>
  </si>
  <si>
    <t>Civil szervezetek programtámogatása</t>
  </si>
  <si>
    <t>084 032</t>
  </si>
  <si>
    <t>Egyéb kiadói tevékenység</t>
  </si>
  <si>
    <t>083 030</t>
  </si>
  <si>
    <t>Könyvkiadás</t>
  </si>
  <si>
    <t>083 020</t>
  </si>
  <si>
    <t>Közművelődési tevékenységek és támogatásuk</t>
  </si>
  <si>
    <t>082 092</t>
  </si>
  <si>
    <t>Szabadidős park, fürdő és strandszolgáltatás</t>
  </si>
  <si>
    <t>081 061</t>
  </si>
  <si>
    <t>Máshová nem sorolható egyéb sporttámogatás</t>
  </si>
  <si>
    <t>081 045</t>
  </si>
  <si>
    <t>Sportlétesítmények, edzőtáborok működtetése és fejlesztése</t>
  </si>
  <si>
    <t>081 030</t>
  </si>
  <si>
    <t>Város- községgazdálkodási egyéb szolgáltatások (VKG)</t>
  </si>
  <si>
    <t>066 020</t>
  </si>
  <si>
    <t>Város- községgazdálkodási egyéb szolgáltatások (Építés- és területfejlesztés)</t>
  </si>
  <si>
    <t>Város- községgazdálkodási egyéb szolgáltatások (Közbeszerzés)</t>
  </si>
  <si>
    <t>Zöldterület kezelés (játszótér)</t>
  </si>
  <si>
    <t>066 010</t>
  </si>
  <si>
    <t>Zöldterület kezelés (parkfenntartás)</t>
  </si>
  <si>
    <t>Közvilágítás</t>
  </si>
  <si>
    <t>064 010</t>
  </si>
  <si>
    <t>Víztermelés-kezelés ellátás</t>
  </si>
  <si>
    <t>063 080</t>
  </si>
  <si>
    <t>Önkormányzat által nyújtott lakástámogatás</t>
  </si>
  <si>
    <t>061 030</t>
  </si>
  <si>
    <t>Környezetszennyezés csökkentésének igazgatása</t>
  </si>
  <si>
    <t>053 010</t>
  </si>
  <si>
    <t>Szennyvíz gyűjtése, tisztítása, elhelyezése</t>
  </si>
  <si>
    <t>052 080</t>
  </si>
  <si>
    <t>Nem veszélyes (települési) hulladék összetevőinek válogatása, elkülönített begyűjtése, szállítása, átrakása</t>
  </si>
  <si>
    <t>051 030</t>
  </si>
  <si>
    <t>Kis- és középvállalkozások működési és fejlesztési támogatásai</t>
  </si>
  <si>
    <t>047 460</t>
  </si>
  <si>
    <t>Közutak, hidak, alagutak üzemeltetése, fenntartása</t>
  </si>
  <si>
    <t>045 160</t>
  </si>
  <si>
    <t>Út, autópálya építése</t>
  </si>
  <si>
    <t>045 120</t>
  </si>
  <si>
    <t>Erdőgazdálkodás</t>
  </si>
  <si>
    <t>042 220</t>
  </si>
  <si>
    <t>Bérpótló juttatásra jogosultak hosszabb időtartamú közfoglalkoztatása</t>
  </si>
  <si>
    <t>041 233</t>
  </si>
  <si>
    <t>Tűz- és katasztrófavédelmi tevékenységek</t>
  </si>
  <si>
    <t>032 020</t>
  </si>
  <si>
    <t>Közterület rendjének fenntartása</t>
  </si>
  <si>
    <t>031 030</t>
  </si>
  <si>
    <t>Támogatási célú finanszírozási műveletek</t>
  </si>
  <si>
    <t>018 030</t>
  </si>
  <si>
    <t>Központi költségvetési befizetések</t>
  </si>
  <si>
    <t>018 020</t>
  </si>
  <si>
    <t>Önkormányzatok elszámolásai a központi költségvetéssel</t>
  </si>
  <si>
    <t>018 010</t>
  </si>
  <si>
    <t>Kiemelt állami és önkormányzati rendezvények</t>
  </si>
  <si>
    <t>016 080</t>
  </si>
  <si>
    <t>Kiemelt állami és önkormányzati rendezvények (Városi ünnepek)</t>
  </si>
  <si>
    <t>Kiemelt állami és önkormányzati rendezvények (Minimarathon)</t>
  </si>
  <si>
    <t>Kiemelt állami és önkormányzati rendezvények (Nemzeti ünnepek)</t>
  </si>
  <si>
    <t>Az önkormányzati vagyonnal való gazdálkodással kapcsolatos feladatok</t>
  </si>
  <si>
    <t>013 350</t>
  </si>
  <si>
    <t>Köztemető fenntartás és működtetés</t>
  </si>
  <si>
    <t>013 320</t>
  </si>
  <si>
    <t>Nemzetközi szervezetekben való részvétel</t>
  </si>
  <si>
    <t>011 320</t>
  </si>
  <si>
    <t>Önkormányzatok és önkormányzati hivatalok jogalkotó és általános igazgatási tevékenysége</t>
  </si>
  <si>
    <t>011 130</t>
  </si>
  <si>
    <t>Önkormányzatok és önkormányzati hivatalok jogalkotó és általános igazgatási tevékenysége (Pénzmaradv.)</t>
  </si>
  <si>
    <t>Költségvetési szerveknek folyósított támogatás</t>
  </si>
  <si>
    <t>Hitel- és kölcsön törlesztés</t>
  </si>
  <si>
    <t>Ellátottak pénzbeli juttatása</t>
  </si>
  <si>
    <t>Dologi</t>
  </si>
  <si>
    <t>M.adókat terh. jár. és szochó</t>
  </si>
  <si>
    <t>Betét lekötés</t>
  </si>
  <si>
    <t>Felhalmozási kiadások</t>
  </si>
  <si>
    <t>Működési kiadások</t>
  </si>
  <si>
    <t>Kiadás</t>
  </si>
  <si>
    <t>Tata Város Önkormányzat 2017. évi költségvetési terve 
(kormányzati funkciók és kiemelt előirányzatok szerinti bontásban) 
( E Ft-ban)</t>
  </si>
  <si>
    <t xml:space="preserve">Államigazgatás összesen: </t>
  </si>
  <si>
    <t>Eredeti összesen:</t>
  </si>
  <si>
    <t>Községek összesen:</t>
  </si>
  <si>
    <t>Dunaszentmiklósi Kirendeltség összesen:</t>
  </si>
  <si>
    <t>018030</t>
  </si>
  <si>
    <t>Önkormányzatok és önkormányzati hivatalok jogalkotás és általános igazgatási tevékenysége</t>
  </si>
  <si>
    <t>011130</t>
  </si>
  <si>
    <t>Dunaszentmiklósi Kirendeltség</t>
  </si>
  <si>
    <t>Dunaalmási Kirendeltség összesen:</t>
  </si>
  <si>
    <t>Dunaalmási Kirendeltség</t>
  </si>
  <si>
    <t>Neszmélyi Kirendeltség összesen:</t>
  </si>
  <si>
    <t>Neszmélyi Kirendeltség</t>
  </si>
  <si>
    <t>Tata összesen</t>
  </si>
  <si>
    <t>Szociális Igazgatás</t>
  </si>
  <si>
    <t>109010</t>
  </si>
  <si>
    <t>Város- községgazdálkodási szolgáltatások</t>
  </si>
  <si>
    <t>066020</t>
  </si>
  <si>
    <t>Lakáshoz jutást segítő támogatások</t>
  </si>
  <si>
    <t>061030</t>
  </si>
  <si>
    <t>Építés hatósági ügyek</t>
  </si>
  <si>
    <t>044310</t>
  </si>
  <si>
    <t>Közterület rendjének fenntartása (közterület fenntartás)</t>
  </si>
  <si>
    <t>031030</t>
  </si>
  <si>
    <t>Állampolgársági ügyek - Anyakönyv</t>
  </si>
  <si>
    <t>016030</t>
  </si>
  <si>
    <t>Országgyűlési, önkormányzati és európai parlamenti képviselőválasztáshoz kapcsolódó tev.</t>
  </si>
  <si>
    <t>Adó-, vám és jövedéki igazgatás</t>
  </si>
  <si>
    <t>011220</t>
  </si>
  <si>
    <t>Tata</t>
  </si>
  <si>
    <t>Tatai Közös Önkormányzati Hivatal 2017. évi költségvetési terve (kormányzati funkciók és kiemelt előirányzatok szerinti bontásban) 
( E Ft-ban)</t>
  </si>
  <si>
    <t>ÁLLAMI TÁMOGATÁS MINDÖSSZESEN</t>
  </si>
  <si>
    <t>3. melléklet II. 4. b) Járásszékhely múzeumok szakmai támogatása - Emberi Erőforrások Minisztériuma támgatási szerződésre</t>
  </si>
  <si>
    <t>3. melléklet I. 5. települési önkormányzatok helyi közösségi közlekedésének támogatása</t>
  </si>
  <si>
    <t>1312/2017. (VI.8.) Korm. határozat 4. pont: minimálbér és garantált bérminimum emeléséhez, vm. a szoc. hozzájárulási adó csökkentés hatásának kompenzációjához támogatás</t>
  </si>
  <si>
    <t>462/2016. (XII.23.) Korm. rendelet: Bölcsődei pótlék</t>
  </si>
  <si>
    <t>8/2017. (I.23.) Korm. rendelet 1. §: Kulturális illetmény pótlék</t>
  </si>
  <si>
    <t>432/2016. (XII.15.) Korm. rendelet 7. §: Bérkompenzáció</t>
  </si>
  <si>
    <t>3. melléklet V. Vis maior támogatás</t>
  </si>
  <si>
    <t>2. melléklet V. Beszámításhoz új szabály további 45 % elvonás szolidaritási hozzájárulás címén</t>
  </si>
  <si>
    <t>2. melléklet jogcímeihez: ÁLLAMI TÁMOGATÁS BESZÁMÍTÁSSAL CSÖKKENTETT ÖSSZEGE</t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</si>
  <si>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</si>
  <si>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t>2.mell. V.</t>
  </si>
  <si>
    <t>95 %</t>
  </si>
  <si>
    <t>10 % csökk.</t>
  </si>
  <si>
    <r>
      <t xml:space="preserve">Differenciálás: </t>
    </r>
    <r>
      <rPr>
        <b/>
        <sz val="10"/>
        <rFont val="Times New Roman CE"/>
        <charset val="238"/>
      </rPr>
      <t>Támogatás csökkentés 105 % lenne</t>
    </r>
    <r>
      <rPr>
        <sz val="10"/>
        <rFont val="Times New Roman CE"/>
        <charset val="238"/>
      </rPr>
      <t xml:space="preserve"> az adóerő-képesség miatt, de közös hivatal székhelye miatt 10 %-kal csökkenthető, ezért 95 % a támogatás csökkentés.</t>
    </r>
  </si>
  <si>
    <t>0,55 %</t>
  </si>
  <si>
    <t>Ft</t>
  </si>
  <si>
    <r>
      <t xml:space="preserve">Önkormányzat elvárt bevétele: </t>
    </r>
    <r>
      <rPr>
        <b/>
        <sz val="12"/>
        <rFont val="Times New Roman CE"/>
        <charset val="238"/>
      </rPr>
      <t xml:space="preserve">2015.évi </t>
    </r>
    <r>
      <rPr>
        <sz val="12"/>
        <rFont val="Times New Roman CE"/>
        <charset val="238"/>
      </rPr>
      <t>iparűzési adóalap 0,55 %-a</t>
    </r>
  </si>
  <si>
    <t>BESZÁMÍTÁS</t>
  </si>
  <si>
    <t>V.</t>
  </si>
  <si>
    <t>A települési önkormányzatok kulturális feladatainak támogatása</t>
  </si>
  <si>
    <t>2.mell. IV.</t>
  </si>
  <si>
    <t>Települési önkormányzatok könyvtári célú érdekeltségnövelő támogatása</t>
  </si>
  <si>
    <t>IV.1.i)</t>
  </si>
  <si>
    <t>fő</t>
  </si>
  <si>
    <t>Települési önk.nyilvános könyvtári és közműv. feladatainak támogatása</t>
  </si>
  <si>
    <t>IV.1.d)</t>
  </si>
  <si>
    <t>97200 E Ft volt</t>
  </si>
  <si>
    <t>Megyei hatókörű városi múzeumok feladatainak támogatása (2017. évben nem ismert)</t>
  </si>
  <si>
    <t>IV.1.a)</t>
  </si>
  <si>
    <t>A TELEPÜLÉSI ÖNKORMÁNYZATOK KULTURÁLIS FELADATAINAK TÁMOGATÁSA</t>
  </si>
  <si>
    <t>IV.</t>
  </si>
  <si>
    <t>A települési önkormányzatok szociális és gyermekjóléti feladatainak támogatása</t>
  </si>
  <si>
    <t xml:space="preserve">2.mell. III. </t>
  </si>
  <si>
    <t>Kiegészítő támogatás a bölcsődében foglalkoztatott, felsőfokú végzettségű kisgyermeknevelők béréhez</t>
  </si>
  <si>
    <t>III.7.</t>
  </si>
  <si>
    <t xml:space="preserve">A rászoruló gyermekek intézményen kívüli szünidei étkeztetésének támogatása </t>
  </si>
  <si>
    <t>III.6.</t>
  </si>
  <si>
    <t>Gyermekétkeztetés támogatása összesen</t>
  </si>
  <si>
    <t xml:space="preserve">III.5. </t>
  </si>
  <si>
    <t xml:space="preserve">Gyermekétkeztetés üzemeltetési támogatása </t>
  </si>
  <si>
    <t>III.5.b)</t>
  </si>
  <si>
    <t>fő/év</t>
  </si>
  <si>
    <t>Finanszírozás szempontjából elismert dolgozók bértámogatása</t>
  </si>
  <si>
    <t>III.5.a)</t>
  </si>
  <si>
    <t>Gyermekétkeztetés támogatása</t>
  </si>
  <si>
    <t>Kistérségi Időskorúak Otthona állami támogatása - átadandó Kist.Társ.</t>
  </si>
  <si>
    <t>III.4.</t>
  </si>
  <si>
    <t>rendkívüli egyszeri</t>
  </si>
  <si>
    <t>Kistérségi Idősk. Otthona állami támogatása - bérintézekés_műszakpótlék</t>
  </si>
  <si>
    <t>III.4./</t>
  </si>
  <si>
    <t>Kistérségi Idősk. Otthona állami támogatása - intézményüzemeltetés tám.</t>
  </si>
  <si>
    <t>Kistérségi Idősk. Otthona állami támogatása - szakmai dolgozók bértám.</t>
  </si>
  <si>
    <t>Egyes szociális és gyermekjóléti feladatok támogatása összesen</t>
  </si>
  <si>
    <t>III.3.</t>
  </si>
  <si>
    <t>Ft/feladategység</t>
  </si>
  <si>
    <t>Közösségi alapellátások - teljesítménytámogatás</t>
  </si>
  <si>
    <t>Ft/év/szolgálat</t>
  </si>
  <si>
    <t>Közösségi alapellátások - alaptámogatás</t>
  </si>
  <si>
    <t>III.3.m)</t>
  </si>
  <si>
    <t>Támogató szolgáltatás - teljesítménytámogatás - szállításhoz személyi segítés max.50%</t>
  </si>
  <si>
    <t>Támogató szolgáltatás - teljesítménytámogatás - személyi segítés</t>
  </si>
  <si>
    <t>Támogató szolgáltatás - alaptámogatás</t>
  </si>
  <si>
    <t>III.3.l)</t>
  </si>
  <si>
    <t>fhely</t>
  </si>
  <si>
    <t xml:space="preserve">Hajléktalanok átmeneti intézményei </t>
  </si>
  <si>
    <t>III.3.k)</t>
  </si>
  <si>
    <t>Bölcsődei ellátás összesen:</t>
  </si>
  <si>
    <t>III.3.j)</t>
  </si>
  <si>
    <t>Bölcsődei ellátás - fogyatékos gyermek (fajlagos összeg 150 %-a)</t>
  </si>
  <si>
    <t>III.3.ja)</t>
  </si>
  <si>
    <t>Bölcsődei ellátás - nem fogyatékos, halmozottan hátrányos helyzetű gyermek (fajlagos összeg 110 %-a)</t>
  </si>
  <si>
    <t>Bölcsődei ellátás - nem fogyatékos, hátrányos helyzetű gyermek (fajlagos összeg 105 %-a)</t>
  </si>
  <si>
    <t xml:space="preserve">Bölcsődei ellátás - nem fogyatékos, nem hátrányos helyzetű gyermek </t>
  </si>
  <si>
    <t>Gyermekek napközbeni ellátása</t>
  </si>
  <si>
    <t>Hajléktalanok nappali intézményi ellátása - társult formában, ezért a fajlagos összeg 120 %-a a támogatás</t>
  </si>
  <si>
    <t>III.3.i)</t>
  </si>
  <si>
    <t>Fogyatékosok személyek nappali intézményi ellátása - társult formában, ezért a fajlagos összeg 110 %-a a támogatás</t>
  </si>
  <si>
    <t>III.3.g)</t>
  </si>
  <si>
    <t>Időskorúak nappali intézményi ellátása -társult formában, ezért a fajlagos összeg 150 %-a a támogatás (csökkentés 10 fővel, mert Kocsi u. megszűnik, szállítják az igénylőket a Deák F. u.-ba)</t>
  </si>
  <si>
    <t>III.3.f)</t>
  </si>
  <si>
    <t>Házi segítségnyújtás - 2017. évben két külön jogcímen igényelhető támogatás:</t>
  </si>
  <si>
    <t>III.3.d)</t>
  </si>
  <si>
    <t>Ft/fő</t>
  </si>
  <si>
    <r>
      <t xml:space="preserve">Házi segítségnyújtáshoz </t>
    </r>
    <r>
      <rPr>
        <b/>
        <i/>
        <sz val="12"/>
        <rFont val="Times New Roman CE"/>
        <charset val="238"/>
      </rPr>
      <t>Személyi gondozás</t>
    </r>
    <r>
      <rPr>
        <sz val="12"/>
        <rFont val="Times New Roman CE"/>
        <charset val="238"/>
      </rPr>
      <t xml:space="preserve"> -  társult formában, ezért a fajlagos összeg 130 %-a a támogatás</t>
    </r>
  </si>
  <si>
    <t>III.3.db)</t>
  </si>
  <si>
    <r>
      <t xml:space="preserve">Házi segítségnyújtáshoz </t>
    </r>
    <r>
      <rPr>
        <b/>
        <i/>
        <sz val="12"/>
        <rFont val="Times New Roman CE"/>
        <charset val="238"/>
      </rPr>
      <t>Szociális segítés</t>
    </r>
  </si>
  <si>
    <t>III.3.da)</t>
  </si>
  <si>
    <t>Szociális étkeztetés - társulási kiegészítéssel (55 360 Ft fajlagos összeg 110 %-a)</t>
  </si>
  <si>
    <t>III.3.c)</t>
  </si>
  <si>
    <t>Ft/szám.létsz./év</t>
  </si>
  <si>
    <t>Család- és gyermekjóléti központ (2015.01.01. lakosságszám alapján jár!!)</t>
  </si>
  <si>
    <t>III.3.b)</t>
  </si>
  <si>
    <t>Család- és gyermekjóléti szolgálat (2015.01.01. lakosságszám alapján jár!!)</t>
  </si>
  <si>
    <t>III.3.a)</t>
  </si>
  <si>
    <t>Egyes szociális és gyermekjóléti feladatok támogatása</t>
  </si>
  <si>
    <t xml:space="preserve">Szociális ágazati összevont pótlék </t>
  </si>
  <si>
    <t>III.1.</t>
  </si>
  <si>
    <t>A települési önkormányzatok egyes köznevelési feladatainak támogatása</t>
  </si>
  <si>
    <t>2.mell. II.</t>
  </si>
  <si>
    <t>Kiegészítő támogatás az óvodapedagógusok minősítéséből adódó többletkiadásokhoz</t>
  </si>
  <si>
    <t>II.4.</t>
  </si>
  <si>
    <t>- 11 havi időarányos, akik 2016. évben szerezték meg. Alapfokú, Ped.II. kateg. sorol.</t>
  </si>
  <si>
    <t>- Teljes összeg, akik 2015. dec. 31-ig megszerezték. Alapfokú, Ped. II. kategóriába s.</t>
  </si>
  <si>
    <t>Óvodaműködtetési támogatás összesen</t>
  </si>
  <si>
    <t>II. 2.</t>
  </si>
  <si>
    <t xml:space="preserve">Kiegészítő támogatás az óvodaműködtetési feladatokhoz </t>
  </si>
  <si>
    <t>II.2.b)</t>
  </si>
  <si>
    <t>Óvodaműk. támogatás 4 hónapra: gyermekek nevelése a napi 8 órát eléri</t>
  </si>
  <si>
    <t>Óvodaműk. támogatás 4 hónapra: gyermekek nevelése a napi 8 órát nem éri el</t>
  </si>
  <si>
    <t>Óvodaműk. támogatás 8 hónapra: gyermekek nevelése a napi 8 órát eléri</t>
  </si>
  <si>
    <t>Óvodaműk. támogatás 8 hónapra: gyermekek nevelése a napi 8 órát nem éri el</t>
  </si>
  <si>
    <t>II.2.a)</t>
  </si>
  <si>
    <t>Óvodaműködtetési támogatás</t>
  </si>
  <si>
    <t xml:space="preserve">II.2. </t>
  </si>
  <si>
    <t>Óvodapedagógusok, és az óvodapedagógusok nevelő munkáját közvetlenül segítők bértámogatása összesen</t>
  </si>
  <si>
    <t>II.1.</t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</si>
  <si>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</si>
  <si>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</si>
  <si>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t>Óvodapedagógusok munkáját közvetlenül segítők bértámogatása - 4 hónapra</t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</si>
  <si>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</si>
  <si>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t>Óvodapedagógusok munkáját közvetlenül segítők bértámogatása - 8 hónapra</t>
  </si>
  <si>
    <t>Óvodapedagógusok bértámogatása pótlólagos összege 3 hónapra 2016/2017-re</t>
  </si>
  <si>
    <t>Óvodapedagógusok bértámogatása - 4 hónapra</t>
  </si>
  <si>
    <t>Óvodapedagógusok bértámogatása - 8 hónapra</t>
  </si>
  <si>
    <t>Óvodapedagógusok, és az óvodapedagógusok nevelő munkáját közvetlenül segítők bértámogatása</t>
  </si>
  <si>
    <t xml:space="preserve">A helyi önkormányzatok működésének általános támogatása </t>
  </si>
  <si>
    <t>2.mell. I.</t>
  </si>
  <si>
    <t xml:space="preserve">A 2016. évről áthúzódó bérkompenzáció támogatása </t>
  </si>
  <si>
    <t>I.5.</t>
  </si>
  <si>
    <t>100 Ft/m3</t>
  </si>
  <si>
    <t>m3</t>
  </si>
  <si>
    <t>Nem közművel összegyűjtött háztartási szennyvíz ártalmatlanítása</t>
  </si>
  <si>
    <t>I.2.</t>
  </si>
  <si>
    <t>A települési önkormányzatok működésének támogatása</t>
  </si>
  <si>
    <t>I.1.</t>
  </si>
  <si>
    <t>1,0 Ft/ idegenfor.adóft</t>
  </si>
  <si>
    <t>Üdülőhelyi feladatok támogatása</t>
  </si>
  <si>
    <t>I.1.e)</t>
  </si>
  <si>
    <t>2 550 Ft/ külter.lakos</t>
  </si>
  <si>
    <t>Lakott külterülettel kapcsolatos feladatok támogatása</t>
  </si>
  <si>
    <t>I.1.d)</t>
  </si>
  <si>
    <r>
      <t>Egyéb önkormányzati feladat támogatása (</t>
    </r>
    <r>
      <rPr>
        <b/>
        <i/>
        <sz val="12"/>
        <color indexed="12"/>
        <rFont val="Times New Roman CE"/>
        <charset val="238"/>
      </rPr>
      <t>adóerőképesség 1 lakosra 42.827 Ft</t>
    </r>
    <r>
      <rPr>
        <b/>
        <i/>
        <sz val="12"/>
        <rFont val="Times New Roman CE"/>
        <charset val="238"/>
      </rPr>
      <t>)</t>
    </r>
  </si>
  <si>
    <t>I.1.c)</t>
  </si>
  <si>
    <t>Település-üzemeltetéshez kapcsolódó feladatellátás támogatása összesen</t>
  </si>
  <si>
    <t>I.1.b)</t>
  </si>
  <si>
    <t>295 000 Ft/km</t>
  </si>
  <si>
    <t>km</t>
  </si>
  <si>
    <t>Közutak fenntartásának támogatása</t>
  </si>
  <si>
    <t>I.1.bd)</t>
  </si>
  <si>
    <t>104 Ft/m2</t>
  </si>
  <si>
    <t>m2</t>
  </si>
  <si>
    <t>Köztemető fenntartással kapcsolatos feladatok támogatása</t>
  </si>
  <si>
    <t>I.1.bc)</t>
  </si>
  <si>
    <t>Közvilágítás fenntartásának támogatása</t>
  </si>
  <si>
    <t>I.1.bb)</t>
  </si>
  <si>
    <t>ha</t>
  </si>
  <si>
    <t>A zöldterület-gazdálkodással kapcsolatos feladatok ellátásának támogatása</t>
  </si>
  <si>
    <t>I.1.ba)</t>
  </si>
  <si>
    <t>Település-üzemeltetéshez kapcsolódó feladatellátás támogatása</t>
  </si>
  <si>
    <r>
      <t>Önkormányzati Hivatal működésének támogatása (</t>
    </r>
    <r>
      <rPr>
        <b/>
        <i/>
        <sz val="12"/>
        <color indexed="12"/>
        <rFont val="Times New Roman CE"/>
        <charset val="238"/>
      </rPr>
      <t>Közös Hiv. 26.798 fő lakos</t>
    </r>
    <r>
      <rPr>
        <b/>
        <i/>
        <sz val="12"/>
        <rFont val="Times New Roman CE"/>
        <charset val="238"/>
      </rPr>
      <t>)</t>
    </r>
  </si>
  <si>
    <t>I.1.a)</t>
  </si>
  <si>
    <t>A HELYI ÖNKORMÁNYZATOK MŰKÖDÉSÉNEK ÁLTALÁNOS TÁMOGATÁSA</t>
  </si>
  <si>
    <t>Fajlagos összeg Ft/mutató</t>
  </si>
  <si>
    <t>Módosított mutató</t>
  </si>
  <si>
    <t>2017. decemberi módosított előirányzat                        E Ft-ban</t>
  </si>
  <si>
    <t>2017. szeptemberi módosított előirányzat                        E Ft-ban</t>
  </si>
  <si>
    <r>
      <t xml:space="preserve">2017. Eredeti előirányzat                        </t>
    </r>
    <r>
      <rPr>
        <b/>
        <sz val="12"/>
        <rFont val="Times New Roman CE"/>
        <charset val="238"/>
      </rPr>
      <t>E Ft-ban</t>
    </r>
  </si>
  <si>
    <t>Bevétel 2017. év</t>
  </si>
  <si>
    <t>Jogcímek megnevezése</t>
  </si>
  <si>
    <t>Törvény- javaslat hivatk.sz.</t>
  </si>
  <si>
    <t>a helyi önkormányzatok feladatainak állami támogatásához</t>
  </si>
  <si>
    <t>Tata Város Önkormányzata 2017. évi költségvetéséhez</t>
  </si>
  <si>
    <t>Tatai Geszti Óvoda Agostyáni Tagintézménye - kis értékű tárgyi eszköz beszerzés</t>
  </si>
  <si>
    <t>Tatai Geszti Óvoda - kis értékű tárgyi eszköz beszerzés</t>
  </si>
  <si>
    <t>Intézmények Gazdasági Hivatala - számítógép (2 db), klímaberendezés</t>
  </si>
  <si>
    <t>Kőkúti Általános Iskola 5 db ipari hajszárító cseréje</t>
  </si>
  <si>
    <t>Tatai Egészségügyi Alapellátó Intézmény - kis értékű tárgyi eszköz beszerzés, csecsemőmérleg (5 db)-, mobiltelefon (5 db), laptop (3 db)</t>
  </si>
  <si>
    <t>Kuny Domokos Múzeum - Műtárgy vásárlás, informatikai és egyéb berendezések-, felszerelések-, eszközök, épületriasztó</t>
  </si>
  <si>
    <t>Tatai Kertvárosi Óvoda - digitális fényképezőgép-, öltözőszekrény dolgozók részére, csoportszobai bútorok,- felszerelések,- fejlesztő kellékek-, udvari játékok-, kellékek-, kültéri ivókút, párakapu, homokozó kialakítása</t>
  </si>
  <si>
    <t>Tatai Bartók Béla Óvoda - udvari játékok, számítógép</t>
  </si>
  <si>
    <t>Csillagsziget Bölcsőde - szőnyegek, berendezési-. felszerelési eszközök, mozgásfejlesztő eszközök, projektor+ vászon, irodai berendezése és konyhai felszerelések-, eszközök</t>
  </si>
  <si>
    <t>Tatai Kincseskert Óvoda - közösen a Csillagsziget Bölcsődének is udvari tároló építése</t>
  </si>
  <si>
    <t>Móricz Zsigmond Városi Könyvtár - könyvek állomány gyarapítása</t>
  </si>
  <si>
    <t>Tatai Fürdő utcai Óvoda - mosogatógép, íróasztal, salgópolc</t>
  </si>
  <si>
    <t>Intézmények Gazdasági Hivatala és a hozzá tartozó költségvetési szervek</t>
  </si>
  <si>
    <t>Tárgyi eszköz beszerzés</t>
  </si>
  <si>
    <t>Számítástechnikai eszközbeszerzések</t>
  </si>
  <si>
    <t>Fegyverszekrény, motorkerékpárok, fegyverek, egyenruha beszerzése mezőőrök részére</t>
  </si>
  <si>
    <t>Egyenruha beszerzés, kisértékű tárgyi eszköz beszerzés - közterület-felügyeletnek</t>
  </si>
  <si>
    <t>Információbiztonsági beruházás, eszközbeszerzés</t>
  </si>
  <si>
    <t>Tárgyi eszköz beszerzés hivatali üdülőkben: Fényes-fürdő (konyhai felszerelések, szék, asztal)</t>
  </si>
  <si>
    <t>Tárgyi eszköz beszerzés hivatali üdülőkben: Balatonfüred (falra szerelhető asztal, egyéb konyhai eszközök)</t>
  </si>
  <si>
    <t>Tárgyi eszköz beszerzés hivatali üdülőkben: Balatonvilágos (hűtő, egyéb konyhai felszerelés, stb.)</t>
  </si>
  <si>
    <t>Tárgyi eszköz beszerzés (bútor, szék, szőnyeg, textília, egyéb – gondnoksági feladatokhoz)</t>
  </si>
  <si>
    <t>Tatai székhely</t>
  </si>
  <si>
    <t>Tata, 1873 hrsz-ú ingatlanon (Várárok) beruházás megvalósítás 306/2017. (IX.27.) Tata Kt. hatátozat</t>
  </si>
  <si>
    <t xml:space="preserve">Csongor utca közvilágítás megtervezése </t>
  </si>
  <si>
    <t>Kerti Károly emléktábla</t>
  </si>
  <si>
    <t>Fényes-fürdő területén található felépítmények megvásárlása 348/2017.(X.25.) Tata Kt. határozat</t>
  </si>
  <si>
    <t>Elektromos töltő tervezése parkolóhoz</t>
  </si>
  <si>
    <t xml:space="preserve">Kocsi úti temető műemléket megközelítő járda építése a HM 34-135/2017. sz. megállapodás </t>
  </si>
  <si>
    <t xml:space="preserve">Hivatal épület mögötti kőfalon acél gázvezeték kiváltás kiviteli terve                                                                  </t>
  </si>
  <si>
    <t>Kervárosi Óvoda korszerűsítése, melegítő konyha kialakítása (tervezési díj)</t>
  </si>
  <si>
    <t>Közfoglalkoztatás eszközbeszerzése géptartozékokkal</t>
  </si>
  <si>
    <t>Tata, Kismosó-patak mederrendezéséhez szükséges területszerzésekre                                     347/2017.(X.25.) Tata Kt. határozat</t>
  </si>
  <si>
    <t xml:space="preserve">tatai 1841 hrsz-ú ingatlanból 1729 m2 terület csere útján történő megvásárlása                                    297/2017.(IX.27.) Tata Kt. határozat </t>
  </si>
  <si>
    <t>Markó Gyula emléktábla</t>
  </si>
  <si>
    <t>Fogászati röntgen készülék és digitalizáló beszerzése 259/2017.(VI.28.) Tata Kt. határozat</t>
  </si>
  <si>
    <t>Tata, Wass Albert és Deák F. utcák közötti út és parkolóépítés</t>
  </si>
  <si>
    <t xml:space="preserve">Lelátószékek beszerzése  </t>
  </si>
  <si>
    <t xml:space="preserve">Kőzmű vételára   </t>
  </si>
  <si>
    <t xml:space="preserve">Öregtavi zsilipek előtti halrácsok beépítése                                                                                                       </t>
  </si>
  <si>
    <t xml:space="preserve">tatai, 15250/7, és 15250/9 hrsz.ingatlanok vételára                                                                                        </t>
  </si>
  <si>
    <t xml:space="preserve">tatai, 15251/19 hrsz. ingatlan vételára                                                                                                 </t>
  </si>
  <si>
    <t xml:space="preserve">tatai, 15413/4 hrsz.  ingatlan vételára                                                                                           </t>
  </si>
  <si>
    <t xml:space="preserve">tatai, 15307/9 hrsz. és 115307/11 hrsz. ingatlanok vételára                                                                       </t>
  </si>
  <si>
    <t xml:space="preserve">tatai, 15235/5 hrsz. ingatlan vételára                                                                                          </t>
  </si>
  <si>
    <t xml:space="preserve">Tata, üvegbuszmegálló tervdok. III. részlet                                                                                                 </t>
  </si>
  <si>
    <t xml:space="preserve">Tata, Baji út vízvezeték kiváltás kiviteli terve                                                                                                                                                      </t>
  </si>
  <si>
    <t xml:space="preserve">Öregvár területén várforrás elvezetés                                                                                                       </t>
  </si>
  <si>
    <t xml:space="preserve">Hivatal III. emeletén szerverszoba kialakítása                                                                                   </t>
  </si>
  <si>
    <t xml:space="preserve">Kossuth tér 1.  dísztermi padlófütés kialakítása és a fűtéskorszerűsítés kőműves munkái                               </t>
  </si>
  <si>
    <t>Vaszary villában gépészeti munkálatok és szennyvízelvezetés</t>
  </si>
  <si>
    <t>Vaszary János élete és kora című produkció - általános tartalékból</t>
  </si>
  <si>
    <t>Deák Ferenc utca Öveges utca sarkán 1 db LED lámpatest felszerelése</t>
  </si>
  <si>
    <t>Szilágyi Erzsébet utca LED-es közvilágítás sűrítése</t>
  </si>
  <si>
    <t>Jávorka Sándor Mezőgazdasági és Élelmiszeripari Szakképző Iskola és Kollégium mögötti terület fejlesztéséhez kapcsolódó tervezési és engedélyezési díjak</t>
  </si>
  <si>
    <t>Városi Piac tervezési és közbeszerzési kiadásaira</t>
  </si>
  <si>
    <t>Városi sportcsarnokhoz kapcsolódó parkolók kialakításához a tatai 61/1 és 61/2 hrsz.-ú ingatlanok 2017. évi vételárrészlete 60/2017. (II.23.) Tata Kt. határozat</t>
  </si>
  <si>
    <t xml:space="preserve">Építésügyi hatósági hatáskör ellátásához előírt tárgyi eszközök                                        (lézeres távolságmérő, szintező műszer) </t>
  </si>
  <si>
    <t xml:space="preserve"> - Agostyán posta melletti út kiépítése</t>
  </si>
  <si>
    <t xml:space="preserve">Ipari park - 20 kW-os energiaellátása </t>
  </si>
  <si>
    <t>- Tata- Agostyán kerékpárút területszerzés (vételár)</t>
  </si>
  <si>
    <t>- Jávorka mögötti területen közmű út kiépítés</t>
  </si>
  <si>
    <t>- Dobroszláv utcában parkolóház létesítésére tanulmány készítése 305/2014. (IX.1.) Tata Kt. határozata</t>
  </si>
  <si>
    <t>Agostyán, Kert utca kisajátítás</t>
  </si>
  <si>
    <t xml:space="preserve">Újhegy kisajátítás </t>
  </si>
  <si>
    <t>Ingatlanvásárlás: Tata, Újhegy 15325/1 hrsz.</t>
  </si>
  <si>
    <t>- Csapadékvíz elvezetés és kerítésépítés a Jávorka Sándor Mezőgazdasági Szakközépiskola területén</t>
  </si>
  <si>
    <t>Fényes-fürdő területén fejlesztések végrehajtása</t>
  </si>
  <si>
    <t>Tárgyi eszköz beszerzése</t>
  </si>
  <si>
    <t>Digitális alaptérkép</t>
  </si>
  <si>
    <t xml:space="preserve">Térfigyelő kamerarendszer Kossuth téren </t>
  </si>
  <si>
    <t>Építők-parkja villamos vezeték kiváltás és erőátvitel</t>
  </si>
  <si>
    <t>- Közvilágítás korszerűsítés III/A ütem (KEOP-ból kimaradt főutak)</t>
  </si>
  <si>
    <t>- Építők parkja csapadék csatorna összekötés az 1-es főút melletti zárt csatornával</t>
  </si>
  <si>
    <t xml:space="preserve">- Kismosó-patak kotrása, Jávorka mögött terület közműépítés </t>
  </si>
  <si>
    <t>- Malom-patak meder rekonstrukció (tervezés és kivitelezés)</t>
  </si>
  <si>
    <t>Szelektív hulladéktároló szigetek edényeinek cseréje</t>
  </si>
  <si>
    <t xml:space="preserve">Visszatérő forrásokkal kapcsolatos feladatok </t>
  </si>
  <si>
    <t>Önkormányzati külterületi utak járhatóságának biztosítása</t>
  </si>
  <si>
    <t>Parkoló építés (megváltásból  származó bevételből)</t>
  </si>
  <si>
    <t>--Tópart utca rendezése (Bőrgyár előtti terület tó felőli oldala)</t>
  </si>
  <si>
    <t>--Dadi utca járda kiépítés I. ütem</t>
  </si>
  <si>
    <t>--Piac téri kiszolgáló út II. ütem</t>
  </si>
  <si>
    <t>--Bartók Béla utca (óvodához vezető szakasz átépítése II. ütem - becsült összeg)</t>
  </si>
  <si>
    <t>- Elkezdett beruházások folytatása az alábbi helyeken:</t>
  </si>
  <si>
    <t>- Kosárlabda-csarnok és műfüves focipálya megközelítését szolgáló út kivitelezése és parkoló építés - csökkentett műszaki tartalommal (út, járda, parkoló, közvilágítás, víz, szennyvíz)</t>
  </si>
  <si>
    <t>- Május 1 úti jelzőlámpák összehangolása, tervezés, kivitelezés (Május 1 úti körforgalom és Komáromi út közötti szakaszon 2 db gyalogos átkelőhely és 1 közúti csomópont jelzőlámpásítása)</t>
  </si>
  <si>
    <t>- Elektromos töltő kiépítése 2 db</t>
  </si>
  <si>
    <t>- Kossuth téren további fejlesztések (világítás kiegészítés, szegély lesüllyesztése)</t>
  </si>
  <si>
    <t>Kossuth tér 1. Polgármesteri hivatal kapu kialakítása, feltáró közlekedő úttal a Bláthy utca felé</t>
  </si>
  <si>
    <t>- Térfigyelő kamerarendszer bővítése</t>
  </si>
  <si>
    <t>- 9 személyes kisbusz beszerzése (személyszállításra - üzembentartó: Városgazda Kft.)</t>
  </si>
  <si>
    <t>- Kölyök Kft-től konyhai eszközök</t>
  </si>
  <si>
    <t>- Fogorvosi rendelő kialakítása</t>
  </si>
  <si>
    <t>Egyéb 2017. évi igények</t>
  </si>
  <si>
    <t>A helyi alapanyagokra épülő minőségi közétkeztetésért - iskolai konyhák hálózatos fejlesztése</t>
  </si>
  <si>
    <t>Tata Város Önkormányzat ASP központhoz való csatlakozása                                                         KÖFOP-1.2.1-VEKOP-16-2017-01302 projektre</t>
  </si>
  <si>
    <t>Angolkert 286/2017. (VIII.11.) Tata Kt.határozat</t>
  </si>
  <si>
    <t>Építők parkjában strandröplabda pálya kiépítése 258/2017.(VI.28.) Tata Kt. határozat</t>
  </si>
  <si>
    <t xml:space="preserve">Ford Transit gépkocsi vásárlás  a 189/2017. (V.31.) Tata Kt. határozat </t>
  </si>
  <si>
    <t>Közösségi Felsőoktatási Képzési Központ - kisértékű tárgyi eszközök beszerzése a                              258/2017. (VI.28.) Tata Kt. határozat</t>
  </si>
  <si>
    <t>Tata, Kosssuth téren üveg-buszváró létesítéséről 213/2017.(V.31.) Tata Kt. határozat</t>
  </si>
  <si>
    <t>A helyi gazdaság erőforrásaira épülő piac- és agrárlogisztikai fejlesztés Tatán                                 TOP-1.1.3-15-KO1-2016-00003 projekt</t>
  </si>
  <si>
    <t>Önkormányzati étkeztetési fejlesztések támogatása - pályázati önrész</t>
  </si>
  <si>
    <t>Építők parkjában zöld infrastruktúra fejlesztés TOP 2.1.2-15-K01-2016-00002</t>
  </si>
  <si>
    <t xml:space="preserve">Tata- Agostyán településrészt összekötő kerékpárút                                                                          </t>
  </si>
  <si>
    <t>Csillagsziget Bölcsőde felújítása Tatán TOP-1.4.1-15-KO1-2016-00020</t>
  </si>
  <si>
    <t xml:space="preserve">A Tatai Kőfaragó-ház kézműves és aktív ökoturisztikai látogatóközpontként való rehabilitációja és a Kálvária-domb egységes turisztikai termékcsomagként való bemutatása                                                      TOP-1.2.1.-15-KO1-2016-00005 (szobor rekonstrukció) önerővel                                                                                    </t>
  </si>
  <si>
    <t>Tata - Agostyán közötti kerékpárút engedélyezi-kivitelezési terve</t>
  </si>
  <si>
    <t xml:space="preserve">Tatai Építők parkjában városi zöld infrastruktúra fejlesztés önereje                                               6/2017. (I.25.) és 104/2017.(III.30.) Tata Kt. határozat </t>
  </si>
  <si>
    <t>Pályázatok és azokhoz kapcsolódó feladatok</t>
  </si>
  <si>
    <t xml:space="preserve">- Tatai malmokat bemutató interaktív park kialakítása TOP-1.2.1 </t>
  </si>
  <si>
    <t>- Játékterek - HUSK pályázat</t>
  </si>
  <si>
    <t xml:space="preserve">- Építők parkjában zöld infrastruktúra fejlesztés TOP 2.1.2-15-K01-2016-00002 </t>
  </si>
  <si>
    <t xml:space="preserve">- Tata- Agostyán településrészt összekötő kerékpárút </t>
  </si>
  <si>
    <t>- Kerékpárkölcsönző rendszer és parkoló építése HUSK pályázat</t>
  </si>
  <si>
    <t>- Kerékpárút - HUSK pályázati önrész</t>
  </si>
  <si>
    <t xml:space="preserve">- Kulturális közösségi terek infrastrukturális fejlesztése - TOP-7.1.1-16-CLLD </t>
  </si>
  <si>
    <t xml:space="preserve">- Helyi alapanyagokra épülő közétkeztetésért- iskolai konyhák hálózatos fejlesztése Tatán TOP-1.1.3-15-KO1-2016-00002 </t>
  </si>
  <si>
    <t xml:space="preserve">- A helyi gazdaság erőforrásaira épülő piac- és agrárlogisztikai fejlesztés Tatán TOP-1.1.3-15-KO1-2016-00003 </t>
  </si>
  <si>
    <t xml:space="preserve">- Csillagsziget Bölcsőde felújítása Tatán TOP-1.4.1-15-KO1-2016-00020 </t>
  </si>
  <si>
    <t>- A Tatai Kőfaragó-ház kézműves és aktív ökoturisztikai látogatóközpontként való rehabilitációja és a Kálvária-domb egységes turisztikai termékcsomagként való bemutatása TOP-1.2.1.-15-KO1-2016-00005 (szobor rekonstrukció)</t>
  </si>
  <si>
    <t xml:space="preserve">Folyamatban lévő </t>
  </si>
  <si>
    <t>Pénzügyi teljesítés III. névi</t>
  </si>
  <si>
    <t>Módosítás</t>
  </si>
  <si>
    <t>IV. verzió</t>
  </si>
  <si>
    <t>III. verzió</t>
  </si>
  <si>
    <t>II. verzió</t>
  </si>
  <si>
    <t>I. verzió</t>
  </si>
  <si>
    <t>2017. évi beruházási kiadások feladatonként (ÁFA-val) E Ft-ban</t>
  </si>
  <si>
    <t>Kuny Domokos Múzeum - Vár, törökkori börtön felújítása</t>
  </si>
  <si>
    <t xml:space="preserve">Kuny Domokos Múzeum - NNM raktárfelújítás befejezése </t>
  </si>
  <si>
    <t>Kuny Domokos Múzeum - Szennyvízhálózat felújítása</t>
  </si>
  <si>
    <t>Kuny Domokos Múzeum - Villamoshálózat felülvizsgálata</t>
  </si>
  <si>
    <t>Kertvárosi Óvoda - Radiátorok cseréje</t>
  </si>
  <si>
    <t>Tatai Bartók Béla Óvoda - Szennyvízátemelő cseréje</t>
  </si>
  <si>
    <t>Tatai Kincseskert Óvoda Szivárvány Tagintézménye - Csoportszobába padló bontása, új laminált parketta fektetése</t>
  </si>
  <si>
    <t>Tatai Kincseskert Óvoda - Közlekedő folyosó felújítása/lefolyó csővezeték cseréje, burkolása</t>
  </si>
  <si>
    <t>Tatai Geszti Óvoda - Kettő csoportszoba laminált parketta fektetése és szegélyezése</t>
  </si>
  <si>
    <t>Kocsi úti temetőben a Hősi sírkert felújítása a HM 34-135/2017. sz. megállapodás</t>
  </si>
  <si>
    <t xml:space="preserve">Almási úti temető emlékmű felújítása a HM 34-135/2017. sz. megállapodás </t>
  </si>
  <si>
    <t>Csillagsziget Bölcsöde felújítása Tatán</t>
  </si>
  <si>
    <t>Váralja u. 6. (volt rendelőintézet) felújítási munkái</t>
  </si>
  <si>
    <t xml:space="preserve">Tóparti kopjafa villamos mérőhely kialakitása                                                                                           </t>
  </si>
  <si>
    <t>tatai Grófi-tó felújítási és mederkotrási munkái- fűvesítés és egyéb hiánypótolt munkák</t>
  </si>
  <si>
    <t xml:space="preserve">Kismosó patak mederrendezése                                                                                                            </t>
  </si>
  <si>
    <t xml:space="preserve">Bercsényi utca 1. épület akadálymentesítéséhez, pénzügyi teljesítése a beruh.  táblán                                                                                        </t>
  </si>
  <si>
    <t>Bacsó B. u. 66. földkábel</t>
  </si>
  <si>
    <t>Fényes-fürdőn lévő hivatali üdülő terasz burkolása és egyéb felújítási munkák</t>
  </si>
  <si>
    <t>Hivatal épületében klímaberendezések pótlása, cseréje</t>
  </si>
  <si>
    <t>- Balatonvilágosi üdülőben stég felújítása, udvar parkrendezése, udvarra asztal, padok, székek beszerzése, terasz bővítése, napellenző felszerelése</t>
  </si>
  <si>
    <t>Játszóterek felújítása (Dadi utcai játszótér kialakítása, eszközök elhelyezése, Lovardai játszótér fejlesztése, kerítések, Bacsó B. út 66., Levendula úti játszótéren ivóvízkút elhelyezése, Május 1 út 35-nél térvilágítás)</t>
  </si>
  <si>
    <t>- Ady Endre út- Május 1 út körforgalomban szökőkút felújítása (vízgépészet és építészet)</t>
  </si>
  <si>
    <t xml:space="preserve">ÉDV Zrt. által üzemeltetett viziközművek felújítása műszaki tartalommal                            </t>
  </si>
  <si>
    <t>- Vasút utca útfelújítása</t>
  </si>
  <si>
    <t>- Bacsó B. parkoló felújítása</t>
  </si>
  <si>
    <t>- Mikovényi úti körforgalom felújítása</t>
  </si>
  <si>
    <t>- Bláthy Ottó utca hátsó parkoló felújítása</t>
  </si>
  <si>
    <t>- Vágó utca, Újvilág utca útfelújítása</t>
  </si>
  <si>
    <t>- Kazincbarcikai utca, Hamari D. u. parkoló felújítása</t>
  </si>
  <si>
    <t>- József Attila út útfelújítása</t>
  </si>
  <si>
    <t xml:space="preserve">- Dadi utca és Remeteség útfelújítása </t>
  </si>
  <si>
    <t xml:space="preserve">Útfelújítások tervezése </t>
  </si>
  <si>
    <t>Járdafelújítások (tartalmazza a 2016. évről áthuzodó számlák is)</t>
  </si>
  <si>
    <t>Akadálymentesítés, közlekedésbiztonság növelése (járdák, gyalogátkelőhelyek)</t>
  </si>
  <si>
    <t>- Naplókert u. burkolat szélesítése garázssor előtt</t>
  </si>
  <si>
    <t>- Hídfelújítások, állapot felülvizsgálat (Berta-malmi híd)</t>
  </si>
  <si>
    <t>Utak karbantartása</t>
  </si>
  <si>
    <t>Tulipán út hiányzó szakasz pormentesítése mart aszfalttal</t>
  </si>
  <si>
    <t>- Aszfalt felületű utak útfelújítása marással, újraaszfaltozással (Vértesszőlősi úttal párhuzamos szervizút 1 szakasza, Fényes-fürdő belső út)</t>
  </si>
  <si>
    <t>- Fűzfa út és hátsó összekötő út pormentesítése mart aszfalttal</t>
  </si>
  <si>
    <t>- Mennich-köz felújítása</t>
  </si>
  <si>
    <t>- Mező Imre utca felújítása</t>
  </si>
  <si>
    <t>- Boglárka utca felújítása</t>
  </si>
  <si>
    <t>- Klapka út burkolat felújítása</t>
  </si>
  <si>
    <t>- Táncsics M. - Nagykert u. burkolat felújítás I. ütem</t>
  </si>
  <si>
    <t>- Rákóczi u. 9. homlokzat felújítása</t>
  </si>
  <si>
    <t>Vaszary Villa állagmegóvó munkálataira</t>
  </si>
  <si>
    <t xml:space="preserve">- Fürdő u. 2. ingatlanon halaszthatatlan felújítási munkálatok elvégzése </t>
  </si>
  <si>
    <t>Önkormányzati nem lakás célú helyiségek felújítása</t>
  </si>
  <si>
    <t>Önkormányzati bérlakások felújítása</t>
  </si>
  <si>
    <t xml:space="preserve">Piarista rendház felújítása 331/2017. (IX.27.) Tata Kt. határozat                                                                </t>
  </si>
  <si>
    <t>Kossuth tér 1. udvarfelújítás folytatása (gázcső, omlásveszélyes fal, térvilágítás)</t>
  </si>
  <si>
    <t>"Csillagsziget Bölcsöde felújítása Tatán" 199/2017.(V.31.) Tata Kt. határozata - pályázati önrész</t>
  </si>
  <si>
    <t>Önkormányzati feladatellátást szolgáló fejlesztések 135/2017.(IV.27.) Tata Kt. határozat- pályázati önrész</t>
  </si>
  <si>
    <t>Határozatokkal elfogadott feladatok</t>
  </si>
  <si>
    <t>Pénzügyi teljesítés I. félév</t>
  </si>
  <si>
    <t>Pénzügyi telj. III.</t>
  </si>
  <si>
    <t>Mód. (XII.20.)</t>
  </si>
  <si>
    <t>átcsop.</t>
  </si>
  <si>
    <t>(E Ft-ban)</t>
  </si>
  <si>
    <t>2017. évi felújítási kiadások célonként (ÁFA-val)</t>
  </si>
  <si>
    <t>Önkormányzat által folyósított szociális, gyermekvédelmi ellátások összesen:</t>
  </si>
  <si>
    <t>Természetben nyújtott ellátások összesen</t>
  </si>
  <si>
    <t>Rendkívüli gyermekvédelmi támogatás-Erzsébet utalvány</t>
  </si>
  <si>
    <t>Rendkívüli települési támogatás (természetbeni)</t>
  </si>
  <si>
    <t>KNYKK tanulóbérlet</t>
  </si>
  <si>
    <t>Köztemetés</t>
  </si>
  <si>
    <t>HPV védőoltás</t>
  </si>
  <si>
    <t>Rászorultságtól függő pénzbeli szociális, gyermekvédelmi ellátások összesen</t>
  </si>
  <si>
    <t>Lakhatáshoz kapcsolódó rendszeres kiadások viseléséhez (korábbi lakásfenntartási támogatás)</t>
  </si>
  <si>
    <t>Gyógyszer kiadások viseléséhez (korábbi méltányossági közgyógyellátás)</t>
  </si>
  <si>
    <t>18. életévét betöltött tartósan beteg hozzátartozójának ápolását, gondozását végző személy részére (korábbi méltányossági, ápolási díj)</t>
  </si>
  <si>
    <t>Arany János Tehetséggondozó Programhoz kapcsolódó szociális támogatás</t>
  </si>
  <si>
    <t>Vis maior támogatás</t>
  </si>
  <si>
    <t>Rendkívüli települési támogatás (lakhatáshoz kapcsolódó)</t>
  </si>
  <si>
    <t>Rendkívüli települési támogatás (pénzbeli)</t>
  </si>
  <si>
    <t>Tatai fiatalok életkezdési támogatása</t>
  </si>
  <si>
    <t>Tata Város Önkormányzata által folyósított 2017. évi ellátottak pénzbeli és természetbeni juttatásának részletezése (E Ft-ban)</t>
  </si>
  <si>
    <t>ÖSSZ</t>
  </si>
  <si>
    <t>084032</t>
  </si>
  <si>
    <t>FELH. VÉGLEGES</t>
  </si>
  <si>
    <t>Működési kölcsön</t>
  </si>
  <si>
    <t>össz</t>
  </si>
  <si>
    <t>047460</t>
  </si>
  <si>
    <t>053010</t>
  </si>
  <si>
    <t>082092</t>
  </si>
  <si>
    <t>084070</t>
  </si>
  <si>
    <t>084060</t>
  </si>
  <si>
    <t>MŰKÖDÉSI VÉGLEGES</t>
  </si>
  <si>
    <t>KÖZÖS ÖNKORMÁNYZATI HIVATALI TÁMOGATÁSOK (VISSZATÉRÍTENDŐ ÉS VISSZA NEM TÉRÍTENDŐ) MINDÖSSZESEN:</t>
  </si>
  <si>
    <t>Munkáltatói kölcsön nyújtása</t>
  </si>
  <si>
    <t>Felhalmozási célú visszatérítendő támogatások, kölcsönök nyújtása államháztartáson kívülre</t>
  </si>
  <si>
    <t>Mód.(XII.)</t>
  </si>
  <si>
    <t>TATAI KÖZÖS ÖNKORMÁNYZATI HIVATAL</t>
  </si>
  <si>
    <t>ÖNKORMÁNYZATI TÁMOGATÁSOK (VISSZATÉRÍTENDŐ ÉS VISSZA NEM TÉRÍTENDŐ) MINDÖSSZESEN:</t>
  </si>
  <si>
    <t>Felhalmozási célú támogatások (visszatérítendő és vissza nem térítendő) mindösszesen:</t>
  </si>
  <si>
    <t>Vis major támogatás (kölcsön) nyújtása</t>
  </si>
  <si>
    <t>Felhalmozási célú támogatások államháztartáson kívülre (visszatérítendő)</t>
  </si>
  <si>
    <t>Felhalmozási célú támogatások államháztartási belülre és kívülre (vissza nem térítendő) összesen:</t>
  </si>
  <si>
    <t>Önkormányzati Víziközművek(szennyvíz víziközmű) térítésmentes tulajdonba adására vonatkozó megállapodásban meghatározott, a fel nem használt fejlesztési források ÉDV Zrt. részére történő átadásához</t>
  </si>
  <si>
    <t>Önkormányzati Víziközművek(ivóvíz víziközmű) térítésmentes tulajdonba adására vonatkozó megállapodásban meghatározott, a fel nem használt fejlesztési források ÉDV Zrt. részére történő átadásához</t>
  </si>
  <si>
    <t>Országos Mentőszolgálat Alapítvány támogatása</t>
  </si>
  <si>
    <t>Általános tartalékból</t>
  </si>
  <si>
    <t>Pötörke Ház felújításának támogatása</t>
  </si>
  <si>
    <t>KEM Mentőalapítvány (Tatai mentőállomás) támogatása</t>
  </si>
  <si>
    <t>Értékvédelmi feladatok támogatása</t>
  </si>
  <si>
    <t>Zöld Beruházási Rendszer</t>
  </si>
  <si>
    <t>NEP</t>
  </si>
  <si>
    <t>ÚSZT pályázat fűtéskorszerűsítés /2012, TEF/ 2013, egyéb energiahatékonyságot javító pályázatok</t>
  </si>
  <si>
    <t>Felhalmozási célú támogatások államháztartáson kívülre (vissza nem térítendő)</t>
  </si>
  <si>
    <t>Vaszary János Általános Iskola tornatermi ablakai és az alagsori öltözőablakok motoros működtetésére</t>
  </si>
  <si>
    <t>Felhalmozási célú támogatások államháztartáson belülre (vissza nem térítendő)</t>
  </si>
  <si>
    <t>Működési célú támogatások (visszatérítendő és vissza nem térítendő) mindösszesen:</t>
  </si>
  <si>
    <t>Működési célú visszatérítendő támogatások, kölcsönök nyújtása összesen:</t>
  </si>
  <si>
    <t>Pon Danubii részére visszatérítendő támogatás</t>
  </si>
  <si>
    <t>Tatai Öreg-tó Kft. részére tagi kölcsön nyújtása</t>
  </si>
  <si>
    <t>Víz-Zene-Virág Fesztivál Egyesületnek rövid távú kölcsön nyújtása</t>
  </si>
  <si>
    <t>Működési célú visszatérítendő támogatások, kölcsönök nyújtása államháztartáson kívülre</t>
  </si>
  <si>
    <t>Működési célú támogatások államháztartáson belülre és kívülre (vissza nem térítendő) összesen:</t>
  </si>
  <si>
    <t>- Palmetta Alkotó Műhely-Tatai Tündérmese Fesztivál támogatása</t>
  </si>
  <si>
    <t xml:space="preserve"> - Concerto Nonprofit Kft.- Tatai Barokk Fesztivál támogatása</t>
  </si>
  <si>
    <t xml:space="preserve"> -Pötörke Népművészeti Egyesület támogatása</t>
  </si>
  <si>
    <t xml:space="preserve"> - Agostyáni Önkéntes Tűzoltó Egyesület támogatása</t>
  </si>
  <si>
    <t xml:space="preserve"> - Jázmin Alapítvány támogatása </t>
  </si>
  <si>
    <t xml:space="preserve"> - Humanitás SE részére támogatás (Para Képzőművészeti kiállítás Szabó Szonja emlékére)</t>
  </si>
  <si>
    <t xml:space="preserve"> - Honvéd Bajtársi Klub 2017. évi rendezvények támogatása</t>
  </si>
  <si>
    <t>Hungaricum Szövetség támogatása</t>
  </si>
  <si>
    <t>Jávorka Sándor Mezőgazdasági és Élelmiszeripari Szakképző Iskola és Kollégium részére működési támogatás</t>
  </si>
  <si>
    <t>Színes Iskola Alapítvány részére autista gyermek ellátásához támogatás</t>
  </si>
  <si>
    <t>Agostyáni Tűzoltó Egyesület támogatása</t>
  </si>
  <si>
    <t>Komárom-Esztergom Megyei Sportszövetségek Szövetségének</t>
  </si>
  <si>
    <t>Kőkúti Sasok DSE támogatása</t>
  </si>
  <si>
    <t>Magyary Zoltán Népfőiskolai Társaság támogatása közművelődési megállapodás alapján</t>
  </si>
  <si>
    <t>Mindennapos iskolai testnevelés támogatására</t>
  </si>
  <si>
    <t>Menner és Vincze versenyek jubileumi 30. évfordulójára</t>
  </si>
  <si>
    <t>Kiváló tanulmányi és művészeti munkáért díjak</t>
  </si>
  <si>
    <t>Peter Cerny Alapítvány támogatása</t>
  </si>
  <si>
    <t>Medicopter Alapítvány támogatása</t>
  </si>
  <si>
    <t>Mozgáskorlátozottak KEM-i Egyesületének támogatása</t>
  </si>
  <si>
    <t>Hajnalcsillag Óvodának jubileumi jutalmak kifizetésére (közoktatási megállapodás alapján)</t>
  </si>
  <si>
    <t>Városi Nyugdíjas Klub támogatása</t>
  </si>
  <si>
    <t>Tata és Környéke Turisztikai Egyesület (Turisztikai Desztináció Menedzsment) támogatása</t>
  </si>
  <si>
    <t>Tatai Sportegyesület támogatása</t>
  </si>
  <si>
    <t>OMS Tata Vívó Sport Egyesület támogatása</t>
  </si>
  <si>
    <t>Hódy Sport Egyesület támogatása</t>
  </si>
  <si>
    <t>Középnyugat-magyarországi Közlekedési Központ Zrt. részére veszteségtérítési igény</t>
  </si>
  <si>
    <t>Közösségi közlekedés szolgáltatója részére működési költségtérítés</t>
  </si>
  <si>
    <t>Cirmos Cica Alapítvány támogatása</t>
  </si>
  <si>
    <t>Polgárőrség támogatása</t>
  </si>
  <si>
    <t>Tatai Mecénás Közalapítvány támogatása</t>
  </si>
  <si>
    <t>Concerto Kft.-nek Nemzetközi Zenei Mesterkurzus támogatása</t>
  </si>
  <si>
    <t>Concerto Kft.-nek Tatai Barokk Fesztivál támogatása</t>
  </si>
  <si>
    <t>TIT KEM Egyesületének támogatása</t>
  </si>
  <si>
    <t>Pötörke Néptánc Egyesület támogatása</t>
  </si>
  <si>
    <t>Kenderke Alapfokú Művészeti Iskola Fürkész Programjának támogatása</t>
  </si>
  <si>
    <t>Kenderke Néptánc Egyesület támogatása közművelődési megállapodás alapján Tatai Sokadalom megrendezéséhez</t>
  </si>
  <si>
    <t>Szociális Háló Közalapítvány támogatása</t>
  </si>
  <si>
    <t>Magyar Vöröskereszt tatai szervezetének egészségvédelmi és szociális feladatainak támogatása</t>
  </si>
  <si>
    <t>Magyar Máltai Szeretetszolgálat tatai csoportjának máltai játszókert működtetésére</t>
  </si>
  <si>
    <t>Magyar Máltai Szeretetszolgálat tatai csoportjának támogatása</t>
  </si>
  <si>
    <t>OEP finanszírozás 5. sz. fogászati körzetre 1-8. hóig</t>
  </si>
  <si>
    <t>Egészségügyi alapellátás támogatása 275 E Ft/praxis 5 fogászati körzetre</t>
  </si>
  <si>
    <t>Környezetvédelmi Alap</t>
  </si>
  <si>
    <t>Egészségvédelmi, Szociális és Sportalap</t>
  </si>
  <si>
    <t>Oktatási és Kulturális Alap</t>
  </si>
  <si>
    <t>TAC támogatása</t>
  </si>
  <si>
    <t>Tatai Televízió Közalapítvány támogatása</t>
  </si>
  <si>
    <t>Tatai Városkapu Zrt. Tatai Angolkert működési támogatása</t>
  </si>
  <si>
    <t>Tatai Városkapu Zrt. Új Kajakház Ökoturisztikai Központ működési támogatása</t>
  </si>
  <si>
    <t>Tatai Városkapu Zrt. egyéb létesítmény támogatása</t>
  </si>
  <si>
    <t>Tatai Városkapu Zrt. Magyary Zoltán Művelődési Központ támogatása</t>
  </si>
  <si>
    <t>Tatai Városkapu Zrt. Központ támogatása</t>
  </si>
  <si>
    <t>Tatai Városgazda Nonprofit Kft. támogatása</t>
  </si>
  <si>
    <t>Juniorka Alapítványi Bölcsőde támogatása (ellátási szerződés alapján)</t>
  </si>
  <si>
    <t>Juniorka Alapítványi Óvoda támogatása (köznevelési szerződés alapján)</t>
  </si>
  <si>
    <t>Működési célú támogatások államháztartáson kívülre (vissza nem térítendő)</t>
  </si>
  <si>
    <t>Klebelsberg Intézményfenntartó Központ Tatabányai Tankerületi Központjának a Vaszary János Általános Iskola tornatermi ablakai és az alagsori öltözőablakok motoros működtetésére</t>
  </si>
  <si>
    <t>Rendőrségnek</t>
  </si>
  <si>
    <t>Bursa Hungarica ösztöndíjakra</t>
  </si>
  <si>
    <t>Tatai Kistérségi Többcélú Társulásnak támogatás (tagdíj, állami támogatás és önkormányzati támogatás)</t>
  </si>
  <si>
    <t>Működési célú támogatások államháztartáson belülre (vissza nem térítendő)</t>
  </si>
  <si>
    <t>TATA VÁROS ÖNKORMÁNYZATA</t>
  </si>
  <si>
    <t>Tata Város Önkormányzata és a Tatai Közös Önkormányzati Hivatal által adott visszatérítendő és vissza nem térítendő támogatások 2017. évi alakulása (E Ft-ban)</t>
  </si>
  <si>
    <t>KÖZÖS ÖNKORMÁNYZATI HIVATALI TÁMOGATÁSOK ÉS ÁTVETT PÉNZESZKÖZÖK (VISSZATÉRÍTENDŐ ÉS VISSZA NEM TÉRÍTENDŐ) MINDÖSSZESEN:</t>
  </si>
  <si>
    <t>Felhalmozási célú támogatások és átvett pénzeszközök összesen:</t>
  </si>
  <si>
    <t>Működési célú támogatások és átvett pénzeszközök (vissza nem térítendő) összesen:</t>
  </si>
  <si>
    <t>Dunaszentmiklós Önkormányzatától</t>
  </si>
  <si>
    <t>Működési célú támogatások államháztartáson belülről (vissza nem térítendő)</t>
  </si>
  <si>
    <t>Dunaszentmiklós</t>
  </si>
  <si>
    <t>Neszmély Önkormányzatától</t>
  </si>
  <si>
    <t>Neszmély</t>
  </si>
  <si>
    <t>Dunaalmás Önkormányzatától</t>
  </si>
  <si>
    <t>Dunaalmás</t>
  </si>
  <si>
    <t>Munkáltatói kölcsön visszafizetése</t>
  </si>
  <si>
    <t>Felhalmozási célú visszatérítendő támogatások, kölcsönök visszatérülése államháztartáson kívülről</t>
  </si>
  <si>
    <t>Helyi önkormányzati képviselő időközi választásához támogatás</t>
  </si>
  <si>
    <t>Lengyel Nemzetiségi Önkormányzati Képviselő időközi választásához támogatás</t>
  </si>
  <si>
    <t>"Nyári diákmunka" programhoz bérköltség támogatás</t>
  </si>
  <si>
    <t>ÖNKORMÁNYZATI TÁMOGATÁSOK ÉS ÁTVETT PÉNZESZKÖZÖK (VISSZATÉRÍTENDŐ ÉS VISSZA NEM TÉRÍTENDŐ) MINDÖSSZESEN:</t>
  </si>
  <si>
    <t>Felhalmozási célú átvett pénzeszközök államháztartáson kívülről (vissza nem térítendő és visszatérítendő) összesen:</t>
  </si>
  <si>
    <t>Vis major támogatás (kölcsön) visszafizetése</t>
  </si>
  <si>
    <t>Értékvédelmi feladatokra háztartásnak adott kölcsön visszatérülése</t>
  </si>
  <si>
    <t>Kamatmentes lakossági kölcsön visszafizetése</t>
  </si>
  <si>
    <t>Vállalkozástól Ipari Park 20 kW-os energiaellátásához pénzeszközátvétel</t>
  </si>
  <si>
    <t>Felhalmozási célú átvett pénzeszközök államháztartáson kívülről (vissza nem térítendő)</t>
  </si>
  <si>
    <t>Felhalmozási célú támogatások államháztartáson belülről (vissza nem térítendő és visszatérítendő) összesen:</t>
  </si>
  <si>
    <t>A helyi alapanyagokra épülő minőségi étkeztetésért-iskolai konyhák hálózatos fejlesztése Tatán TOP-1.1.3-15-KO1-2016-00002 projekt</t>
  </si>
  <si>
    <t>HM-I. világháborús hadisírok gondozása pályázat bevétele</t>
  </si>
  <si>
    <t>Tata Város Önkormányzat ASP központhoz való csatlakozása KÖFOP-1.2.1-VEKOP-16-2017-01302 projektre</t>
  </si>
  <si>
    <t>A helyi gazdaság erőforrására épülő piac- és agrárlogisztikai fejlesztés Tatán TOP-1.1.3.-15-K01-2016-00003</t>
  </si>
  <si>
    <t>Tatai Kőfaragó-ház kézműves és aktív ökoturisztikai látogatóközpontként való rehabilitációja és a Kálváira-domb egységes turisztikai termékcsomagként való bemutatása TOP-1.2.1-15-KO1-2016-00005 projekt</t>
  </si>
  <si>
    <t>Csillagsziget Bölcsőde felújítása Tatán TOP-1.4.1.-15-K01-2016-00020</t>
  </si>
  <si>
    <t>Tata Építők Parkjában városi zöld infrastruktúra fejlesztés TOP-2.1.2-15-KO1-2016-00002 projekt</t>
  </si>
  <si>
    <t>Tatai malmokat bemutató interaktív park kialakítása TOP-1.2.1.</t>
  </si>
  <si>
    <t>Játékterek HUSK pályázat</t>
  </si>
  <si>
    <t>Építők Parkjában zöld infrastruktúra fejlesztés TOP 2.1.2.-15-K01-2016-00002</t>
  </si>
  <si>
    <t>Tata-Agostyán településrészt összekötő kerékpárút TOP-3.1.1.</t>
  </si>
  <si>
    <t>Kerékpárkölcsönző rendszer és parkoló kiépítése HUSK pályázat</t>
  </si>
  <si>
    <t>Kerékpárút tervezése, kivitelezése HUSK pályázat</t>
  </si>
  <si>
    <t>Ipari Park 20 kW-os energiaellátás – pályázat</t>
  </si>
  <si>
    <t>Kulturális közösségi terek infrastrukturális fejlesztése TOP-7.1.1.-16-CLLD</t>
  </si>
  <si>
    <t>Helyi alapanyagokra épülő minőségi közétkeztetésért – iskolai konyhák hálózatos fejlesztés Tatán TOP-1.1.3.-15-K01-2016-00002</t>
  </si>
  <si>
    <t>A Tatai Kőfaragó-ház kézműves és ökoturisztikai központként való rehabilitációja és a Kálvária domb egységes turisztikai termékcsomagként való bemutatása TOP-1.2.1.-15-K01-2016-00005</t>
  </si>
  <si>
    <t>Felhalmozási célú támogatások államháztartáson belülről (vissza nem térítendő)</t>
  </si>
  <si>
    <t>Működési célú átvett pénzeszköz államháztartáson kívülről (vissza nem térítendő, és visszatérítendő) összesen:</t>
  </si>
  <si>
    <t>Tatai Öreg-tó Kft. Tagi kölcsön visszatérülés</t>
  </si>
  <si>
    <t>Pons Danubii működési támogatás visszatérülés</t>
  </si>
  <si>
    <t>Tata és Környéke Turisztikai Egyesület „Végvárak védelmében” című HUSK/1101/1.7.1/0143</t>
  </si>
  <si>
    <t>Városkapu Közhasznú Zrt. (Tatai Fényes Fürdő Kft.-nek nyújtott kölcsön visszafizetése)</t>
  </si>
  <si>
    <t>Víz-Zene-Virág Fesztivál Egyesületnek nyújtott rövid lejáratú kölcsön visszafizetése</t>
  </si>
  <si>
    <t>Működési célú visszatérítendő támogatások, kölcsönök visszatérülése államháztartáson kívülről</t>
  </si>
  <si>
    <t>Közép- és Kelet-európai Történelem és Társadalom Kutatásáért Közalapítványtól az „Itt élned, halnod kell" Források a tatai 1956-os forradalomhoz Helytörténeti könyv megjelentetése” megnevezésű KKETTKK-56P-01-0269 azonosítószámú pályázatra</t>
  </si>
  <si>
    <t>Működési célú  támogatások államháztartáson kívülről (vissza nem térítendő)</t>
  </si>
  <si>
    <t>Működési célú támogatások államháztartáson belülről (vissza nem térítendő, és visszatérítendő) összesen:</t>
  </si>
  <si>
    <t>Tatai Kistérségi Társulástól 2016 évi normatíva visszafizetés</t>
  </si>
  <si>
    <t>Elvonások és befizetések bevételei teljesítése</t>
  </si>
  <si>
    <t>Bethlen Gábor Alap által utalt összeg</t>
  </si>
  <si>
    <t>Testvérvárosi találkozó Szovátán a Nemzeti Összetartozás Napja alkalmából</t>
  </si>
  <si>
    <t>Megrendelt Erzsébet utalvány (rendszeres gyermekvédelmi támogatás)</t>
  </si>
  <si>
    <t>MVH-tól földalapú támogatás</t>
  </si>
  <si>
    <t>Duna projekt visszatérő forrásokkal kapcsolatos bevétel</t>
  </si>
  <si>
    <t>Munkaügyi Központtól közfoglalkoztatás, téli közfoglalkoztatás, egyéb támogatásra</t>
  </si>
  <si>
    <t>Tatai Kistérségi Többcélú Társulástól (belső ellenőrzéshez, infrastrukturális háttér biztosításához)</t>
  </si>
  <si>
    <t>2017. évi kapott visszatérítendő és vissza nem térítendő támogatások és pénzeszközátvételek alakulása Tata Város Önkormányzatánál és a Tatai Közös Önkormányzati Hivatalnál (E Ft-ban)</t>
  </si>
  <si>
    <t>Mód.(IX.)</t>
  </si>
  <si>
    <t>Önként vállalt feladat</t>
  </si>
  <si>
    <t>IGH feladatkörébe tartozó önként vállalt  feladatok</t>
  </si>
  <si>
    <t>Kötelező összesen</t>
  </si>
  <si>
    <t>IGH feladatkörébe tartozó kötelező feladatok</t>
  </si>
  <si>
    <t>mindösszesen</t>
  </si>
  <si>
    <t>Kvi. alcímek és szakf. Összesen:</t>
  </si>
  <si>
    <t>Egészségügyi Alapellátó Intézmény</t>
  </si>
  <si>
    <t>Könyvtár</t>
  </si>
  <si>
    <t>Iskolák és IGH összesen</t>
  </si>
  <si>
    <t>Intézmények Gazdasági Hivatala</t>
  </si>
  <si>
    <t>Bláthy</t>
  </si>
  <si>
    <t>Mód (XII.)</t>
  </si>
  <si>
    <t>Diákotthon</t>
  </si>
  <si>
    <t>Zeneiskola</t>
  </si>
  <si>
    <t>Kőkúti összesen</t>
  </si>
  <si>
    <t>Kőkúti Általános Iskola - Fazekas U. Tagintézmény</t>
  </si>
  <si>
    <t>Kőkúti Általános Iskola</t>
  </si>
  <si>
    <t>Vaszary összesen</t>
  </si>
  <si>
    <t>Vaszary-Jázmin Tagint.</t>
  </si>
  <si>
    <t>Vaszary - Logopédiai Intézet</t>
  </si>
  <si>
    <t>Vaszary J. Általános Iskola</t>
  </si>
  <si>
    <t>Bölcsöde</t>
  </si>
  <si>
    <t>Bölcsőde</t>
  </si>
  <si>
    <t>Bergengócia Óvoda</t>
  </si>
  <si>
    <t>Kincseskert Óvoda</t>
  </si>
  <si>
    <t>Kertvárosi Óvoda</t>
  </si>
  <si>
    <t>Bartók B. utcai Óvoda</t>
  </si>
  <si>
    <t>Geszti Óvoda</t>
  </si>
  <si>
    <t>Szivárvány Óvoda</t>
  </si>
  <si>
    <t>Fürdő utcai Óvoda</t>
  </si>
  <si>
    <t>M.adókat terhelő jár.</t>
  </si>
  <si>
    <t>Személyi juttatás</t>
  </si>
  <si>
    <t>Saját bevételek</t>
  </si>
  <si>
    <t>Finanszírozás</t>
  </si>
  <si>
    <t>előző évi átvétele</t>
  </si>
  <si>
    <t>pénzforalom nélküli</t>
  </si>
  <si>
    <t>felhalmozási célra</t>
  </si>
  <si>
    <t>működési célra</t>
  </si>
  <si>
    <t>Kiadások összesen</t>
  </si>
  <si>
    <t>Feladat jellege</t>
  </si>
  <si>
    <t>Költségvetési alcím megnevezése</t>
  </si>
  <si>
    <t>Bevételek összesen</t>
  </si>
  <si>
    <t>Pénzmaradvány</t>
  </si>
  <si>
    <t>Támogatásértékű bevétel</t>
  </si>
  <si>
    <t>Átvett pénzeszközök</t>
  </si>
  <si>
    <t>Kártérítés</t>
  </si>
  <si>
    <t>Kamat</t>
  </si>
  <si>
    <t>ÁFA</t>
  </si>
  <si>
    <t>Közvetített szolgáltatás</t>
  </si>
  <si>
    <t>Szolgáltatás</t>
  </si>
  <si>
    <t>Áru és készletértékesítés</t>
  </si>
  <si>
    <t>Intézmények Gazdasági Hivatalához tartozó  önállóan működő intézmények 2017. évi költségvetése</t>
  </si>
  <si>
    <t xml:space="preserve">Intézmények Gazdasági Hivatalához tartozó önállóan működő intézmények 2017. évi költségvetése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</si>
</sst>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;\-#,##0"/>
    <numFmt numFmtId="165" formatCode="0.0"/>
    <numFmt numFmtId="166" formatCode="[$-40E]General"/>
    <numFmt numFmtId="167" formatCode="_-* #,##0.00\ _F_t_-;\-* #,##0.00\ _F_t_-;_-* \-??\ _F_t_-;_-@_-"/>
    <numFmt numFmtId="168" formatCode="#,##0.0"/>
    <numFmt numFmtId="169" formatCode="#,##0_ ;\-#,##0\ "/>
  </numFmts>
  <fonts count="123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color rgb="FF000000"/>
      <name val="Arial CE"/>
      <family val="2"/>
      <charset val="238"/>
    </font>
    <font>
      <sz val="10"/>
      <name val="Times New Roman CE"/>
      <charset val="238"/>
    </font>
    <font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8"/>
      <name val="Arial CE"/>
      <family val="2"/>
      <charset val="238"/>
    </font>
    <font>
      <sz val="9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color indexed="12"/>
      <name val="Times New Roman CE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4"/>
      <name val="Times New Roman CE"/>
      <charset val="238"/>
    </font>
    <font>
      <sz val="10"/>
      <color theme="1"/>
      <name val="Arial CE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Times New Roman"/>
      <family val="1"/>
      <charset val="1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sz val="16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7"/>
      <color indexed="8"/>
      <name val="Times New Roman"/>
      <family val="1"/>
      <charset val="238"/>
    </font>
    <font>
      <sz val="14"/>
      <name val="Arial CE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3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53" fillId="0" borderId="0"/>
    <xf numFmtId="0" fontId="53" fillId="23" borderId="7" applyNumberFormat="0" applyAlignment="0" applyProtection="0"/>
    <xf numFmtId="0" fontId="23" fillId="20" borderId="8" applyNumberFormat="0" applyAlignment="0" applyProtection="0"/>
    <xf numFmtId="0" fontId="5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7" fillId="0" borderId="0"/>
    <xf numFmtId="0" fontId="58" fillId="0" borderId="0"/>
    <xf numFmtId="0" fontId="53" fillId="0" borderId="0"/>
    <xf numFmtId="0" fontId="61" fillId="0" borderId="0"/>
    <xf numFmtId="0" fontId="62" fillId="0" borderId="0"/>
    <xf numFmtId="166" fontId="63" fillId="0" borderId="0"/>
    <xf numFmtId="0" fontId="58" fillId="0" borderId="0"/>
    <xf numFmtId="0" fontId="64" fillId="0" borderId="0"/>
    <xf numFmtId="0" fontId="21" fillId="0" borderId="0"/>
    <xf numFmtId="0" fontId="65" fillId="0" borderId="0" applyNumberFormat="0" applyFill="0" applyBorder="0" applyAlignment="0" applyProtection="0"/>
    <xf numFmtId="167" fontId="53" fillId="0" borderId="0" applyFill="0" applyBorder="0" applyAlignment="0" applyProtection="0"/>
    <xf numFmtId="0" fontId="7" fillId="0" borderId="0"/>
    <xf numFmtId="43" fontId="5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3" fillId="0" borderId="0"/>
    <xf numFmtId="0" fontId="8" fillId="0" borderId="0" applyBorder="0" applyProtection="0"/>
    <xf numFmtId="43" fontId="53" fillId="0" borderId="0" applyFont="0" applyFill="0" applyBorder="0" applyAlignment="0" applyProtection="0"/>
  </cellStyleXfs>
  <cellXfs count="1566">
    <xf numFmtId="0" fontId="0" fillId="0" borderId="0" xfId="0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34" fillId="0" borderId="0" xfId="45" applyFont="1" applyAlignment="1">
      <alignment wrapText="1"/>
    </xf>
    <xf numFmtId="0" fontId="34" fillId="0" borderId="0" xfId="45" applyFont="1"/>
    <xf numFmtId="0" fontId="27" fillId="0" borderId="0" xfId="45" applyFont="1"/>
    <xf numFmtId="0" fontId="28" fillId="0" borderId="0" xfId="45" applyFont="1"/>
    <xf numFmtId="0" fontId="27" fillId="0" borderId="0" xfId="45" applyFont="1" applyBorder="1"/>
    <xf numFmtId="0" fontId="34" fillId="0" borderId="0" xfId="48" applyFont="1" applyAlignment="1">
      <alignment wrapText="1"/>
    </xf>
    <xf numFmtId="0" fontId="34" fillId="0" borderId="0" xfId="48" applyFont="1"/>
    <xf numFmtId="0" fontId="34" fillId="0" borderId="0" xfId="45" applyFont="1" applyBorder="1"/>
    <xf numFmtId="0" fontId="32" fillId="0" borderId="0" xfId="45" applyFont="1" applyAlignment="1">
      <alignment horizontal="center" wrapText="1"/>
    </xf>
    <xf numFmtId="0" fontId="32" fillId="0" borderId="11" xfId="45" applyFont="1" applyBorder="1" applyAlignment="1">
      <alignment horizontal="center" wrapText="1"/>
    </xf>
    <xf numFmtId="49" fontId="34" fillId="0" borderId="12" xfId="45" applyNumberFormat="1" applyFont="1" applyBorder="1" applyAlignment="1">
      <alignment wrapText="1"/>
    </xf>
    <xf numFmtId="0" fontId="32" fillId="0" borderId="0" xfId="45" applyFont="1" applyBorder="1" applyAlignment="1">
      <alignment wrapText="1"/>
    </xf>
    <xf numFmtId="0" fontId="32" fillId="0" borderId="11" xfId="45" applyFont="1" applyBorder="1" applyAlignment="1">
      <alignment wrapText="1"/>
    </xf>
    <xf numFmtId="3" fontId="32" fillId="0" borderId="0" xfId="45" applyNumberFormat="1" applyFont="1" applyBorder="1"/>
    <xf numFmtId="0" fontId="39" fillId="0" borderId="0" xfId="45" applyFont="1" applyAlignment="1">
      <alignment wrapText="1"/>
    </xf>
    <xf numFmtId="3" fontId="39" fillId="0" borderId="0" xfId="45" applyNumberFormat="1" applyFont="1" applyAlignment="1"/>
    <xf numFmtId="3" fontId="39" fillId="0" borderId="0" xfId="45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1" fillId="0" borderId="0" xfId="0" applyFont="1"/>
    <xf numFmtId="0" fontId="31" fillId="0" borderId="0" xfId="0" applyFont="1" applyBorder="1"/>
    <xf numFmtId="0" fontId="33" fillId="0" borderId="0" xfId="0" applyFont="1" applyAlignment="1">
      <alignment horizontal="center"/>
    </xf>
    <xf numFmtId="0" fontId="31" fillId="0" borderId="13" xfId="0" applyFont="1" applyBorder="1"/>
    <xf numFmtId="0" fontId="31" fillId="0" borderId="10" xfId="0" applyFont="1" applyBorder="1"/>
    <xf numFmtId="0" fontId="31" fillId="0" borderId="14" xfId="0" applyFont="1" applyBorder="1"/>
    <xf numFmtId="0" fontId="33" fillId="0" borderId="13" xfId="0" applyFont="1" applyBorder="1"/>
    <xf numFmtId="0" fontId="33" fillId="0" borderId="0" xfId="0" applyFont="1" applyBorder="1"/>
    <xf numFmtId="0" fontId="33" fillId="0" borderId="0" xfId="0" applyFont="1"/>
    <xf numFmtId="0" fontId="45" fillId="0" borderId="0" xfId="0" applyFont="1"/>
    <xf numFmtId="0" fontId="37" fillId="0" borderId="0" xfId="0" applyFont="1"/>
    <xf numFmtId="0" fontId="38" fillId="0" borderId="0" xfId="0" applyFont="1"/>
    <xf numFmtId="0" fontId="30" fillId="0" borderId="0" xfId="0" applyFont="1"/>
    <xf numFmtId="0" fontId="46" fillId="0" borderId="0" xfId="0" applyFont="1"/>
    <xf numFmtId="0" fontId="41" fillId="0" borderId="0" xfId="0" applyFont="1" applyAlignment="1">
      <alignment horizontal="justify"/>
    </xf>
    <xf numFmtId="165" fontId="45" fillId="0" borderId="0" xfId="0" applyNumberFormat="1" applyFont="1"/>
    <xf numFmtId="0" fontId="49" fillId="0" borderId="0" xfId="0" applyFont="1" applyAlignment="1">
      <alignment horizontal="justify"/>
    </xf>
    <xf numFmtId="0" fontId="50" fillId="0" borderId="0" xfId="44" applyFont="1"/>
    <xf numFmtId="0" fontId="49" fillId="0" borderId="0" xfId="44" applyFont="1"/>
    <xf numFmtId="0" fontId="51" fillId="0" borderId="0" xfId="44" applyFont="1"/>
    <xf numFmtId="3" fontId="38" fillId="0" borderId="0" xfId="47" applyNumberFormat="1" applyFont="1" applyAlignment="1">
      <alignment wrapText="1"/>
    </xf>
    <xf numFmtId="3" fontId="38" fillId="0" borderId="0" xfId="47" applyNumberFormat="1" applyFont="1"/>
    <xf numFmtId="0" fontId="38" fillId="0" borderId="0" xfId="47" applyFont="1"/>
    <xf numFmtId="0" fontId="52" fillId="0" borderId="0" xfId="47" applyFont="1"/>
    <xf numFmtId="0" fontId="37" fillId="0" borderId="0" xfId="47" applyFont="1"/>
    <xf numFmtId="3" fontId="32" fillId="0" borderId="11" xfId="45" applyNumberFormat="1" applyFont="1" applyBorder="1"/>
    <xf numFmtId="0" fontId="59" fillId="0" borderId="13" xfId="45" applyFont="1" applyBorder="1" applyAlignment="1">
      <alignment horizontal="left" wrapText="1"/>
    </xf>
    <xf numFmtId="49" fontId="32" fillId="0" borderId="17" xfId="45" applyNumberFormat="1" applyFont="1" applyBorder="1" applyAlignment="1">
      <alignment wrapText="1"/>
    </xf>
    <xf numFmtId="49" fontId="34" fillId="0" borderId="17" xfId="45" applyNumberFormat="1" applyFont="1" applyBorder="1" applyAlignment="1">
      <alignment wrapText="1"/>
    </xf>
    <xf numFmtId="0" fontId="32" fillId="0" borderId="17" xfId="45" applyFont="1" applyBorder="1" applyAlignment="1">
      <alignment wrapText="1"/>
    </xf>
    <xf numFmtId="0" fontId="34" fillId="0" borderId="17" xfId="45" applyFont="1" applyBorder="1" applyAlignment="1">
      <alignment wrapText="1"/>
    </xf>
    <xf numFmtId="0" fontId="34" fillId="0" borderId="17" xfId="48" applyFont="1" applyBorder="1" applyAlignment="1">
      <alignment wrapText="1"/>
    </xf>
    <xf numFmtId="0" fontId="35" fillId="0" borderId="17" xfId="46" applyFont="1" applyBorder="1" applyAlignment="1">
      <alignment wrapText="1"/>
    </xf>
    <xf numFmtId="49" fontId="34" fillId="0" borderId="19" xfId="45" applyNumberFormat="1" applyFont="1" applyBorder="1" applyAlignment="1">
      <alignment wrapText="1"/>
    </xf>
    <xf numFmtId="0" fontId="59" fillId="0" borderId="19" xfId="45" applyFont="1" applyBorder="1" applyAlignment="1">
      <alignment wrapText="1"/>
    </xf>
    <xf numFmtId="0" fontId="39" fillId="0" borderId="0" xfId="45" applyFont="1" applyBorder="1" applyAlignment="1">
      <alignment wrapText="1"/>
    </xf>
    <xf numFmtId="0" fontId="60" fillId="0" borderId="0" xfId="48" applyFont="1" applyAlignment="1">
      <alignment wrapText="1"/>
    </xf>
    <xf numFmtId="3" fontId="60" fillId="0" borderId="0" xfId="48" applyNumberFormat="1" applyFont="1"/>
    <xf numFmtId="0" fontId="60" fillId="0" borderId="0" xfId="45" applyFont="1" applyAlignment="1">
      <alignment wrapText="1"/>
    </xf>
    <xf numFmtId="0" fontId="60" fillId="0" borderId="0" xfId="45" applyFont="1"/>
    <xf numFmtId="0" fontId="54" fillId="0" borderId="0" xfId="45" applyFont="1"/>
    <xf numFmtId="3" fontId="60" fillId="0" borderId="0" xfId="45" applyNumberFormat="1" applyFont="1"/>
    <xf numFmtId="0" fontId="54" fillId="0" borderId="0" xfId="0" applyFont="1"/>
    <xf numFmtId="3" fontId="54" fillId="0" borderId="0" xfId="0" applyNumberFormat="1" applyFont="1"/>
    <xf numFmtId="49" fontId="32" fillId="0" borderId="18" xfId="45" applyNumberFormat="1" applyFont="1" applyBorder="1" applyAlignment="1">
      <alignment wrapText="1"/>
    </xf>
    <xf numFmtId="0" fontId="32" fillId="0" borderId="18" xfId="45" applyFont="1" applyBorder="1" applyAlignment="1">
      <alignment horizontal="left" wrapText="1"/>
    </xf>
    <xf numFmtId="0" fontId="32" fillId="0" borderId="21" xfId="45" applyFont="1" applyBorder="1" applyAlignment="1">
      <alignment wrapText="1"/>
    </xf>
    <xf numFmtId="3" fontId="33" fillId="0" borderId="18" xfId="0" applyNumberFormat="1" applyFont="1" applyBorder="1"/>
    <xf numFmtId="0" fontId="32" fillId="0" borderId="21" xfId="45" applyFont="1" applyBorder="1" applyAlignment="1">
      <alignment horizontal="center" wrapText="1"/>
    </xf>
    <xf numFmtId="0" fontId="28" fillId="0" borderId="24" xfId="0" applyFont="1" applyBorder="1" applyAlignment="1"/>
    <xf numFmtId="3" fontId="34" fillId="0" borderId="26" xfId="45" applyNumberFormat="1" applyFont="1" applyBorder="1"/>
    <xf numFmtId="3" fontId="38" fillId="0" borderId="23" xfId="0" applyNumberFormat="1" applyFont="1" applyBorder="1" applyAlignment="1">
      <alignment wrapText="1"/>
    </xf>
    <xf numFmtId="0" fontId="28" fillId="0" borderId="28" xfId="0" applyFont="1" applyBorder="1"/>
    <xf numFmtId="3" fontId="37" fillId="0" borderId="29" xfId="47" applyNumberFormat="1" applyFont="1" applyBorder="1" applyAlignment="1">
      <alignment wrapText="1"/>
    </xf>
    <xf numFmtId="3" fontId="37" fillId="0" borderId="29" xfId="47" applyNumberFormat="1" applyFont="1" applyBorder="1"/>
    <xf numFmtId="0" fontId="32" fillId="0" borderId="30" xfId="45" applyFont="1" applyBorder="1" applyAlignment="1">
      <alignment horizontal="center"/>
    </xf>
    <xf numFmtId="0" fontId="60" fillId="0" borderId="32" xfId="45" applyFont="1" applyBorder="1" applyAlignment="1">
      <alignment horizontal="left" wrapText="1"/>
    </xf>
    <xf numFmtId="49" fontId="32" fillId="0" borderId="26" xfId="45" applyNumberFormat="1" applyFont="1" applyBorder="1" applyAlignment="1">
      <alignment wrapText="1"/>
    </xf>
    <xf numFmtId="49" fontId="34" fillId="0" borderId="26" xfId="45" applyNumberFormat="1" applyFont="1" applyBorder="1" applyAlignment="1">
      <alignment wrapText="1"/>
    </xf>
    <xf numFmtId="49" fontId="32" fillId="0" borderId="30" xfId="45" applyNumberFormat="1" applyFont="1" applyBorder="1" applyAlignment="1">
      <alignment wrapText="1"/>
    </xf>
    <xf numFmtId="3" fontId="32" fillId="0" borderId="30" xfId="45" applyNumberFormat="1" applyFont="1" applyBorder="1"/>
    <xf numFmtId="49" fontId="32" fillId="0" borderId="32" xfId="45" applyNumberFormat="1" applyFont="1" applyBorder="1" applyAlignment="1">
      <alignment wrapText="1"/>
    </xf>
    <xf numFmtId="3" fontId="32" fillId="0" borderId="32" xfId="45" applyNumberFormat="1" applyFont="1" applyBorder="1"/>
    <xf numFmtId="3" fontId="32" fillId="0" borderId="26" xfId="45" applyNumberFormat="1" applyFont="1" applyBorder="1"/>
    <xf numFmtId="0" fontId="32" fillId="0" borderId="30" xfId="45" applyFont="1" applyBorder="1" applyAlignment="1">
      <alignment wrapText="1"/>
    </xf>
    <xf numFmtId="3" fontId="33" fillId="0" borderId="23" xfId="0" applyNumberFormat="1" applyFont="1" applyBorder="1"/>
    <xf numFmtId="0" fontId="49" fillId="24" borderId="0" xfId="44" applyFont="1" applyFill="1"/>
    <xf numFmtId="0" fontId="70" fillId="0" borderId="0" xfId="0" applyFont="1"/>
    <xf numFmtId="0" fontId="32" fillId="0" borderId="30" xfId="45" applyFont="1" applyBorder="1" applyAlignment="1">
      <alignment horizontal="center"/>
    </xf>
    <xf numFmtId="3" fontId="32" fillId="0" borderId="12" xfId="45" applyNumberFormat="1" applyFont="1" applyBorder="1"/>
    <xf numFmtId="3" fontId="32" fillId="0" borderId="30" xfId="48" applyNumberFormat="1" applyFont="1" applyBorder="1"/>
    <xf numFmtId="3" fontId="59" fillId="0" borderId="26" xfId="45" applyNumberFormat="1" applyFont="1" applyBorder="1"/>
    <xf numFmtId="0" fontId="32" fillId="0" borderId="35" xfId="45" applyFont="1" applyBorder="1" applyAlignment="1">
      <alignment horizontal="center" wrapText="1"/>
    </xf>
    <xf numFmtId="0" fontId="32" fillId="0" borderId="37" xfId="45" applyFont="1" applyBorder="1" applyAlignment="1">
      <alignment horizontal="center" wrapText="1"/>
    </xf>
    <xf numFmtId="0" fontId="32" fillId="0" borderId="27" xfId="45" applyFont="1" applyBorder="1" applyAlignment="1">
      <alignment horizontal="center" wrapText="1"/>
    </xf>
    <xf numFmtId="0" fontId="32" fillId="0" borderId="27" xfId="45" applyFont="1" applyBorder="1" applyAlignment="1">
      <alignment wrapText="1"/>
    </xf>
    <xf numFmtId="0" fontId="32" fillId="0" borderId="27" xfId="45" applyFont="1" applyBorder="1" applyAlignment="1">
      <alignment horizontal="left" wrapText="1"/>
    </xf>
    <xf numFmtId="0" fontId="34" fillId="0" borderId="27" xfId="45" applyFont="1" applyBorder="1" applyAlignment="1">
      <alignment wrapText="1"/>
    </xf>
    <xf numFmtId="0" fontId="32" fillId="0" borderId="31" xfId="45" applyFont="1" applyBorder="1" applyAlignment="1">
      <alignment wrapText="1"/>
    </xf>
    <xf numFmtId="10" fontId="59" fillId="0" borderId="36" xfId="45" applyNumberFormat="1" applyFont="1" applyBorder="1" applyAlignment="1">
      <alignment wrapText="1"/>
    </xf>
    <xf numFmtId="10" fontId="59" fillId="0" borderId="27" xfId="45" applyNumberFormat="1" applyFont="1" applyBorder="1" applyAlignment="1">
      <alignment wrapText="1"/>
    </xf>
    <xf numFmtId="10" fontId="32" fillId="0" borderId="27" xfId="45" applyNumberFormat="1" applyFont="1" applyBorder="1" applyAlignment="1">
      <alignment wrapText="1"/>
    </xf>
    <xf numFmtId="10" fontId="31" fillId="0" borderId="38" xfId="0" applyNumberFormat="1" applyFont="1" applyBorder="1"/>
    <xf numFmtId="0" fontId="32" fillId="0" borderId="35" xfId="45" applyFont="1" applyBorder="1" applyAlignment="1">
      <alignment wrapText="1"/>
    </xf>
    <xf numFmtId="0" fontId="32" fillId="0" borderId="11" xfId="45" applyFont="1" applyBorder="1" applyAlignment="1">
      <alignment horizontal="center"/>
    </xf>
    <xf numFmtId="0" fontId="32" fillId="0" borderId="32" xfId="45" applyFont="1" applyBorder="1" applyAlignment="1">
      <alignment horizontal="center"/>
    </xf>
    <xf numFmtId="0" fontId="32" fillId="0" borderId="26" xfId="45" applyFont="1" applyBorder="1" applyAlignment="1">
      <alignment horizontal="center"/>
    </xf>
    <xf numFmtId="3" fontId="32" fillId="0" borderId="13" xfId="45" applyNumberFormat="1" applyFont="1" applyBorder="1"/>
    <xf numFmtId="3" fontId="41" fillId="0" borderId="25" xfId="0" applyNumberFormat="1" applyFont="1" applyBorder="1" applyAlignment="1">
      <alignment horizontal="right" vertical="center" wrapText="1"/>
    </xf>
    <xf numFmtId="0" fontId="41" fillId="0" borderId="12" xfId="0" applyFont="1" applyBorder="1" applyAlignment="1">
      <alignment horizontal="left" vertical="center"/>
    </xf>
    <xf numFmtId="0" fontId="41" fillId="0" borderId="26" xfId="0" applyFont="1" applyBorder="1" applyAlignment="1">
      <alignment wrapText="1"/>
    </xf>
    <xf numFmtId="0" fontId="40" fillId="0" borderId="26" xfId="0" applyFont="1" applyBorder="1" applyAlignment="1"/>
    <xf numFmtId="0" fontId="41" fillId="0" borderId="26" xfId="0" applyFont="1" applyBorder="1" applyAlignment="1"/>
    <xf numFmtId="0" fontId="40" fillId="0" borderId="26" xfId="0" applyFont="1" applyBorder="1" applyAlignment="1">
      <alignment wrapText="1"/>
    </xf>
    <xf numFmtId="0" fontId="40" fillId="0" borderId="26" xfId="0" applyFont="1" applyBorder="1" applyAlignment="1">
      <alignment shrinkToFit="1"/>
    </xf>
    <xf numFmtId="3" fontId="41" fillId="0" borderId="26" xfId="0" applyNumberFormat="1" applyFont="1" applyBorder="1" applyAlignment="1">
      <alignment shrinkToFit="1"/>
    </xf>
    <xf numFmtId="3" fontId="40" fillId="0" borderId="26" xfId="0" applyNumberFormat="1" applyFont="1" applyBorder="1" applyAlignment="1">
      <alignment shrinkToFit="1"/>
    </xf>
    <xf numFmtId="3" fontId="33" fillId="0" borderId="33" xfId="0" applyNumberFormat="1" applyFont="1" applyBorder="1" applyAlignment="1">
      <alignment wrapText="1"/>
    </xf>
    <xf numFmtId="3" fontId="33" fillId="0" borderId="34" xfId="0" applyNumberFormat="1" applyFont="1" applyBorder="1" applyAlignment="1">
      <alignment wrapText="1"/>
    </xf>
    <xf numFmtId="164" fontId="33" fillId="0" borderId="34" xfId="0" applyNumberFormat="1" applyFont="1" applyBorder="1" applyAlignment="1">
      <alignment wrapText="1"/>
    </xf>
    <xf numFmtId="3" fontId="31" fillId="0" borderId="34" xfId="0" applyNumberFormat="1" applyFont="1" applyBorder="1" applyAlignment="1">
      <alignment wrapText="1"/>
    </xf>
    <xf numFmtId="0" fontId="31" fillId="0" borderId="34" xfId="0" applyFont="1" applyBorder="1"/>
    <xf numFmtId="3" fontId="33" fillId="0" borderId="30" xfId="0" applyNumberFormat="1" applyFont="1" applyBorder="1" applyAlignment="1">
      <alignment horizontal="center" wrapText="1"/>
    </xf>
    <xf numFmtId="164" fontId="33" fillId="0" borderId="20" xfId="0" applyNumberFormat="1" applyFont="1" applyBorder="1" applyAlignment="1">
      <alignment wrapText="1"/>
    </xf>
    <xf numFmtId="3" fontId="33" fillId="0" borderId="35" xfId="0" applyNumberFormat="1" applyFont="1" applyBorder="1" applyAlignment="1">
      <alignment horizontal="center" wrapText="1"/>
    </xf>
    <xf numFmtId="0" fontId="46" fillId="0" borderId="16" xfId="0" applyFont="1" applyBorder="1"/>
    <xf numFmtId="0" fontId="45" fillId="0" borderId="42" xfId="0" applyFont="1" applyBorder="1"/>
    <xf numFmtId="0" fontId="46" fillId="0" borderId="43" xfId="0" applyFont="1" applyBorder="1" applyAlignment="1">
      <alignment horizontal="center" vertical="center"/>
    </xf>
    <xf numFmtId="3" fontId="72" fillId="0" borderId="44" xfId="64" applyNumberFormat="1" applyFont="1" applyBorder="1" applyAlignment="1">
      <alignment horizontal="center" vertical="center"/>
    </xf>
    <xf numFmtId="2" fontId="46" fillId="0" borderId="45" xfId="0" applyNumberFormat="1" applyFont="1" applyBorder="1" applyAlignment="1">
      <alignment horizontal="center"/>
    </xf>
    <xf numFmtId="3" fontId="67" fillId="0" borderId="0" xfId="0" applyNumberFormat="1" applyFont="1" applyBorder="1" applyAlignment="1">
      <alignment wrapText="1"/>
    </xf>
    <xf numFmtId="3" fontId="67" fillId="0" borderId="0" xfId="0" applyNumberFormat="1" applyFont="1" applyBorder="1"/>
    <xf numFmtId="3" fontId="66" fillId="0" borderId="40" xfId="0" applyNumberFormat="1" applyFont="1" applyBorder="1"/>
    <xf numFmtId="3" fontId="68" fillId="0" borderId="40" xfId="0" applyNumberFormat="1" applyFont="1" applyBorder="1"/>
    <xf numFmtId="3" fontId="67" fillId="0" borderId="40" xfId="0" applyNumberFormat="1" applyFont="1" applyBorder="1"/>
    <xf numFmtId="3" fontId="67" fillId="26" borderId="40" xfId="0" applyNumberFormat="1" applyFont="1" applyFill="1" applyBorder="1"/>
    <xf numFmtId="3" fontId="67" fillId="24" borderId="40" xfId="0" applyNumberFormat="1" applyFont="1" applyFill="1" applyBorder="1"/>
    <xf numFmtId="3" fontId="67" fillId="25" borderId="40" xfId="0" applyNumberFormat="1" applyFont="1" applyFill="1" applyBorder="1"/>
    <xf numFmtId="0" fontId="40" fillId="0" borderId="46" xfId="0" applyFont="1" applyBorder="1" applyAlignment="1">
      <alignment wrapText="1"/>
    </xf>
    <xf numFmtId="3" fontId="40" fillId="0" borderId="48" xfId="0" applyNumberFormat="1" applyFont="1" applyBorder="1"/>
    <xf numFmtId="3" fontId="41" fillId="0" borderId="48" xfId="0" applyNumberFormat="1" applyFont="1" applyBorder="1"/>
    <xf numFmtId="3" fontId="41" fillId="0" borderId="48" xfId="0" applyNumberFormat="1" applyFont="1" applyBorder="1" applyAlignment="1">
      <alignment horizontal="right" vertical="center" wrapText="1"/>
    </xf>
    <xf numFmtId="0" fontId="40" fillId="0" borderId="46" xfId="0" applyFont="1" applyBorder="1" applyAlignment="1"/>
    <xf numFmtId="3" fontId="41" fillId="0" borderId="46" xfId="0" applyNumberFormat="1" applyFont="1" applyBorder="1" applyAlignment="1">
      <alignment shrinkToFit="1"/>
    </xf>
    <xf numFmtId="0" fontId="31" fillId="0" borderId="49" xfId="0" applyFont="1" applyBorder="1"/>
    <xf numFmtId="49" fontId="34" fillId="0" borderId="50" xfId="45" applyNumberFormat="1" applyFont="1" applyBorder="1" applyAlignment="1">
      <alignment wrapText="1"/>
    </xf>
    <xf numFmtId="3" fontId="34" fillId="0" borderId="46" xfId="45" applyNumberFormat="1" applyFont="1" applyBorder="1"/>
    <xf numFmtId="0" fontId="35" fillId="0" borderId="50" xfId="46" applyFont="1" applyBorder="1" applyAlignment="1">
      <alignment wrapText="1"/>
    </xf>
    <xf numFmtId="3" fontId="34" fillId="0" borderId="22" xfId="45" applyNumberFormat="1" applyFont="1" applyBorder="1"/>
    <xf numFmtId="3" fontId="34" fillId="0" borderId="53" xfId="45" applyNumberFormat="1" applyFont="1" applyBorder="1"/>
    <xf numFmtId="0" fontId="34" fillId="0" borderId="50" xfId="45" applyFont="1" applyBorder="1" applyAlignment="1">
      <alignment wrapText="1"/>
    </xf>
    <xf numFmtId="0" fontId="27" fillId="0" borderId="33" xfId="45" applyFont="1" applyBorder="1"/>
    <xf numFmtId="49" fontId="34" fillId="0" borderId="54" xfId="45" applyNumberFormat="1" applyFont="1" applyBorder="1" applyAlignment="1">
      <alignment wrapText="1"/>
    </xf>
    <xf numFmtId="3" fontId="34" fillId="0" borderId="55" xfId="45" applyNumberFormat="1" applyFont="1" applyBorder="1"/>
    <xf numFmtId="0" fontId="34" fillId="0" borderId="54" xfId="45" applyFont="1" applyBorder="1" applyAlignment="1">
      <alignment wrapText="1"/>
    </xf>
    <xf numFmtId="0" fontId="27" fillId="0" borderId="56" xfId="45" applyFont="1" applyBorder="1"/>
    <xf numFmtId="3" fontId="38" fillId="0" borderId="12" xfId="0" applyNumberFormat="1" applyFont="1" applyBorder="1" applyAlignment="1">
      <alignment wrapText="1"/>
    </xf>
    <xf numFmtId="49" fontId="34" fillId="0" borderId="46" xfId="45" applyNumberFormat="1" applyFont="1" applyBorder="1" applyAlignment="1">
      <alignment wrapText="1"/>
    </xf>
    <xf numFmtId="3" fontId="38" fillId="0" borderId="46" xfId="0" applyNumberFormat="1" applyFont="1" applyBorder="1" applyAlignment="1">
      <alignment wrapText="1"/>
    </xf>
    <xf numFmtId="3" fontId="38" fillId="0" borderId="58" xfId="0" applyNumberFormat="1" applyFont="1" applyBorder="1" applyAlignment="1">
      <alignment wrapText="1"/>
    </xf>
    <xf numFmtId="0" fontId="32" fillId="0" borderId="30" xfId="48" applyFont="1" applyBorder="1" applyAlignment="1">
      <alignment wrapText="1"/>
    </xf>
    <xf numFmtId="0" fontId="32" fillId="0" borderId="31" xfId="48" applyFont="1" applyBorder="1" applyAlignment="1">
      <alignment wrapText="1"/>
    </xf>
    <xf numFmtId="3" fontId="32" fillId="0" borderId="21" xfId="45" applyNumberFormat="1" applyFont="1" applyBorder="1"/>
    <xf numFmtId="3" fontId="32" fillId="0" borderId="21" xfId="48" applyNumberFormat="1" applyFont="1" applyBorder="1"/>
    <xf numFmtId="3" fontId="34" fillId="0" borderId="50" xfId="45" applyNumberFormat="1" applyFont="1" applyBorder="1"/>
    <xf numFmtId="3" fontId="32" fillId="0" borderId="46" xfId="45" applyNumberFormat="1" applyFont="1" applyBorder="1"/>
    <xf numFmtId="3" fontId="35" fillId="0" borderId="46" xfId="46" applyNumberFormat="1" applyFont="1" applyBorder="1"/>
    <xf numFmtId="3" fontId="36" fillId="0" borderId="46" xfId="45" applyNumberFormat="1" applyFont="1" applyBorder="1"/>
    <xf numFmtId="3" fontId="32" fillId="0" borderId="21" xfId="0" applyNumberFormat="1" applyFont="1" applyBorder="1" applyAlignment="1">
      <alignment horizontal="center" vertical="center" wrapText="1"/>
    </xf>
    <xf numFmtId="3" fontId="32" fillId="0" borderId="18" xfId="45" applyNumberFormat="1" applyFont="1" applyBorder="1"/>
    <xf numFmtId="3" fontId="32" fillId="0" borderId="50" xfId="45" applyNumberFormat="1" applyFont="1" applyBorder="1"/>
    <xf numFmtId="3" fontId="35" fillId="0" borderId="50" xfId="46" applyNumberFormat="1" applyFont="1" applyBorder="1"/>
    <xf numFmtId="3" fontId="36" fillId="0" borderId="50" xfId="45" applyNumberFormat="1" applyFont="1" applyBorder="1"/>
    <xf numFmtId="3" fontId="34" fillId="0" borderId="54" xfId="45" applyNumberFormat="1" applyFont="1" applyBorder="1"/>
    <xf numFmtId="3" fontId="59" fillId="0" borderId="18" xfId="45" applyNumberFormat="1" applyFont="1" applyBorder="1"/>
    <xf numFmtId="3" fontId="59" fillId="0" borderId="50" xfId="45" applyNumberFormat="1" applyFont="1" applyBorder="1"/>
    <xf numFmtId="3" fontId="59" fillId="0" borderId="53" xfId="45" applyNumberFormat="1" applyFont="1" applyBorder="1"/>
    <xf numFmtId="3" fontId="34" fillId="0" borderId="32" xfId="45" applyNumberFormat="1" applyFont="1" applyBorder="1"/>
    <xf numFmtId="0" fontId="34" fillId="0" borderId="46" xfId="45" applyFont="1" applyBorder="1"/>
    <xf numFmtId="3" fontId="34" fillId="0" borderId="58" xfId="45" applyNumberFormat="1" applyFont="1" applyBorder="1"/>
    <xf numFmtId="0" fontId="32" fillId="0" borderId="21" xfId="45" applyFont="1" applyBorder="1" applyAlignment="1">
      <alignment horizontal="center"/>
    </xf>
    <xf numFmtId="0" fontId="32" fillId="0" borderId="22" xfId="45" applyFont="1" applyBorder="1" applyAlignment="1">
      <alignment horizontal="center"/>
    </xf>
    <xf numFmtId="0" fontId="32" fillId="0" borderId="50" xfId="45" applyFont="1" applyBorder="1" applyAlignment="1">
      <alignment horizontal="center"/>
    </xf>
    <xf numFmtId="3" fontId="32" fillId="0" borderId="22" xfId="45" applyNumberFormat="1" applyFont="1" applyBorder="1"/>
    <xf numFmtId="3" fontId="32" fillId="0" borderId="51" xfId="45" applyNumberFormat="1" applyFont="1" applyBorder="1"/>
    <xf numFmtId="3" fontId="32" fillId="0" borderId="52" xfId="45" applyNumberFormat="1" applyFont="1" applyBorder="1"/>
    <xf numFmtId="0" fontId="59" fillId="0" borderId="33" xfId="45" applyFont="1" applyBorder="1" applyAlignment="1">
      <alignment wrapText="1"/>
    </xf>
    <xf numFmtId="0" fontId="59" fillId="0" borderId="49" xfId="45" applyFont="1" applyBorder="1" applyAlignment="1">
      <alignment wrapText="1"/>
    </xf>
    <xf numFmtId="0" fontId="59" fillId="0" borderId="60" xfId="45" applyFont="1" applyBorder="1" applyAlignment="1">
      <alignment wrapText="1"/>
    </xf>
    <xf numFmtId="3" fontId="59" fillId="0" borderId="22" xfId="45" applyNumberFormat="1" applyFont="1" applyBorder="1"/>
    <xf numFmtId="0" fontId="32" fillId="0" borderId="35" xfId="45" applyFont="1" applyBorder="1" applyAlignment="1">
      <alignment horizontal="center"/>
    </xf>
    <xf numFmtId="0" fontId="28" fillId="0" borderId="57" xfId="0" applyFont="1" applyBorder="1"/>
    <xf numFmtId="0" fontId="27" fillId="0" borderId="57" xfId="0" applyFont="1" applyBorder="1"/>
    <xf numFmtId="0" fontId="27" fillId="0" borderId="57" xfId="0" applyFont="1" applyBorder="1" applyAlignment="1">
      <alignment horizontal="left" wrapText="1"/>
    </xf>
    <xf numFmtId="0" fontId="33" fillId="0" borderId="57" xfId="0" applyFont="1" applyBorder="1"/>
    <xf numFmtId="3" fontId="34" fillId="0" borderId="62" xfId="45" applyNumberFormat="1" applyFont="1" applyBorder="1"/>
    <xf numFmtId="3" fontId="34" fillId="0" borderId="59" xfId="45" applyNumberFormat="1" applyFont="1" applyBorder="1"/>
    <xf numFmtId="3" fontId="34" fillId="0" borderId="63" xfId="45" applyNumberFormat="1" applyFont="1" applyBorder="1"/>
    <xf numFmtId="0" fontId="41" fillId="0" borderId="21" xfId="0" applyFont="1" applyBorder="1" applyAlignment="1">
      <alignment horizontal="center"/>
    </xf>
    <xf numFmtId="0" fontId="44" fillId="0" borderId="21" xfId="0" applyFont="1" applyBorder="1" applyAlignment="1">
      <alignment horizontal="center" vertical="center" wrapText="1"/>
    </xf>
    <xf numFmtId="3" fontId="33" fillId="0" borderId="22" xfId="0" applyNumberFormat="1" applyFont="1" applyBorder="1" applyAlignment="1">
      <alignment wrapText="1"/>
    </xf>
    <xf numFmtId="3" fontId="33" fillId="0" borderId="62" xfId="0" applyNumberFormat="1" applyFont="1" applyBorder="1" applyAlignment="1">
      <alignment wrapText="1"/>
    </xf>
    <xf numFmtId="164" fontId="33" fillId="0" borderId="62" xfId="0" applyNumberFormat="1" applyFont="1" applyBorder="1" applyAlignment="1">
      <alignment wrapText="1"/>
    </xf>
    <xf numFmtId="0" fontId="70" fillId="0" borderId="0" xfId="0" applyFont="1" applyAlignment="1">
      <alignment vertical="center"/>
    </xf>
    <xf numFmtId="0" fontId="55" fillId="0" borderId="13" xfId="0" applyFont="1" applyBorder="1"/>
    <xf numFmtId="0" fontId="55" fillId="0" borderId="0" xfId="0" applyFont="1" applyBorder="1"/>
    <xf numFmtId="3" fontId="56" fillId="0" borderId="34" xfId="0" applyNumberFormat="1" applyFont="1" applyBorder="1" applyAlignment="1">
      <alignment wrapText="1"/>
    </xf>
    <xf numFmtId="3" fontId="55" fillId="0" borderId="23" xfId="0" applyNumberFormat="1" applyFont="1" applyBorder="1"/>
    <xf numFmtId="0" fontId="55" fillId="0" borderId="0" xfId="0" applyFont="1"/>
    <xf numFmtId="0" fontId="56" fillId="0" borderId="0" xfId="0" applyFont="1" applyBorder="1"/>
    <xf numFmtId="0" fontId="56" fillId="0" borderId="0" xfId="0" applyFont="1"/>
    <xf numFmtId="3" fontId="55" fillId="0" borderId="34" xfId="0" applyNumberFormat="1" applyFont="1" applyBorder="1" applyAlignment="1">
      <alignment wrapText="1"/>
    </xf>
    <xf numFmtId="0" fontId="40" fillId="0" borderId="26" xfId="0" applyFont="1" applyBorder="1" applyAlignment="1">
      <alignment horizontal="left" vertical="center" wrapText="1"/>
    </xf>
    <xf numFmtId="0" fontId="38" fillId="0" borderId="17" xfId="46" applyFont="1" applyBorder="1" applyAlignment="1">
      <alignment wrapText="1"/>
    </xf>
    <xf numFmtId="0" fontId="59" fillId="0" borderId="27" xfId="0" applyFont="1" applyBorder="1" applyAlignment="1">
      <alignment wrapText="1"/>
    </xf>
    <xf numFmtId="3" fontId="60" fillId="0" borderId="50" xfId="45" applyNumberFormat="1" applyFont="1" applyBorder="1"/>
    <xf numFmtId="0" fontId="28" fillId="0" borderId="47" xfId="0" applyFont="1" applyBorder="1" applyAlignment="1"/>
    <xf numFmtId="0" fontId="28" fillId="0" borderId="47" xfId="0" applyFont="1" applyBorder="1" applyAlignment="1">
      <alignment horizontal="left"/>
    </xf>
    <xf numFmtId="0" fontId="27" fillId="0" borderId="47" xfId="0" applyFont="1" applyBorder="1"/>
    <xf numFmtId="0" fontId="27" fillId="0" borderId="47" xfId="0" applyFont="1" applyBorder="1" applyAlignment="1"/>
    <xf numFmtId="0" fontId="28" fillId="0" borderId="47" xfId="0" applyFont="1" applyBorder="1"/>
    <xf numFmtId="0" fontId="32" fillId="0" borderId="47" xfId="0" applyFont="1" applyBorder="1" applyAlignment="1">
      <alignment horizontal="left"/>
    </xf>
    <xf numFmtId="0" fontId="27" fillId="0" borderId="61" xfId="0" applyFont="1" applyBorder="1"/>
    <xf numFmtId="0" fontId="45" fillId="0" borderId="61" xfId="0" applyFont="1" applyBorder="1" applyAlignment="1">
      <alignment horizontal="left" wrapText="1"/>
    </xf>
    <xf numFmtId="0" fontId="29" fillId="0" borderId="61" xfId="0" applyFont="1" applyBorder="1"/>
    <xf numFmtId="0" fontId="27" fillId="0" borderId="61" xfId="0" applyFont="1" applyBorder="1" applyAlignment="1"/>
    <xf numFmtId="0" fontId="74" fillId="0" borderId="61" xfId="0" applyFont="1" applyBorder="1" applyAlignment="1">
      <alignment wrapText="1"/>
    </xf>
    <xf numFmtId="0" fontId="28" fillId="0" borderId="61" xfId="0" applyFont="1" applyBorder="1"/>
    <xf numFmtId="0" fontId="29" fillId="0" borderId="61" xfId="0" applyFont="1" applyBorder="1" applyAlignment="1">
      <alignment wrapText="1"/>
    </xf>
    <xf numFmtId="3" fontId="28" fillId="0" borderId="61" xfId="0" applyNumberFormat="1" applyFont="1" applyBorder="1" applyAlignment="1"/>
    <xf numFmtId="0" fontId="28" fillId="0" borderId="61" xfId="0" applyFont="1" applyBorder="1" applyAlignment="1">
      <alignment horizontal="left"/>
    </xf>
    <xf numFmtId="3" fontId="28" fillId="0" borderId="21" xfId="0" applyNumberFormat="1" applyFont="1" applyBorder="1" applyAlignment="1">
      <alignment horizontal="center" vertical="center" wrapText="1"/>
    </xf>
    <xf numFmtId="3" fontId="28" fillId="0" borderId="21" xfId="0" applyNumberFormat="1" applyFont="1" applyBorder="1" applyAlignment="1"/>
    <xf numFmtId="3" fontId="28" fillId="0" borderId="21" xfId="0" applyNumberFormat="1" applyFont="1" applyBorder="1"/>
    <xf numFmtId="3" fontId="28" fillId="0" borderId="62" xfId="0" applyNumberFormat="1" applyFont="1" applyBorder="1" applyAlignment="1"/>
    <xf numFmtId="3" fontId="28" fillId="0" borderId="62" xfId="0" applyNumberFormat="1" applyFont="1" applyBorder="1"/>
    <xf numFmtId="0" fontId="27" fillId="0" borderId="62" xfId="0" applyFont="1" applyBorder="1"/>
    <xf numFmtId="3" fontId="27" fillId="0" borderId="62" xfId="0" applyNumberFormat="1" applyFont="1" applyBorder="1" applyAlignment="1"/>
    <xf numFmtId="3" fontId="29" fillId="0" borderId="62" xfId="0" applyNumberFormat="1" applyFont="1" applyBorder="1"/>
    <xf numFmtId="3" fontId="27" fillId="0" borderId="62" xfId="0" applyNumberFormat="1" applyFont="1" applyBorder="1"/>
    <xf numFmtId="3" fontId="28" fillId="0" borderId="46" xfId="0" applyNumberFormat="1" applyFont="1" applyBorder="1"/>
    <xf numFmtId="3" fontId="27" fillId="0" borderId="46" xfId="0" applyNumberFormat="1" applyFont="1" applyBorder="1"/>
    <xf numFmtId="0" fontId="27" fillId="0" borderId="61" xfId="0" applyFont="1" applyBorder="1" applyAlignment="1">
      <alignment horizontal="left"/>
    </xf>
    <xf numFmtId="49" fontId="27" fillId="0" borderId="61" xfId="0" applyNumberFormat="1" applyFont="1" applyBorder="1"/>
    <xf numFmtId="49" fontId="27" fillId="0" borderId="61" xfId="45" applyNumberFormat="1" applyFont="1" applyBorder="1" applyAlignment="1">
      <alignment wrapText="1"/>
    </xf>
    <xf numFmtId="3" fontId="54" fillId="0" borderId="46" xfId="0" applyNumberFormat="1" applyFont="1" applyBorder="1"/>
    <xf numFmtId="3" fontId="28" fillId="0" borderId="59" xfId="0" applyNumberFormat="1" applyFont="1" applyBorder="1"/>
    <xf numFmtId="3" fontId="27" fillId="0" borderId="59" xfId="0" applyNumberFormat="1" applyFont="1" applyBorder="1"/>
    <xf numFmtId="3" fontId="54" fillId="0" borderId="59" xfId="0" applyNumberFormat="1" applyFont="1" applyBorder="1"/>
    <xf numFmtId="3" fontId="27" fillId="0" borderId="55" xfId="0" applyNumberFormat="1" applyFont="1" applyBorder="1"/>
    <xf numFmtId="3" fontId="28" fillId="0" borderId="63" xfId="0" applyNumberFormat="1" applyFont="1" applyBorder="1"/>
    <xf numFmtId="0" fontId="27" fillId="0" borderId="65" xfId="0" applyFont="1" applyBorder="1"/>
    <xf numFmtId="3" fontId="28" fillId="0" borderId="30" xfId="0" applyNumberFormat="1" applyFont="1" applyBorder="1"/>
    <xf numFmtId="3" fontId="28" fillId="0" borderId="31" xfId="0" applyNumberFormat="1" applyFont="1" applyBorder="1"/>
    <xf numFmtId="3" fontId="28" fillId="0" borderId="67" xfId="0" applyNumberFormat="1" applyFont="1" applyBorder="1" applyAlignment="1"/>
    <xf numFmtId="0" fontId="27" fillId="0" borderId="68" xfId="0" applyFont="1" applyBorder="1"/>
    <xf numFmtId="0" fontId="28" fillId="0" borderId="69" xfId="0" applyFont="1" applyBorder="1"/>
    <xf numFmtId="3" fontId="27" fillId="0" borderId="63" xfId="0" applyNumberFormat="1" applyFont="1" applyBorder="1"/>
    <xf numFmtId="0" fontId="28" fillId="0" borderId="66" xfId="0" applyFont="1" applyBorder="1"/>
    <xf numFmtId="3" fontId="28" fillId="0" borderId="54" xfId="0" applyNumberFormat="1" applyFont="1" applyBorder="1"/>
    <xf numFmtId="3" fontId="28" fillId="0" borderId="55" xfId="0" applyNumberFormat="1" applyFont="1" applyBorder="1"/>
    <xf numFmtId="0" fontId="28" fillId="0" borderId="24" xfId="0" applyFont="1" applyBorder="1"/>
    <xf numFmtId="0" fontId="27" fillId="0" borderId="14" xfId="0" applyFont="1" applyBorder="1"/>
    <xf numFmtId="3" fontId="27" fillId="0" borderId="12" xfId="0" applyNumberFormat="1" applyFont="1" applyBorder="1"/>
    <xf numFmtId="3" fontId="28" fillId="0" borderId="36" xfId="0" applyNumberFormat="1" applyFont="1" applyBorder="1"/>
    <xf numFmtId="0" fontId="28" fillId="0" borderId="14" xfId="0" applyFont="1" applyBorder="1"/>
    <xf numFmtId="3" fontId="28" fillId="0" borderId="18" xfId="0" applyNumberFormat="1" applyFont="1" applyBorder="1" applyAlignment="1"/>
    <xf numFmtId="49" fontId="28" fillId="0" borderId="39" xfId="0" applyNumberFormat="1" applyFont="1" applyBorder="1" applyAlignment="1"/>
    <xf numFmtId="0" fontId="31" fillId="0" borderId="68" xfId="0" applyFont="1" applyBorder="1" applyAlignment="1"/>
    <xf numFmtId="0" fontId="28" fillId="0" borderId="67" xfId="0" applyFont="1" applyBorder="1"/>
    <xf numFmtId="0" fontId="28" fillId="0" borderId="68" xfId="0" applyFont="1" applyBorder="1"/>
    <xf numFmtId="0" fontId="28" fillId="0" borderId="66" xfId="0" applyFont="1" applyBorder="1" applyAlignment="1">
      <alignment horizontal="left"/>
    </xf>
    <xf numFmtId="0" fontId="28" fillId="0" borderId="65" xfId="0" applyFont="1" applyBorder="1" applyAlignment="1">
      <alignment horizontal="left"/>
    </xf>
    <xf numFmtId="3" fontId="28" fillId="0" borderId="54" xfId="0" applyNumberFormat="1" applyFont="1" applyBorder="1" applyAlignment="1"/>
    <xf numFmtId="3" fontId="27" fillId="0" borderId="13" xfId="0" applyNumberFormat="1" applyFont="1" applyBorder="1"/>
    <xf numFmtId="0" fontId="27" fillId="0" borderId="72" xfId="0" applyFont="1" applyBorder="1"/>
    <xf numFmtId="0" fontId="27" fillId="0" borderId="70" xfId="0" applyFont="1" applyBorder="1"/>
    <xf numFmtId="3" fontId="27" fillId="0" borderId="51" xfId="0" applyNumberFormat="1" applyFont="1" applyBorder="1" applyAlignment="1"/>
    <xf numFmtId="3" fontId="28" fillId="0" borderId="68" xfId="0" applyNumberFormat="1" applyFont="1" applyBorder="1" applyAlignment="1"/>
    <xf numFmtId="0" fontId="28" fillId="0" borderId="14" xfId="0" applyFont="1" applyBorder="1" applyAlignment="1"/>
    <xf numFmtId="3" fontId="28" fillId="0" borderId="12" xfId="0" applyNumberFormat="1" applyFont="1" applyBorder="1"/>
    <xf numFmtId="3" fontId="28" fillId="0" borderId="30" xfId="0" applyNumberFormat="1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0" fillId="0" borderId="62" xfId="0" applyNumberFormat="1" applyFont="1" applyBorder="1" applyAlignment="1">
      <alignment horizontal="right" vertical="center" wrapText="1"/>
    </xf>
    <xf numFmtId="3" fontId="40" fillId="0" borderId="62" xfId="0" applyNumberFormat="1" applyFont="1" applyBorder="1"/>
    <xf numFmtId="3" fontId="41" fillId="0" borderId="62" xfId="0" applyNumberFormat="1" applyFont="1" applyBorder="1"/>
    <xf numFmtId="3" fontId="40" fillId="0" borderId="55" xfId="0" applyNumberFormat="1" applyFont="1" applyBorder="1" applyAlignment="1">
      <alignment shrinkToFit="1"/>
    </xf>
    <xf numFmtId="3" fontId="40" fillId="0" borderId="54" xfId="0" applyNumberFormat="1" applyFont="1" applyBorder="1"/>
    <xf numFmtId="3" fontId="41" fillId="0" borderId="13" xfId="0" applyNumberFormat="1" applyFont="1" applyBorder="1" applyAlignment="1">
      <alignment horizontal="right" vertical="center" wrapText="1"/>
    </xf>
    <xf numFmtId="3" fontId="41" fillId="0" borderId="73" xfId="0" applyNumberFormat="1" applyFont="1" applyBorder="1" applyAlignment="1">
      <alignment horizontal="right" vertical="center" wrapText="1"/>
    </xf>
    <xf numFmtId="3" fontId="41" fillId="0" borderId="12" xfId="0" applyNumberFormat="1" applyFont="1" applyBorder="1" applyAlignment="1">
      <alignment wrapText="1"/>
    </xf>
    <xf numFmtId="3" fontId="40" fillId="0" borderId="18" xfId="0" applyNumberFormat="1" applyFont="1" applyBorder="1"/>
    <xf numFmtId="3" fontId="41" fillId="0" borderId="30" xfId="0" applyNumberFormat="1" applyFont="1" applyBorder="1" applyAlignment="1">
      <alignment shrinkToFit="1"/>
    </xf>
    <xf numFmtId="3" fontId="41" fillId="0" borderId="30" xfId="0" applyNumberFormat="1" applyFont="1" applyBorder="1"/>
    <xf numFmtId="3" fontId="41" fillId="0" borderId="21" xfId="0" applyNumberFormat="1" applyFont="1" applyBorder="1"/>
    <xf numFmtId="3" fontId="41" fillId="0" borderId="43" xfId="0" applyNumberFormat="1" applyFont="1" applyBorder="1"/>
    <xf numFmtId="3" fontId="41" fillId="0" borderId="43" xfId="0" applyNumberFormat="1" applyFont="1" applyBorder="1" applyAlignment="1">
      <alignment horizontal="right" vertical="center" wrapText="1"/>
    </xf>
    <xf numFmtId="3" fontId="41" fillId="0" borderId="55" xfId="0" applyNumberFormat="1" applyFont="1" applyBorder="1" applyAlignment="1">
      <alignment shrinkToFit="1"/>
    </xf>
    <xf numFmtId="3" fontId="41" fillId="0" borderId="11" xfId="0" applyNumberFormat="1" applyFont="1" applyBorder="1" applyAlignment="1">
      <alignment shrinkToFit="1"/>
    </xf>
    <xf numFmtId="3" fontId="41" fillId="0" borderId="11" xfId="0" applyNumberFormat="1" applyFont="1" applyBorder="1"/>
    <xf numFmtId="3" fontId="41" fillId="0" borderId="52" xfId="0" applyNumberFormat="1" applyFont="1" applyBorder="1"/>
    <xf numFmtId="3" fontId="41" fillId="0" borderId="74" xfId="0" applyNumberFormat="1" applyFont="1" applyBorder="1"/>
    <xf numFmtId="3" fontId="41" fillId="0" borderId="30" xfId="0" applyNumberFormat="1" applyFont="1" applyBorder="1" applyAlignment="1">
      <alignment vertical="center" wrapText="1"/>
    </xf>
    <xf numFmtId="3" fontId="41" fillId="0" borderId="36" xfId="0" applyNumberFormat="1" applyFont="1" applyBorder="1"/>
    <xf numFmtId="3" fontId="41" fillId="0" borderId="64" xfId="0" applyNumberFormat="1" applyFont="1" applyBorder="1"/>
    <xf numFmtId="3" fontId="41" fillId="0" borderId="37" xfId="0" applyNumberFormat="1" applyFont="1" applyBorder="1" applyAlignment="1">
      <alignment horizontal="right" vertical="center" wrapText="1"/>
    </xf>
    <xf numFmtId="3" fontId="40" fillId="0" borderId="36" xfId="0" applyNumberFormat="1" applyFont="1" applyBorder="1" applyAlignment="1">
      <alignment horizontal="right" vertical="center" wrapText="1"/>
    </xf>
    <xf numFmtId="3" fontId="40" fillId="0" borderId="36" xfId="0" applyNumberFormat="1" applyFont="1" applyBorder="1"/>
    <xf numFmtId="3" fontId="42" fillId="0" borderId="36" xfId="0" applyNumberFormat="1" applyFont="1" applyBorder="1"/>
    <xf numFmtId="3" fontId="40" fillId="0" borderId="71" xfId="0" applyNumberFormat="1" applyFont="1" applyBorder="1"/>
    <xf numFmtId="3" fontId="41" fillId="0" borderId="11" xfId="0" applyNumberFormat="1" applyFont="1" applyBorder="1" applyAlignment="1">
      <alignment horizontal="right" vertical="center" wrapText="1"/>
    </xf>
    <xf numFmtId="3" fontId="41" fillId="0" borderId="51" xfId="0" applyNumberFormat="1" applyFont="1" applyBorder="1" applyAlignment="1">
      <alignment horizontal="right"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52" xfId="0" applyNumberFormat="1" applyFont="1" applyBorder="1" applyAlignment="1">
      <alignment horizontal="right" vertical="center" wrapText="1"/>
    </xf>
    <xf numFmtId="0" fontId="33" fillId="0" borderId="12" xfId="0" applyFont="1" applyBorder="1"/>
    <xf numFmtId="0" fontId="33" fillId="0" borderId="46" xfId="0" applyFont="1" applyBorder="1"/>
    <xf numFmtId="0" fontId="33" fillId="0" borderId="46" xfId="0" applyFont="1" applyBorder="1" applyAlignment="1">
      <alignment wrapText="1"/>
    </xf>
    <xf numFmtId="0" fontId="56" fillId="0" borderId="46" xfId="0" applyFont="1" applyBorder="1"/>
    <xf numFmtId="0" fontId="31" fillId="0" borderId="46" xfId="0" applyFont="1" applyBorder="1" applyAlignment="1">
      <alignment horizontal="left" wrapText="1"/>
    </xf>
    <xf numFmtId="0" fontId="31" fillId="0" borderId="46" xfId="0" applyFont="1" applyBorder="1"/>
    <xf numFmtId="0" fontId="56" fillId="0" borderId="46" xfId="0" applyFont="1" applyBorder="1" applyAlignment="1">
      <alignment horizontal="left" wrapText="1"/>
    </xf>
    <xf numFmtId="0" fontId="56" fillId="0" borderId="46" xfId="0" applyFont="1" applyBorder="1" applyAlignment="1">
      <alignment wrapText="1"/>
    </xf>
    <xf numFmtId="3" fontId="33" fillId="0" borderId="12" xfId="0" applyNumberFormat="1" applyFont="1" applyBorder="1" applyAlignment="1">
      <alignment wrapText="1"/>
    </xf>
    <xf numFmtId="3" fontId="33" fillId="0" borderId="46" xfId="0" applyNumberFormat="1" applyFont="1" applyBorder="1" applyAlignment="1">
      <alignment wrapText="1"/>
    </xf>
    <xf numFmtId="164" fontId="33" fillId="0" borderId="46" xfId="0" applyNumberFormat="1" applyFont="1" applyBorder="1" applyAlignment="1">
      <alignment wrapText="1"/>
    </xf>
    <xf numFmtId="164" fontId="56" fillId="0" borderId="46" xfId="0" applyNumberFormat="1" applyFont="1" applyBorder="1" applyAlignment="1">
      <alignment wrapText="1"/>
    </xf>
    <xf numFmtId="3" fontId="31" fillId="0" borderId="46" xfId="0" applyNumberFormat="1" applyFont="1" applyBorder="1" applyAlignment="1">
      <alignment wrapText="1"/>
    </xf>
    <xf numFmtId="3" fontId="56" fillId="0" borderId="46" xfId="0" applyNumberFormat="1" applyFont="1" applyBorder="1" applyAlignment="1">
      <alignment wrapText="1"/>
    </xf>
    <xf numFmtId="3" fontId="55" fillId="0" borderId="46" xfId="0" applyNumberFormat="1" applyFont="1" applyBorder="1"/>
    <xf numFmtId="0" fontId="56" fillId="0" borderId="55" xfId="0" applyFont="1" applyBorder="1" applyAlignment="1">
      <alignment wrapText="1"/>
    </xf>
    <xf numFmtId="3" fontId="56" fillId="0" borderId="55" xfId="0" applyNumberFormat="1" applyFont="1" applyBorder="1" applyAlignment="1">
      <alignment wrapText="1"/>
    </xf>
    <xf numFmtId="3" fontId="56" fillId="0" borderId="56" xfId="0" applyNumberFormat="1" applyFont="1" applyBorder="1" applyAlignment="1">
      <alignment wrapText="1"/>
    </xf>
    <xf numFmtId="3" fontId="55" fillId="0" borderId="54" xfId="0" applyNumberFormat="1" applyFont="1" applyBorder="1"/>
    <xf numFmtId="3" fontId="33" fillId="0" borderId="51" xfId="0" applyNumberFormat="1" applyFont="1" applyBorder="1"/>
    <xf numFmtId="0" fontId="33" fillId="0" borderId="30" xfId="0" applyFont="1" applyBorder="1"/>
    <xf numFmtId="3" fontId="55" fillId="0" borderId="30" xfId="0" applyNumberFormat="1" applyFont="1" applyBorder="1" applyAlignment="1">
      <alignment wrapText="1"/>
    </xf>
    <xf numFmtId="3" fontId="55" fillId="0" borderId="21" xfId="0" applyNumberFormat="1" applyFont="1" applyBorder="1" applyAlignment="1">
      <alignment wrapText="1"/>
    </xf>
    <xf numFmtId="3" fontId="33" fillId="0" borderId="35" xfId="0" applyNumberFormat="1" applyFont="1" applyBorder="1" applyAlignment="1">
      <alignment wrapText="1"/>
    </xf>
    <xf numFmtId="3" fontId="33" fillId="0" borderId="43" xfId="0" applyNumberFormat="1" applyFont="1" applyBorder="1" applyAlignment="1">
      <alignment wrapText="1"/>
    </xf>
    <xf numFmtId="3" fontId="33" fillId="0" borderId="21" xfId="0" applyNumberFormat="1" applyFont="1" applyBorder="1"/>
    <xf numFmtId="0" fontId="33" fillId="0" borderId="55" xfId="0" applyFont="1" applyBorder="1"/>
    <xf numFmtId="3" fontId="55" fillId="0" borderId="55" xfId="0" applyNumberFormat="1" applyFont="1" applyBorder="1"/>
    <xf numFmtId="0" fontId="31" fillId="0" borderId="56" xfId="0" applyFont="1" applyBorder="1"/>
    <xf numFmtId="3" fontId="33" fillId="0" borderId="54" xfId="0" applyNumberFormat="1" applyFont="1" applyBorder="1"/>
    <xf numFmtId="0" fontId="33" fillId="0" borderId="11" xfId="0" applyFont="1" applyBorder="1" applyAlignment="1">
      <alignment wrapText="1"/>
    </xf>
    <xf numFmtId="3" fontId="33" fillId="0" borderId="11" xfId="0" applyNumberFormat="1" applyFont="1" applyBorder="1"/>
    <xf numFmtId="3" fontId="33" fillId="0" borderId="52" xfId="0" applyNumberFormat="1" applyFont="1" applyBorder="1"/>
    <xf numFmtId="3" fontId="33" fillId="0" borderId="74" xfId="0" applyNumberFormat="1" applyFont="1" applyBorder="1"/>
    <xf numFmtId="3" fontId="33" fillId="0" borderId="75" xfId="0" applyNumberFormat="1" applyFont="1" applyBorder="1"/>
    <xf numFmtId="3" fontId="55" fillId="0" borderId="30" xfId="0" applyNumberFormat="1" applyFont="1" applyBorder="1"/>
    <xf numFmtId="3" fontId="55" fillId="0" borderId="21" xfId="0" applyNumberFormat="1" applyFont="1" applyBorder="1"/>
    <xf numFmtId="3" fontId="33" fillId="0" borderId="35" xfId="0" applyNumberFormat="1" applyFont="1" applyBorder="1"/>
    <xf numFmtId="3" fontId="33" fillId="0" borderId="43" xfId="0" applyNumberFormat="1" applyFont="1" applyBorder="1"/>
    <xf numFmtId="3" fontId="33" fillId="0" borderId="21" xfId="0" applyNumberFormat="1" applyFont="1" applyBorder="1" applyAlignment="1">
      <alignment wrapText="1"/>
    </xf>
    <xf numFmtId="0" fontId="46" fillId="0" borderId="30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2" fontId="45" fillId="0" borderId="90" xfId="0" applyNumberFormat="1" applyFont="1" applyBorder="1" applyAlignment="1">
      <alignment horizontal="center"/>
    </xf>
    <xf numFmtId="2" fontId="46" fillId="0" borderId="91" xfId="0" applyNumberFormat="1" applyFont="1" applyBorder="1" applyAlignment="1">
      <alignment horizontal="center"/>
    </xf>
    <xf numFmtId="2" fontId="45" fillId="0" borderId="92" xfId="0" applyNumberFormat="1" applyFont="1" applyBorder="1" applyAlignment="1">
      <alignment horizontal="center"/>
    </xf>
    <xf numFmtId="2" fontId="45" fillId="0" borderId="88" xfId="0" applyNumberFormat="1" applyFont="1" applyBorder="1" applyAlignment="1">
      <alignment horizontal="center" vertical="top" wrapText="1"/>
    </xf>
    <xf numFmtId="2" fontId="30" fillId="0" borderId="88" xfId="0" applyNumberFormat="1" applyFont="1" applyBorder="1" applyAlignment="1">
      <alignment horizontal="center" vertical="top" wrapText="1"/>
    </xf>
    <xf numFmtId="2" fontId="47" fillId="0" borderId="88" xfId="0" applyNumberFormat="1" applyFont="1" applyBorder="1" applyAlignment="1">
      <alignment horizontal="center" vertical="top" wrapText="1"/>
    </xf>
    <xf numFmtId="2" fontId="46" fillId="0" borderId="88" xfId="0" applyNumberFormat="1" applyFont="1" applyBorder="1" applyAlignment="1">
      <alignment horizontal="center" vertical="top" wrapText="1"/>
    </xf>
    <xf numFmtId="2" fontId="45" fillId="0" borderId="88" xfId="0" applyNumberFormat="1" applyFont="1" applyBorder="1" applyAlignment="1">
      <alignment horizontal="center"/>
    </xf>
    <xf numFmtId="0" fontId="45" fillId="0" borderId="95" xfId="0" applyFont="1" applyBorder="1" applyAlignment="1">
      <alignment horizontal="justify" vertical="top" wrapText="1"/>
    </xf>
    <xf numFmtId="2" fontId="45" fillId="0" borderId="96" xfId="0" applyNumberFormat="1" applyFont="1" applyBorder="1" applyAlignment="1">
      <alignment horizontal="center" vertical="top" wrapText="1"/>
    </xf>
    <xf numFmtId="2" fontId="45" fillId="0" borderId="95" xfId="0" applyNumberFormat="1" applyFont="1" applyBorder="1" applyAlignment="1">
      <alignment horizontal="center" vertical="top" wrapText="1"/>
    </xf>
    <xf numFmtId="0" fontId="45" fillId="0" borderId="100" xfId="57" applyFont="1" applyBorder="1" applyAlignment="1">
      <alignment horizontal="left"/>
    </xf>
    <xf numFmtId="0" fontId="45" fillId="0" borderId="101" xfId="57" applyFont="1" applyBorder="1" applyAlignment="1">
      <alignment horizontal="left"/>
    </xf>
    <xf numFmtId="0" fontId="46" fillId="0" borderId="79" xfId="57" applyFont="1" applyBorder="1" applyAlignment="1">
      <alignment horizontal="center" vertical="center" wrapText="1"/>
    </xf>
    <xf numFmtId="3" fontId="45" fillId="0" borderId="99" xfId="57" applyNumberFormat="1" applyFont="1" applyBorder="1" applyAlignment="1">
      <alignment horizontal="right"/>
    </xf>
    <xf numFmtId="3" fontId="46" fillId="0" borderId="94" xfId="57" applyNumberFormat="1" applyFont="1" applyBorder="1" applyAlignment="1">
      <alignment horizontal="right"/>
    </xf>
    <xf numFmtId="3" fontId="46" fillId="0" borderId="103" xfId="57" applyNumberFormat="1" applyFont="1" applyBorder="1" applyAlignment="1">
      <alignment horizontal="right"/>
    </xf>
    <xf numFmtId="3" fontId="46" fillId="0" borderId="104" xfId="57" applyNumberFormat="1" applyFont="1" applyBorder="1" applyAlignment="1">
      <alignment horizontal="right"/>
    </xf>
    <xf numFmtId="0" fontId="69" fillId="0" borderId="105" xfId="0" applyFont="1" applyBorder="1" applyAlignment="1">
      <alignment vertical="center" wrapText="1"/>
    </xf>
    <xf numFmtId="3" fontId="69" fillId="0" borderId="106" xfId="0" applyNumberFormat="1" applyFont="1" applyBorder="1" applyAlignment="1">
      <alignment horizontal="right" vertical="center" wrapText="1"/>
    </xf>
    <xf numFmtId="0" fontId="70" fillId="0" borderId="105" xfId="0" applyFont="1" applyBorder="1" applyAlignment="1">
      <alignment vertical="center" wrapText="1"/>
    </xf>
    <xf numFmtId="3" fontId="70" fillId="0" borderId="106" xfId="0" applyNumberFormat="1" applyFont="1" applyBorder="1" applyAlignment="1">
      <alignment horizontal="right" vertical="center" wrapText="1"/>
    </xf>
    <xf numFmtId="0" fontId="69" fillId="0" borderId="107" xfId="0" applyFont="1" applyFill="1" applyBorder="1" applyAlignment="1">
      <alignment vertical="center" wrapText="1"/>
    </xf>
    <xf numFmtId="3" fontId="69" fillId="0" borderId="108" xfId="0" applyNumberFormat="1" applyFont="1" applyBorder="1" applyAlignment="1">
      <alignment vertical="center"/>
    </xf>
    <xf numFmtId="0" fontId="69" fillId="0" borderId="24" xfId="0" applyFont="1" applyBorder="1" applyAlignment="1">
      <alignment vertical="center" wrapText="1"/>
    </xf>
    <xf numFmtId="3" fontId="69" fillId="0" borderId="10" xfId="0" applyNumberFormat="1" applyFont="1" applyBorder="1" applyAlignment="1">
      <alignment horizontal="right" vertical="center" wrapText="1"/>
    </xf>
    <xf numFmtId="3" fontId="69" fillId="0" borderId="25" xfId="0" applyNumberFormat="1" applyFont="1" applyBorder="1" applyAlignment="1">
      <alignment horizontal="right" vertical="center" wrapText="1"/>
    </xf>
    <xf numFmtId="0" fontId="71" fillId="0" borderId="109" xfId="0" applyFont="1" applyBorder="1" applyAlignment="1">
      <alignment horizontal="left" vertical="center" wrapText="1"/>
    </xf>
    <xf numFmtId="0" fontId="71" fillId="0" borderId="110" xfId="0" applyFont="1" applyBorder="1" applyAlignment="1">
      <alignment horizontal="center" vertical="center" wrapText="1"/>
    </xf>
    <xf numFmtId="0" fontId="71" fillId="0" borderId="111" xfId="0" applyFont="1" applyBorder="1" applyAlignment="1">
      <alignment horizontal="center" vertical="center" wrapText="1"/>
    </xf>
    <xf numFmtId="0" fontId="44" fillId="0" borderId="106" xfId="44" applyFont="1" applyBorder="1" applyAlignment="1">
      <alignment horizontal="left" vertical="center" wrapText="1"/>
    </xf>
    <xf numFmtId="0" fontId="49" fillId="0" borderId="112" xfId="44" applyFont="1" applyBorder="1" applyAlignment="1">
      <alignment horizontal="left" vertical="center" wrapText="1"/>
    </xf>
    <xf numFmtId="3" fontId="49" fillId="0" borderId="106" xfId="44" applyNumberFormat="1" applyFont="1" applyBorder="1" applyAlignment="1">
      <alignment horizontal="right" vertical="center"/>
    </xf>
    <xf numFmtId="0" fontId="49" fillId="0" borderId="106" xfId="43" applyFont="1" applyFill="1" applyBorder="1" applyAlignment="1">
      <alignment wrapText="1"/>
    </xf>
    <xf numFmtId="3" fontId="49" fillId="0" borderId="113" xfId="43" applyNumberFormat="1" applyFont="1" applyFill="1" applyBorder="1"/>
    <xf numFmtId="3" fontId="49" fillId="0" borderId="114" xfId="43" applyNumberFormat="1" applyFont="1" applyFill="1" applyBorder="1"/>
    <xf numFmtId="3" fontId="49" fillId="0" borderId="113" xfId="44" applyNumberFormat="1" applyFont="1" applyBorder="1" applyAlignment="1">
      <alignment horizontal="right" vertical="center"/>
    </xf>
    <xf numFmtId="3" fontId="44" fillId="0" borderId="113" xfId="43" applyNumberFormat="1" applyFont="1" applyFill="1" applyBorder="1"/>
    <xf numFmtId="3" fontId="44" fillId="0" borderId="114" xfId="43" applyNumberFormat="1" applyFont="1" applyFill="1" applyBorder="1"/>
    <xf numFmtId="0" fontId="49" fillId="0" borderId="0" xfId="44" applyFont="1" applyBorder="1"/>
    <xf numFmtId="0" fontId="50" fillId="0" borderId="0" xfId="44" applyFont="1" applyBorder="1"/>
    <xf numFmtId="0" fontId="44" fillId="0" borderId="0" xfId="44" applyFont="1" applyBorder="1" applyAlignment="1">
      <alignment horizontal="left" vertical="center"/>
    </xf>
    <xf numFmtId="3" fontId="44" fillId="0" borderId="0" xfId="44" applyNumberFormat="1" applyFont="1" applyBorder="1" applyAlignment="1">
      <alignment horizontal="right" vertical="center"/>
    </xf>
    <xf numFmtId="3" fontId="49" fillId="0" borderId="119" xfId="43" applyNumberFormat="1" applyFont="1" applyFill="1" applyBorder="1"/>
    <xf numFmtId="0" fontId="49" fillId="0" borderId="115" xfId="44" applyFont="1" applyBorder="1" applyAlignment="1">
      <alignment horizontal="left" vertical="center" wrapText="1"/>
    </xf>
    <xf numFmtId="3" fontId="49" fillId="0" borderId="117" xfId="44" applyNumberFormat="1" applyFont="1" applyBorder="1" applyAlignment="1">
      <alignment horizontal="right" vertical="center"/>
    </xf>
    <xf numFmtId="0" fontId="49" fillId="0" borderId="116" xfId="43" applyFont="1" applyFill="1" applyBorder="1" applyAlignment="1">
      <alignment wrapText="1"/>
    </xf>
    <xf numFmtId="3" fontId="49" fillId="0" borderId="117" xfId="43" applyNumberFormat="1" applyFont="1" applyFill="1" applyBorder="1"/>
    <xf numFmtId="3" fontId="49" fillId="0" borderId="118" xfId="43" applyNumberFormat="1" applyFont="1" applyFill="1" applyBorder="1"/>
    <xf numFmtId="3" fontId="49" fillId="0" borderId="120" xfId="43" applyNumberFormat="1" applyFont="1" applyFill="1" applyBorder="1"/>
    <xf numFmtId="0" fontId="44" fillId="0" borderId="121" xfId="44" applyFont="1" applyBorder="1" applyAlignment="1">
      <alignment horizontal="left" vertical="center"/>
    </xf>
    <xf numFmtId="3" fontId="44" fillId="0" borderId="122" xfId="44" applyNumberFormat="1" applyFont="1" applyBorder="1" applyAlignment="1">
      <alignment horizontal="right" vertical="center"/>
    </xf>
    <xf numFmtId="0" fontId="44" fillId="0" borderId="122" xfId="44" applyFont="1" applyBorder="1" applyAlignment="1">
      <alignment horizontal="left" vertical="center"/>
    </xf>
    <xf numFmtId="3" fontId="44" fillId="0" borderId="123" xfId="44" applyNumberFormat="1" applyFont="1" applyBorder="1" applyAlignment="1">
      <alignment horizontal="right" vertical="center"/>
    </xf>
    <xf numFmtId="3" fontId="44" fillId="0" borderId="81" xfId="44" applyNumberFormat="1" applyFont="1" applyBorder="1" applyAlignment="1">
      <alignment horizontal="right" vertical="center"/>
    </xf>
    <xf numFmtId="0" fontId="44" fillId="0" borderId="124" xfId="44" applyFont="1" applyBorder="1" applyAlignment="1">
      <alignment horizontal="left" vertical="center"/>
    </xf>
    <xf numFmtId="3" fontId="44" fillId="0" borderId="10" xfId="44" applyNumberFormat="1" applyFont="1" applyBorder="1" applyAlignment="1">
      <alignment horizontal="right" vertical="center"/>
    </xf>
    <xf numFmtId="0" fontId="44" fillId="0" borderId="10" xfId="44" applyFont="1" applyBorder="1" applyAlignment="1">
      <alignment horizontal="left" vertical="center" wrapText="1"/>
    </xf>
    <xf numFmtId="3" fontId="44" fillId="0" borderId="14" xfId="44" applyNumberFormat="1" applyFont="1" applyBorder="1" applyAlignment="1">
      <alignment horizontal="right" vertical="center"/>
    </xf>
    <xf numFmtId="3" fontId="44" fillId="0" borderId="125" xfId="44" applyNumberFormat="1" applyFont="1" applyBorder="1" applyAlignment="1">
      <alignment horizontal="right" vertical="center"/>
    </xf>
    <xf numFmtId="0" fontId="44" fillId="0" borderId="126" xfId="44" applyFont="1" applyBorder="1" applyAlignment="1">
      <alignment horizontal="center" vertical="center"/>
    </xf>
    <xf numFmtId="0" fontId="44" fillId="0" borderId="127" xfId="44" applyFont="1" applyBorder="1" applyAlignment="1">
      <alignment horizontal="center" vertical="center" wrapText="1"/>
    </xf>
    <xf numFmtId="0" fontId="44" fillId="0" borderId="128" xfId="44" applyFont="1" applyBorder="1" applyAlignment="1">
      <alignment horizontal="center" vertical="center" wrapText="1"/>
    </xf>
    <xf numFmtId="0" fontId="44" fillId="0" borderId="128" xfId="44" applyFont="1" applyBorder="1" applyAlignment="1">
      <alignment horizontal="center" vertical="center"/>
    </xf>
    <xf numFmtId="0" fontId="44" fillId="0" borderId="129" xfId="44" applyFont="1" applyBorder="1" applyAlignment="1">
      <alignment horizontal="center" wrapText="1"/>
    </xf>
    <xf numFmtId="0" fontId="44" fillId="0" borderId="130" xfId="44" applyFont="1" applyBorder="1" applyAlignment="1">
      <alignment horizontal="center" vertical="center" wrapText="1"/>
    </xf>
    <xf numFmtId="0" fontId="44" fillId="0" borderId="131" xfId="44" applyFont="1" applyBorder="1" applyAlignment="1">
      <alignment horizontal="center" vertical="center" wrapText="1"/>
    </xf>
    <xf numFmtId="3" fontId="67" fillId="0" borderId="77" xfId="0" applyNumberFormat="1" applyFont="1" applyBorder="1"/>
    <xf numFmtId="3" fontId="66" fillId="0" borderId="133" xfId="0" applyNumberFormat="1" applyFont="1" applyBorder="1"/>
    <xf numFmtId="3" fontId="66" fillId="0" borderId="84" xfId="0" applyNumberFormat="1" applyFont="1" applyBorder="1"/>
    <xf numFmtId="0" fontId="44" fillId="0" borderId="133" xfId="44" applyFont="1" applyBorder="1" applyAlignment="1">
      <alignment horizontal="center" vertical="center" wrapText="1"/>
    </xf>
    <xf numFmtId="3" fontId="66" fillId="0" borderId="82" xfId="0" applyNumberFormat="1" applyFont="1" applyBorder="1" applyAlignment="1">
      <alignment horizontal="center" wrapText="1"/>
    </xf>
    <xf numFmtId="3" fontId="66" fillId="0" borderId="85" xfId="0" applyNumberFormat="1" applyFont="1" applyBorder="1" applyAlignment="1">
      <alignment wrapText="1"/>
    </xf>
    <xf numFmtId="3" fontId="68" fillId="0" borderId="102" xfId="0" applyNumberFormat="1" applyFont="1" applyBorder="1" applyAlignment="1">
      <alignment wrapText="1"/>
    </xf>
    <xf numFmtId="3" fontId="66" fillId="0" borderId="102" xfId="0" applyNumberFormat="1" applyFont="1" applyBorder="1" applyAlignment="1">
      <alignment wrapText="1"/>
    </xf>
    <xf numFmtId="3" fontId="67" fillId="0" borderId="102" xfId="0" applyNumberFormat="1" applyFont="1" applyBorder="1" applyAlignment="1">
      <alignment wrapText="1"/>
    </xf>
    <xf numFmtId="3" fontId="67" fillId="0" borderId="78" xfId="0" applyNumberFormat="1" applyFont="1" applyBorder="1" applyAlignment="1">
      <alignment wrapText="1"/>
    </xf>
    <xf numFmtId="3" fontId="66" fillId="0" borderId="82" xfId="0" applyNumberFormat="1" applyFont="1" applyBorder="1" applyAlignment="1">
      <alignment wrapText="1"/>
    </xf>
    <xf numFmtId="3" fontId="66" fillId="0" borderId="76" xfId="0" applyNumberFormat="1" applyFont="1" applyBorder="1" applyAlignment="1">
      <alignment horizontal="center"/>
    </xf>
    <xf numFmtId="3" fontId="66" fillId="0" borderId="86" xfId="0" applyNumberFormat="1" applyFont="1" applyBorder="1"/>
    <xf numFmtId="3" fontId="68" fillId="0" borderId="88" xfId="0" applyNumberFormat="1" applyFont="1" applyBorder="1"/>
    <xf numFmtId="3" fontId="66" fillId="0" borderId="88" xfId="0" applyNumberFormat="1" applyFont="1" applyBorder="1"/>
    <xf numFmtId="3" fontId="67" fillId="0" borderId="88" xfId="0" applyNumberFormat="1" applyFont="1" applyBorder="1"/>
    <xf numFmtId="3" fontId="67" fillId="26" borderId="88" xfId="0" applyNumberFormat="1" applyFont="1" applyFill="1" applyBorder="1"/>
    <xf numFmtId="3" fontId="67" fillId="24" borderId="88" xfId="0" applyNumberFormat="1" applyFont="1" applyFill="1" applyBorder="1"/>
    <xf numFmtId="3" fontId="67" fillId="25" borderId="88" xfId="0" applyNumberFormat="1" applyFont="1" applyFill="1" applyBorder="1"/>
    <xf numFmtId="3" fontId="67" fillId="0" borderId="95" xfId="0" applyNumberFormat="1" applyFont="1" applyBorder="1"/>
    <xf numFmtId="3" fontId="66" fillId="0" borderId="76" xfId="0" applyNumberFormat="1" applyFont="1" applyBorder="1"/>
    <xf numFmtId="3" fontId="41" fillId="0" borderId="135" xfId="0" applyNumberFormat="1" applyFont="1" applyBorder="1" applyAlignment="1">
      <alignment shrinkToFit="1"/>
    </xf>
    <xf numFmtId="3" fontId="40" fillId="0" borderId="135" xfId="0" applyNumberFormat="1" applyFont="1" applyBorder="1"/>
    <xf numFmtId="3" fontId="32" fillId="0" borderId="138" xfId="45" applyNumberFormat="1" applyFont="1" applyBorder="1"/>
    <xf numFmtId="3" fontId="32" fillId="0" borderId="139" xfId="45" applyNumberFormat="1" applyFont="1" applyBorder="1"/>
    <xf numFmtId="10" fontId="59" fillId="0" borderId="140" xfId="45" applyNumberFormat="1" applyFont="1" applyBorder="1" applyAlignment="1">
      <alignment wrapText="1"/>
    </xf>
    <xf numFmtId="3" fontId="45" fillId="0" borderId="141" xfId="57" applyNumberFormat="1" applyFont="1" applyBorder="1" applyAlignment="1">
      <alignment horizontal="right"/>
    </xf>
    <xf numFmtId="3" fontId="45" fillId="0" borderId="142" xfId="57" applyNumberFormat="1" applyFont="1" applyBorder="1" applyAlignment="1">
      <alignment horizontal="right"/>
    </xf>
    <xf numFmtId="3" fontId="34" fillId="0" borderId="13" xfId="45" applyNumberFormat="1" applyFont="1" applyBorder="1"/>
    <xf numFmtId="10" fontId="31" fillId="0" borderId="75" xfId="0" applyNumberFormat="1" applyFont="1" applyBorder="1"/>
    <xf numFmtId="3" fontId="59" fillId="0" borderId="146" xfId="45" applyNumberFormat="1" applyFont="1" applyBorder="1"/>
    <xf numFmtId="3" fontId="34" fillId="0" borderId="147" xfId="45" applyNumberFormat="1" applyFont="1" applyBorder="1"/>
    <xf numFmtId="0" fontId="59" fillId="0" borderId="146" xfId="45" applyFont="1" applyBorder="1" applyAlignment="1">
      <alignment wrapText="1"/>
    </xf>
    <xf numFmtId="0" fontId="59" fillId="0" borderId="147" xfId="45" applyFont="1" applyBorder="1" applyAlignment="1">
      <alignment wrapText="1"/>
    </xf>
    <xf numFmtId="0" fontId="28" fillId="0" borderId="11" xfId="0" applyFont="1" applyBorder="1" applyAlignment="1"/>
    <xf numFmtId="3" fontId="28" fillId="0" borderId="11" xfId="0" applyNumberFormat="1" applyFont="1" applyBorder="1" applyAlignment="1"/>
    <xf numFmtId="3" fontId="33" fillId="0" borderId="151" xfId="0" applyNumberFormat="1" applyFont="1" applyBorder="1" applyAlignment="1">
      <alignment wrapText="1"/>
    </xf>
    <xf numFmtId="0" fontId="33" fillId="0" borderId="150" xfId="0" applyFont="1" applyBorder="1"/>
    <xf numFmtId="3" fontId="41" fillId="0" borderId="150" xfId="0" applyNumberFormat="1" applyFont="1" applyBorder="1" applyAlignment="1">
      <alignment horizontal="right" vertical="center" wrapText="1"/>
    </xf>
    <xf numFmtId="0" fontId="41" fillId="0" borderId="30" xfId="0" applyFont="1" applyBorder="1" applyAlignment="1">
      <alignment horizontal="center" vertical="center" wrapText="1"/>
    </xf>
    <xf numFmtId="3" fontId="28" fillId="0" borderId="159" xfId="0" applyNumberFormat="1" applyFont="1" applyBorder="1"/>
    <xf numFmtId="3" fontId="27" fillId="0" borderId="159" xfId="0" applyNumberFormat="1" applyFont="1" applyBorder="1"/>
    <xf numFmtId="3" fontId="28" fillId="0" borderId="139" xfId="0" applyNumberFormat="1" applyFont="1" applyBorder="1"/>
    <xf numFmtId="3" fontId="28" fillId="0" borderId="160" xfId="0" applyNumberFormat="1" applyFont="1" applyBorder="1"/>
    <xf numFmtId="3" fontId="28" fillId="0" borderId="51" xfId="0" applyNumberFormat="1" applyFont="1" applyBorder="1"/>
    <xf numFmtId="3" fontId="28" fillId="0" borderId="159" xfId="0" applyNumberFormat="1" applyFont="1" applyBorder="1" applyAlignment="1"/>
    <xf numFmtId="0" fontId="27" fillId="0" borderId="159" xfId="0" applyFont="1" applyBorder="1"/>
    <xf numFmtId="3" fontId="27" fillId="0" borderId="159" xfId="0" applyNumberFormat="1" applyFont="1" applyBorder="1" applyAlignment="1"/>
    <xf numFmtId="3" fontId="29" fillId="0" borderId="159" xfId="0" applyNumberFormat="1" applyFont="1" applyBorder="1"/>
    <xf numFmtId="3" fontId="28" fillId="0" borderId="139" xfId="0" applyNumberFormat="1" applyFont="1" applyBorder="1" applyAlignment="1"/>
    <xf numFmtId="3" fontId="27" fillId="0" borderId="21" xfId="0" applyNumberFormat="1" applyFont="1" applyBorder="1" applyAlignment="1"/>
    <xf numFmtId="0" fontId="32" fillId="0" borderId="157" xfId="45" applyFont="1" applyBorder="1" applyAlignment="1">
      <alignment horizontal="center"/>
    </xf>
    <xf numFmtId="3" fontId="59" fillId="0" borderId="139" xfId="45" applyNumberFormat="1" applyFont="1" applyBorder="1"/>
    <xf numFmtId="0" fontId="27" fillId="0" borderId="21" xfId="45" applyFont="1" applyBorder="1"/>
    <xf numFmtId="0" fontId="28" fillId="0" borderId="161" xfId="45" applyFont="1" applyBorder="1"/>
    <xf numFmtId="0" fontId="60" fillId="0" borderId="21" xfId="45" applyFont="1" applyBorder="1"/>
    <xf numFmtId="0" fontId="41" fillId="0" borderId="11" xfId="0" applyFont="1" applyBorder="1" applyAlignment="1">
      <alignment horizontal="center" vertical="center" wrapText="1"/>
    </xf>
    <xf numFmtId="3" fontId="33" fillId="0" borderId="139" xfId="0" applyNumberFormat="1" applyFont="1" applyBorder="1" applyAlignment="1">
      <alignment wrapText="1"/>
    </xf>
    <xf numFmtId="3" fontId="33" fillId="0" borderId="159" xfId="0" applyNumberFormat="1" applyFont="1" applyBorder="1" applyAlignment="1">
      <alignment wrapText="1"/>
    </xf>
    <xf numFmtId="164" fontId="33" fillId="0" borderId="159" xfId="0" applyNumberFormat="1" applyFont="1" applyBorder="1" applyAlignment="1">
      <alignment wrapText="1"/>
    </xf>
    <xf numFmtId="3" fontId="31" fillId="0" borderId="159" xfId="0" applyNumberFormat="1" applyFont="1" applyBorder="1" applyAlignment="1">
      <alignment wrapText="1"/>
    </xf>
    <xf numFmtId="3" fontId="56" fillId="0" borderId="159" xfId="0" applyNumberFormat="1" applyFont="1" applyBorder="1" applyAlignment="1">
      <alignment wrapText="1"/>
    </xf>
    <xf numFmtId="3" fontId="56" fillId="0" borderId="160" xfId="0" applyNumberFormat="1" applyFont="1" applyBorder="1" applyAlignment="1">
      <alignment wrapText="1"/>
    </xf>
    <xf numFmtId="3" fontId="33" fillId="0" borderId="158" xfId="0" applyNumberFormat="1" applyFont="1" applyBorder="1" applyAlignment="1">
      <alignment wrapText="1"/>
    </xf>
    <xf numFmtId="0" fontId="31" fillId="0" borderId="159" xfId="0" applyFont="1" applyBorder="1"/>
    <xf numFmtId="0" fontId="31" fillId="0" borderId="160" xfId="0" applyFont="1" applyBorder="1"/>
    <xf numFmtId="0" fontId="44" fillId="0" borderId="154" xfId="0" applyFont="1" applyBorder="1" applyAlignment="1">
      <alignment horizontal="center" vertical="center" wrapText="1"/>
    </xf>
    <xf numFmtId="3" fontId="33" fillId="0" borderId="140" xfId="0" applyNumberFormat="1" applyFont="1" applyBorder="1" applyAlignment="1">
      <alignment wrapText="1"/>
    </xf>
    <xf numFmtId="3" fontId="33" fillId="0" borderId="155" xfId="0" applyNumberFormat="1" applyFont="1" applyBorder="1" applyAlignment="1">
      <alignment wrapText="1"/>
    </xf>
    <xf numFmtId="164" fontId="33" fillId="0" borderId="155" xfId="0" applyNumberFormat="1" applyFont="1" applyBorder="1" applyAlignment="1">
      <alignment wrapText="1"/>
    </xf>
    <xf numFmtId="3" fontId="31" fillId="0" borderId="155" xfId="0" applyNumberFormat="1" applyFont="1" applyBorder="1" applyAlignment="1">
      <alignment wrapText="1"/>
    </xf>
    <xf numFmtId="3" fontId="56" fillId="0" borderId="155" xfId="0" applyNumberFormat="1" applyFont="1" applyBorder="1" applyAlignment="1">
      <alignment wrapText="1"/>
    </xf>
    <xf numFmtId="3" fontId="55" fillId="0" borderId="155" xfId="0" applyNumberFormat="1" applyFont="1" applyBorder="1" applyAlignment="1">
      <alignment wrapText="1"/>
    </xf>
    <xf numFmtId="3" fontId="56" fillId="0" borderId="156" xfId="0" applyNumberFormat="1" applyFont="1" applyBorder="1" applyAlignment="1">
      <alignment wrapText="1"/>
    </xf>
    <xf numFmtId="0" fontId="31" fillId="0" borderId="155" xfId="0" applyFont="1" applyBorder="1"/>
    <xf numFmtId="0" fontId="31" fillId="0" borderId="156" xfId="0" applyFont="1" applyBorder="1"/>
    <xf numFmtId="3" fontId="33" fillId="0" borderId="52" xfId="0" applyNumberFormat="1" applyFont="1" applyBorder="1" applyAlignment="1">
      <alignment horizontal="center" wrapText="1"/>
    </xf>
    <xf numFmtId="0" fontId="44" fillId="0" borderId="52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/>
    </xf>
    <xf numFmtId="0" fontId="44" fillId="0" borderId="97" xfId="44" applyFont="1" applyBorder="1" applyAlignment="1">
      <alignment horizontal="center" vertical="center"/>
    </xf>
    <xf numFmtId="3" fontId="72" fillId="0" borderId="21" xfId="64" applyNumberFormat="1" applyFont="1" applyBorder="1" applyAlignment="1">
      <alignment horizontal="center" vertical="center"/>
    </xf>
    <xf numFmtId="3" fontId="45" fillId="0" borderId="168" xfId="57" applyNumberFormat="1" applyFont="1" applyBorder="1" applyAlignment="1">
      <alignment horizontal="right"/>
    </xf>
    <xf numFmtId="3" fontId="45" fillId="0" borderId="169" xfId="57" applyNumberFormat="1" applyFont="1" applyBorder="1" applyAlignment="1">
      <alignment horizontal="right"/>
    </xf>
    <xf numFmtId="3" fontId="49" fillId="0" borderId="170" xfId="44" applyNumberFormat="1" applyFont="1" applyBorder="1" applyAlignment="1">
      <alignment horizontal="right" vertical="center"/>
    </xf>
    <xf numFmtId="3" fontId="49" fillId="0" borderId="171" xfId="44" applyNumberFormat="1" applyFont="1" applyBorder="1" applyAlignment="1">
      <alignment horizontal="right" vertical="center"/>
    </xf>
    <xf numFmtId="3" fontId="49" fillId="0" borderId="172" xfId="44" applyNumberFormat="1" applyFont="1" applyBorder="1" applyAlignment="1">
      <alignment horizontal="right" vertical="center"/>
    </xf>
    <xf numFmtId="0" fontId="49" fillId="0" borderId="93" xfId="44" applyFont="1" applyBorder="1"/>
    <xf numFmtId="0" fontId="44" fillId="0" borderId="162" xfId="44" applyFont="1" applyBorder="1" applyAlignment="1">
      <alignment horizontal="center" vertical="center"/>
    </xf>
    <xf numFmtId="0" fontId="49" fillId="0" borderId="173" xfId="44" applyFont="1" applyBorder="1"/>
    <xf numFmtId="0" fontId="49" fillId="0" borderId="174" xfId="44" applyFont="1" applyBorder="1"/>
    <xf numFmtId="0" fontId="46" fillId="0" borderId="97" xfId="57" applyFont="1" applyBorder="1" applyAlignment="1">
      <alignment horizontal="center" vertical="center" wrapText="1"/>
    </xf>
    <xf numFmtId="3" fontId="33" fillId="0" borderId="164" xfId="0" applyNumberFormat="1" applyFont="1" applyBorder="1" applyAlignment="1">
      <alignment wrapText="1"/>
    </xf>
    <xf numFmtId="3" fontId="33" fillId="0" borderId="175" xfId="0" applyNumberFormat="1" applyFont="1" applyBorder="1" applyAlignment="1">
      <alignment wrapText="1"/>
    </xf>
    <xf numFmtId="164" fontId="33" fillId="0" borderId="175" xfId="0" applyNumberFormat="1" applyFont="1" applyBorder="1" applyAlignment="1">
      <alignment wrapText="1"/>
    </xf>
    <xf numFmtId="164" fontId="56" fillId="0" borderId="175" xfId="0" applyNumberFormat="1" applyFont="1" applyBorder="1" applyAlignment="1">
      <alignment wrapText="1"/>
    </xf>
    <xf numFmtId="3" fontId="31" fillId="0" borderId="175" xfId="0" applyNumberFormat="1" applyFont="1" applyBorder="1" applyAlignment="1">
      <alignment wrapText="1"/>
    </xf>
    <xf numFmtId="3" fontId="56" fillId="0" borderId="175" xfId="0" applyNumberFormat="1" applyFont="1" applyBorder="1" applyAlignment="1">
      <alignment wrapText="1"/>
    </xf>
    <xf numFmtId="3" fontId="56" fillId="0" borderId="176" xfId="0" applyNumberFormat="1" applyFont="1" applyBorder="1" applyAlignment="1">
      <alignment wrapText="1"/>
    </xf>
    <xf numFmtId="3" fontId="33" fillId="0" borderId="177" xfId="0" applyNumberFormat="1" applyFont="1" applyBorder="1" applyAlignment="1">
      <alignment wrapText="1"/>
    </xf>
    <xf numFmtId="3" fontId="55" fillId="0" borderId="175" xfId="0" applyNumberFormat="1" applyFont="1" applyBorder="1"/>
    <xf numFmtId="3" fontId="55" fillId="0" borderId="176" xfId="0" applyNumberFormat="1" applyFont="1" applyBorder="1"/>
    <xf numFmtId="0" fontId="31" fillId="0" borderId="175" xfId="0" applyFont="1" applyBorder="1"/>
    <xf numFmtId="0" fontId="31" fillId="0" borderId="176" xfId="0" applyFont="1" applyBorder="1"/>
    <xf numFmtId="3" fontId="55" fillId="0" borderId="175" xfId="0" applyNumberFormat="1" applyFont="1" applyBorder="1" applyAlignment="1">
      <alignment wrapText="1"/>
    </xf>
    <xf numFmtId="0" fontId="41" fillId="0" borderId="166" xfId="0" applyFont="1" applyBorder="1" applyAlignment="1">
      <alignment horizontal="center" vertical="center" wrapText="1"/>
    </xf>
    <xf numFmtId="3" fontId="41" fillId="0" borderId="178" xfId="0" applyNumberFormat="1" applyFont="1" applyBorder="1" applyAlignment="1">
      <alignment horizontal="right" vertical="center" wrapText="1"/>
    </xf>
    <xf numFmtId="3" fontId="41" fillId="0" borderId="179" xfId="0" applyNumberFormat="1" applyFont="1" applyBorder="1" applyAlignment="1">
      <alignment horizontal="right" vertical="center" wrapText="1"/>
    </xf>
    <xf numFmtId="3" fontId="40" fillId="0" borderId="179" xfId="0" applyNumberFormat="1" applyFont="1" applyBorder="1" applyAlignment="1">
      <alignment horizontal="right" vertical="center" wrapText="1"/>
    </xf>
    <xf numFmtId="3" fontId="40" fillId="0" borderId="179" xfId="0" applyNumberFormat="1" applyFont="1" applyBorder="1"/>
    <xf numFmtId="3" fontId="41" fillId="0" borderId="179" xfId="0" applyNumberFormat="1" applyFont="1" applyBorder="1"/>
    <xf numFmtId="3" fontId="40" fillId="0" borderId="180" xfId="0" applyNumberFormat="1" applyFont="1" applyBorder="1"/>
    <xf numFmtId="3" fontId="41" fillId="0" borderId="166" xfId="0" applyNumberFormat="1" applyFont="1" applyBorder="1"/>
    <xf numFmtId="3" fontId="40" fillId="0" borderId="181" xfId="0" applyNumberFormat="1" applyFont="1" applyBorder="1"/>
    <xf numFmtId="3" fontId="40" fillId="0" borderId="178" xfId="0" applyNumberFormat="1" applyFont="1" applyBorder="1"/>
    <xf numFmtId="3" fontId="41" fillId="0" borderId="164" xfId="0" applyNumberFormat="1" applyFont="1" applyBorder="1" applyAlignment="1">
      <alignment horizontal="right" vertical="center" wrapText="1"/>
    </xf>
    <xf numFmtId="3" fontId="41" fillId="0" borderId="175" xfId="0" applyNumberFormat="1" applyFont="1" applyBorder="1" applyAlignment="1">
      <alignment horizontal="right" vertical="center" wrapText="1"/>
    </xf>
    <xf numFmtId="3" fontId="40" fillId="0" borderId="175" xfId="0" applyNumberFormat="1" applyFont="1" applyBorder="1" applyAlignment="1">
      <alignment horizontal="right" vertical="center" wrapText="1"/>
    </xf>
    <xf numFmtId="3" fontId="40" fillId="0" borderId="175" xfId="0" applyNumberFormat="1" applyFont="1" applyBorder="1"/>
    <xf numFmtId="3" fontId="41" fillId="0" borderId="175" xfId="0" applyNumberFormat="1" applyFont="1" applyBorder="1"/>
    <xf numFmtId="3" fontId="40" fillId="0" borderId="176" xfId="0" applyNumberFormat="1" applyFont="1" applyBorder="1"/>
    <xf numFmtId="3" fontId="40" fillId="0" borderId="164" xfId="0" applyNumberFormat="1" applyFont="1" applyBorder="1"/>
    <xf numFmtId="3" fontId="40" fillId="0" borderId="177" xfId="0" applyNumberFormat="1" applyFont="1" applyBorder="1"/>
    <xf numFmtId="3" fontId="42" fillId="0" borderId="180" xfId="0" applyNumberFormat="1" applyFont="1" applyBorder="1"/>
    <xf numFmtId="3" fontId="41" fillId="0" borderId="178" xfId="0" applyNumberFormat="1" applyFont="1" applyBorder="1"/>
    <xf numFmtId="3" fontId="41" fillId="0" borderId="177" xfId="0" applyNumberFormat="1" applyFont="1" applyBorder="1" applyAlignment="1">
      <alignment horizontal="right" vertical="center" wrapText="1"/>
    </xf>
    <xf numFmtId="3" fontId="42" fillId="0" borderId="175" xfId="0" applyNumberFormat="1" applyFont="1" applyBorder="1"/>
    <xf numFmtId="3" fontId="42" fillId="0" borderId="176" xfId="0" applyNumberFormat="1" applyFont="1" applyBorder="1"/>
    <xf numFmtId="3" fontId="41" fillId="0" borderId="177" xfId="0" applyNumberFormat="1" applyFont="1" applyBorder="1"/>
    <xf numFmtId="0" fontId="41" fillId="0" borderId="165" xfId="0" applyFont="1" applyBorder="1" applyAlignment="1">
      <alignment horizontal="center" vertical="center" wrapText="1"/>
    </xf>
    <xf numFmtId="3" fontId="41" fillId="0" borderId="182" xfId="0" applyNumberFormat="1" applyFont="1" applyBorder="1" applyAlignment="1">
      <alignment horizontal="right" vertical="center" wrapText="1"/>
    </xf>
    <xf numFmtId="3" fontId="41" fillId="0" borderId="183" xfId="0" applyNumberFormat="1" applyFont="1" applyBorder="1" applyAlignment="1">
      <alignment horizontal="right" vertical="center" wrapText="1"/>
    </xf>
    <xf numFmtId="3" fontId="40" fillId="0" borderId="183" xfId="0" applyNumberFormat="1" applyFont="1" applyBorder="1" applyAlignment="1">
      <alignment horizontal="right" vertical="center" wrapText="1"/>
    </xf>
    <xf numFmtId="3" fontId="40" fillId="0" borderId="183" xfId="0" applyNumberFormat="1" applyFont="1" applyBorder="1"/>
    <xf numFmtId="3" fontId="41" fillId="0" borderId="183" xfId="0" applyNumberFormat="1" applyFont="1" applyBorder="1"/>
    <xf numFmtId="3" fontId="42" fillId="0" borderId="184" xfId="0" applyNumberFormat="1" applyFont="1" applyBorder="1"/>
    <xf numFmtId="3" fontId="41" fillId="0" borderId="165" xfId="0" applyNumberFormat="1" applyFont="1" applyBorder="1"/>
    <xf numFmtId="3" fontId="41" fillId="0" borderId="182" xfId="0" applyNumberFormat="1" applyFont="1" applyBorder="1"/>
    <xf numFmtId="3" fontId="40" fillId="0" borderId="184" xfId="0" applyNumberFormat="1" applyFont="1" applyBorder="1"/>
    <xf numFmtId="3" fontId="41" fillId="0" borderId="75" xfId="0" applyNumberFormat="1" applyFont="1" applyBorder="1"/>
    <xf numFmtId="3" fontId="41" fillId="0" borderId="185" xfId="0" applyNumberFormat="1" applyFont="1" applyBorder="1" applyAlignment="1">
      <alignment horizontal="right" vertical="center" wrapText="1"/>
    </xf>
    <xf numFmtId="3" fontId="41" fillId="0" borderId="186" xfId="0" applyNumberFormat="1" applyFont="1" applyBorder="1" applyAlignment="1">
      <alignment horizontal="right" vertical="center" wrapText="1"/>
    </xf>
    <xf numFmtId="3" fontId="40" fillId="0" borderId="187" xfId="0" applyNumberFormat="1" applyFont="1" applyBorder="1" applyAlignment="1">
      <alignment horizontal="right" vertical="center" wrapText="1"/>
    </xf>
    <xf numFmtId="3" fontId="40" fillId="0" borderId="187" xfId="0" applyNumberFormat="1" applyFont="1" applyBorder="1"/>
    <xf numFmtId="3" fontId="40" fillId="0" borderId="186" xfId="0" applyNumberFormat="1" applyFont="1" applyBorder="1"/>
    <xf numFmtId="3" fontId="41" fillId="0" borderId="187" xfId="0" applyNumberFormat="1" applyFont="1" applyBorder="1"/>
    <xf numFmtId="3" fontId="41" fillId="0" borderId="186" xfId="0" applyNumberFormat="1" applyFont="1" applyBorder="1"/>
    <xf numFmtId="3" fontId="42" fillId="0" borderId="187" xfId="0" applyNumberFormat="1" applyFont="1" applyBorder="1"/>
    <xf numFmtId="3" fontId="41" fillId="0" borderId="167" xfId="0" applyNumberFormat="1" applyFont="1" applyBorder="1"/>
    <xf numFmtId="3" fontId="40" fillId="0" borderId="185" xfId="0" applyNumberFormat="1" applyFont="1" applyBorder="1"/>
    <xf numFmtId="3" fontId="41" fillId="0" borderId="166" xfId="0" applyNumberFormat="1" applyFont="1" applyBorder="1" applyAlignment="1">
      <alignment horizontal="right" vertical="center" wrapText="1"/>
    </xf>
    <xf numFmtId="3" fontId="40" fillId="0" borderId="181" xfId="0" applyNumberFormat="1" applyFont="1" applyBorder="1" applyAlignment="1">
      <alignment horizontal="right" vertical="center" wrapText="1"/>
    </xf>
    <xf numFmtId="0" fontId="41" fillId="0" borderId="178" xfId="0" applyFont="1" applyBorder="1" applyAlignment="1">
      <alignment horizontal="left" vertical="center"/>
    </xf>
    <xf numFmtId="3" fontId="41" fillId="0" borderId="187" xfId="0" applyNumberFormat="1" applyFont="1" applyBorder="1" applyAlignment="1">
      <alignment horizontal="right" vertical="center" wrapText="1"/>
    </xf>
    <xf numFmtId="3" fontId="32" fillId="0" borderId="178" xfId="45" applyNumberFormat="1" applyFont="1" applyBorder="1"/>
    <xf numFmtId="3" fontId="32" fillId="0" borderId="177" xfId="45" applyNumberFormat="1" applyFont="1" applyBorder="1"/>
    <xf numFmtId="0" fontId="32" fillId="0" borderId="177" xfId="45" applyFont="1" applyBorder="1" applyAlignment="1">
      <alignment horizontal="left" wrapText="1"/>
    </xf>
    <xf numFmtId="0" fontId="37" fillId="0" borderId="178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3" fontId="28" fillId="0" borderId="177" xfId="0" applyNumberFormat="1" applyFont="1" applyBorder="1" applyAlignment="1">
      <alignment vertical="center"/>
    </xf>
    <xf numFmtId="3" fontId="28" fillId="0" borderId="175" xfId="0" applyNumberFormat="1" applyFont="1" applyBorder="1" applyAlignment="1">
      <alignment vertical="center"/>
    </xf>
    <xf numFmtId="3" fontId="27" fillId="0" borderId="175" xfId="0" applyNumberFormat="1" applyFont="1" applyBorder="1" applyAlignment="1">
      <alignment vertical="center"/>
    </xf>
    <xf numFmtId="3" fontId="54" fillId="0" borderId="175" xfId="0" applyNumberFormat="1" applyFont="1" applyBorder="1" applyAlignment="1">
      <alignment vertical="center"/>
    </xf>
    <xf numFmtId="3" fontId="27" fillId="0" borderId="176" xfId="0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3" fontId="28" fillId="0" borderId="176" xfId="0" applyNumberFormat="1" applyFont="1" applyBorder="1" applyAlignment="1">
      <alignment vertical="center"/>
    </xf>
    <xf numFmtId="3" fontId="28" fillId="0" borderId="51" xfId="0" applyNumberFormat="1" applyFont="1" applyBorder="1" applyAlignment="1">
      <alignment vertical="center"/>
    </xf>
    <xf numFmtId="3" fontId="69" fillId="0" borderId="188" xfId="0" applyNumberFormat="1" applyFont="1" applyBorder="1" applyAlignment="1">
      <alignment horizontal="right" vertical="center" wrapText="1"/>
    </xf>
    <xf numFmtId="0" fontId="46" fillId="0" borderId="143" xfId="57" applyFont="1" applyBorder="1" applyAlignment="1">
      <alignment horizontal="center" vertical="center" wrapText="1"/>
    </xf>
    <xf numFmtId="0" fontId="45" fillId="0" borderId="189" xfId="57" applyFont="1" applyBorder="1"/>
    <xf numFmtId="0" fontId="45" fillId="0" borderId="190" xfId="57" applyFont="1" applyBorder="1"/>
    <xf numFmtId="3" fontId="45" fillId="0" borderId="191" xfId="57" applyNumberFormat="1" applyFont="1" applyBorder="1" applyAlignment="1">
      <alignment horizontal="right"/>
    </xf>
    <xf numFmtId="3" fontId="45" fillId="0" borderId="192" xfId="57" applyNumberFormat="1" applyFont="1" applyBorder="1" applyAlignment="1">
      <alignment horizontal="right"/>
    </xf>
    <xf numFmtId="0" fontId="46" fillId="0" borderId="162" xfId="57" applyFont="1" applyBorder="1" applyAlignment="1">
      <alignment horizontal="center" vertical="center" wrapText="1"/>
    </xf>
    <xf numFmtId="3" fontId="45" fillId="0" borderId="163" xfId="57" applyNumberFormat="1" applyFont="1" applyBorder="1" applyAlignment="1">
      <alignment horizontal="right"/>
    </xf>
    <xf numFmtId="3" fontId="45" fillId="0" borderId="193" xfId="57" applyNumberFormat="1" applyFont="1" applyBorder="1" applyAlignment="1">
      <alignment horizontal="right"/>
    </xf>
    <xf numFmtId="3" fontId="45" fillId="0" borderId="194" xfId="57" applyNumberFormat="1" applyFont="1" applyBorder="1" applyAlignment="1">
      <alignment horizontal="right"/>
    </xf>
    <xf numFmtId="3" fontId="45" fillId="0" borderId="195" xfId="57" applyNumberFormat="1" applyFont="1" applyBorder="1" applyAlignment="1">
      <alignment horizontal="right"/>
    </xf>
    <xf numFmtId="3" fontId="45" fillId="0" borderId="196" xfId="57" applyNumberFormat="1" applyFont="1" applyBorder="1" applyAlignment="1">
      <alignment horizontal="right"/>
    </xf>
    <xf numFmtId="0" fontId="46" fillId="0" borderId="162" xfId="57" applyFont="1" applyFill="1" applyBorder="1" applyAlignment="1">
      <alignment horizontal="center" vertical="center" wrapText="1"/>
    </xf>
    <xf numFmtId="3" fontId="46" fillId="0" borderId="197" xfId="57" applyNumberFormat="1" applyFont="1" applyBorder="1" applyAlignment="1">
      <alignment horizontal="right"/>
    </xf>
    <xf numFmtId="3" fontId="46" fillId="0" borderId="197" xfId="0" applyNumberFormat="1" applyFont="1" applyBorder="1"/>
    <xf numFmtId="3" fontId="46" fillId="0" borderId="145" xfId="57" applyNumberFormat="1" applyFont="1" applyBorder="1" applyAlignment="1">
      <alignment horizontal="right"/>
    </xf>
    <xf numFmtId="3" fontId="46" fillId="0" borderId="152" xfId="57" applyNumberFormat="1" applyFont="1" applyBorder="1" applyAlignment="1">
      <alignment horizontal="right"/>
    </xf>
    <xf numFmtId="3" fontId="46" fillId="0" borderId="194" xfId="0" applyNumberFormat="1" applyFont="1" applyBorder="1"/>
    <xf numFmtId="0" fontId="75" fillId="0" borderId="0" xfId="56" applyFont="1"/>
    <xf numFmtId="0" fontId="75" fillId="0" borderId="0" xfId="56" applyFont="1" applyBorder="1"/>
    <xf numFmtId="0" fontId="75" fillId="0" borderId="0" xfId="56" applyFont="1" applyFill="1" applyBorder="1"/>
    <xf numFmtId="0" fontId="0" fillId="0" borderId="0" xfId="0" applyBorder="1"/>
    <xf numFmtId="3" fontId="75" fillId="0" borderId="0" xfId="56" applyNumberFormat="1" applyFont="1" applyBorder="1"/>
    <xf numFmtId="3" fontId="75" fillId="0" borderId="0" xfId="56" applyNumberFormat="1" applyFont="1" applyFill="1" applyBorder="1"/>
    <xf numFmtId="3" fontId="49" fillId="0" borderId="0" xfId="56" applyNumberFormat="1" applyFont="1" applyBorder="1"/>
    <xf numFmtId="3" fontId="76" fillId="0" borderId="198" xfId="74" applyNumberFormat="1" applyFont="1" applyBorder="1" applyAlignment="1"/>
    <xf numFmtId="3" fontId="76" fillId="0" borderId="77" xfId="74" applyNumberFormat="1" applyFont="1" applyBorder="1" applyAlignment="1"/>
    <xf numFmtId="0" fontId="77" fillId="0" borderId="198" xfId="74" applyFont="1" applyBorder="1" applyAlignment="1">
      <alignment horizontal="left"/>
    </xf>
    <xf numFmtId="0" fontId="76" fillId="0" borderId="198" xfId="74" applyFont="1" applyBorder="1" applyAlignment="1">
      <alignment horizontal="left"/>
    </xf>
    <xf numFmtId="0" fontId="77" fillId="0" borderId="199" xfId="74" applyFont="1" applyBorder="1"/>
    <xf numFmtId="3" fontId="76" fillId="0" borderId="200" xfId="74" applyNumberFormat="1" applyFont="1" applyBorder="1" applyAlignment="1"/>
    <xf numFmtId="3" fontId="76" fillId="0" borderId="201" xfId="74" applyNumberFormat="1" applyFont="1" applyBorder="1" applyAlignment="1"/>
    <xf numFmtId="0" fontId="77" fillId="0" borderId="200" xfId="74" applyFont="1" applyBorder="1"/>
    <xf numFmtId="3" fontId="76" fillId="0" borderId="201" xfId="74" applyNumberFormat="1" applyFont="1" applyBorder="1"/>
    <xf numFmtId="0" fontId="77" fillId="0" borderId="201" xfId="74" applyFont="1" applyBorder="1" applyAlignment="1">
      <alignment horizontal="left"/>
    </xf>
    <xf numFmtId="3" fontId="76" fillId="24" borderId="201" xfId="74" applyNumberFormat="1" applyFont="1" applyFill="1" applyBorder="1" applyAlignment="1"/>
    <xf numFmtId="3" fontId="76" fillId="24" borderId="200" xfId="74" applyNumberFormat="1" applyFont="1" applyFill="1" applyBorder="1" applyAlignment="1"/>
    <xf numFmtId="0" fontId="77" fillId="24" borderId="201" xfId="74" applyFont="1" applyFill="1" applyBorder="1" applyAlignment="1">
      <alignment horizontal="left"/>
    </xf>
    <xf numFmtId="3" fontId="76" fillId="0" borderId="200" xfId="74" applyNumberFormat="1" applyFont="1" applyBorder="1"/>
    <xf numFmtId="0" fontId="77" fillId="0" borderId="201" xfId="74" applyFont="1" applyBorder="1" applyAlignment="1"/>
    <xf numFmtId="49" fontId="77" fillId="0" borderId="201" xfId="74" applyNumberFormat="1" applyFont="1" applyBorder="1" applyAlignment="1">
      <alignment horizontal="center"/>
    </xf>
    <xf numFmtId="0" fontId="77" fillId="0" borderId="201" xfId="74" applyFont="1" applyBorder="1"/>
    <xf numFmtId="3" fontId="77" fillId="0" borderId="201" xfId="74" applyNumberFormat="1" applyFont="1" applyBorder="1" applyAlignment="1">
      <alignment horizontal="right"/>
    </xf>
    <xf numFmtId="3" fontId="77" fillId="0" borderId="201" xfId="74" applyNumberFormat="1" applyFont="1" applyBorder="1"/>
    <xf numFmtId="3" fontId="77" fillId="0" borderId="200" xfId="74" applyNumberFormat="1" applyFont="1" applyBorder="1"/>
    <xf numFmtId="0" fontId="58" fillId="0" borderId="0" xfId="56"/>
    <xf numFmtId="0" fontId="77" fillId="0" borderId="201" xfId="74" applyFont="1" applyBorder="1" applyAlignment="1">
      <alignment horizontal="right"/>
    </xf>
    <xf numFmtId="0" fontId="77" fillId="0" borderId="201" xfId="74" applyFont="1" applyBorder="1" applyAlignment="1">
      <alignment wrapText="1"/>
    </xf>
    <xf numFmtId="3" fontId="77" fillId="0" borderId="200" xfId="74" applyNumberFormat="1" applyFont="1" applyBorder="1" applyAlignment="1">
      <alignment horizontal="right"/>
    </xf>
    <xf numFmtId="0" fontId="77" fillId="0" borderId="201" xfId="74" applyFont="1" applyBorder="1" applyAlignment="1">
      <alignment horizontal="left" vertical="center"/>
    </xf>
    <xf numFmtId="49" fontId="77" fillId="0" borderId="201" xfId="74" applyNumberFormat="1" applyFont="1" applyBorder="1" applyAlignment="1">
      <alignment horizontal="center" vertical="center"/>
    </xf>
    <xf numFmtId="0" fontId="77" fillId="0" borderId="201" xfId="74" applyFont="1" applyFill="1" applyBorder="1" applyAlignment="1">
      <alignment horizontal="left"/>
    </xf>
    <xf numFmtId="3" fontId="77" fillId="0" borderId="200" xfId="74" applyNumberFormat="1" applyFont="1" applyFill="1" applyBorder="1"/>
    <xf numFmtId="3" fontId="77" fillId="0" borderId="201" xfId="74" applyNumberFormat="1" applyFont="1" applyFill="1" applyBorder="1"/>
    <xf numFmtId="3" fontId="76" fillId="0" borderId="201" xfId="74" applyNumberFormat="1" applyFont="1" applyFill="1" applyBorder="1"/>
    <xf numFmtId="0" fontId="77" fillId="0" borderId="0" xfId="74" applyFont="1" applyBorder="1"/>
    <xf numFmtId="3" fontId="80" fillId="0" borderId="201" xfId="55" applyNumberFormat="1" applyFont="1" applyBorder="1" applyAlignment="1"/>
    <xf numFmtId="3" fontId="80" fillId="0" borderId="200" xfId="55" applyNumberFormat="1" applyFont="1" applyBorder="1" applyAlignment="1"/>
    <xf numFmtId="3" fontId="80" fillId="0" borderId="201" xfId="55" applyNumberFormat="1" applyFont="1" applyBorder="1"/>
    <xf numFmtId="0" fontId="81" fillId="0" borderId="201" xfId="55" applyFont="1" applyBorder="1" applyAlignment="1">
      <alignment horizontal="left"/>
    </xf>
    <xf numFmtId="0" fontId="80" fillId="0" borderId="201" xfId="55" applyFont="1" applyBorder="1" applyAlignment="1">
      <alignment horizontal="left"/>
    </xf>
    <xf numFmtId="0" fontId="80" fillId="0" borderId="205" xfId="55" applyFont="1" applyBorder="1" applyAlignment="1">
      <alignment horizontal="left"/>
    </xf>
    <xf numFmtId="0" fontId="81" fillId="0" borderId="200" xfId="55" applyFont="1" applyBorder="1"/>
    <xf numFmtId="3" fontId="81" fillId="0" borderId="201" xfId="55" applyNumberFormat="1" applyFont="1" applyBorder="1" applyAlignment="1">
      <alignment horizontal="right"/>
    </xf>
    <xf numFmtId="0" fontId="81" fillId="0" borderId="201" xfId="55" applyFont="1" applyBorder="1" applyAlignment="1"/>
    <xf numFmtId="49" fontId="81" fillId="0" borderId="201" xfId="55" applyNumberFormat="1" applyFont="1" applyBorder="1" applyAlignment="1">
      <alignment horizontal="center"/>
    </xf>
    <xf numFmtId="3" fontId="80" fillId="0" borderId="201" xfId="55" applyNumberFormat="1" applyFont="1" applyFill="1" applyBorder="1"/>
    <xf numFmtId="3" fontId="80" fillId="0" borderId="200" xfId="55" applyNumberFormat="1" applyFont="1" applyFill="1" applyBorder="1"/>
    <xf numFmtId="0" fontId="81" fillId="0" borderId="201" xfId="55" applyFont="1" applyFill="1" applyBorder="1" applyAlignment="1">
      <alignment horizontal="left"/>
    </xf>
    <xf numFmtId="0" fontId="80" fillId="0" borderId="201" xfId="55" applyFont="1" applyFill="1" applyBorder="1" applyAlignment="1">
      <alignment horizontal="left"/>
    </xf>
    <xf numFmtId="3" fontId="80" fillId="0" borderId="200" xfId="55" applyNumberFormat="1" applyFont="1" applyBorder="1"/>
    <xf numFmtId="0" fontId="81" fillId="0" borderId="201" xfId="55" applyFont="1" applyBorder="1" applyAlignment="1">
      <alignment horizontal="right"/>
    </xf>
    <xf numFmtId="3" fontId="81" fillId="0" borderId="201" xfId="55" applyNumberFormat="1" applyFont="1" applyBorder="1"/>
    <xf numFmtId="3" fontId="80" fillId="0" borderId="201" xfId="55" applyNumberFormat="1" applyFont="1" applyBorder="1" applyAlignment="1" applyProtection="1"/>
    <xf numFmtId="3" fontId="80" fillId="0" borderId="201" xfId="55" applyNumberFormat="1" applyFont="1" applyBorder="1" applyAlignment="1" applyProtection="1">
      <alignment horizontal="right"/>
    </xf>
    <xf numFmtId="3" fontId="80" fillId="0" borderId="201" xfId="55" applyNumberFormat="1" applyFont="1" applyBorder="1" applyAlignment="1">
      <alignment horizontal="right"/>
    </xf>
    <xf numFmtId="3" fontId="80" fillId="0" borderId="200" xfId="55" applyNumberFormat="1" applyFont="1" applyBorder="1" applyAlignment="1" applyProtection="1"/>
    <xf numFmtId="3" fontId="81" fillId="0" borderId="200" xfId="55" applyNumberFormat="1" applyFont="1" applyBorder="1"/>
    <xf numFmtId="3" fontId="80" fillId="0" borderId="0" xfId="55" applyNumberFormat="1" applyFont="1" applyAlignment="1">
      <alignment horizontal="right"/>
    </xf>
    <xf numFmtId="0" fontId="81" fillId="0" borderId="0" xfId="55" applyFont="1" applyAlignment="1">
      <alignment horizontal="center"/>
    </xf>
    <xf numFmtId="0" fontId="81" fillId="0" borderId="0" xfId="55" applyFont="1"/>
    <xf numFmtId="3" fontId="81" fillId="0" borderId="0" xfId="55" applyNumberFormat="1" applyFont="1" applyAlignment="1">
      <alignment horizontal="center"/>
    </xf>
    <xf numFmtId="0" fontId="81" fillId="0" borderId="0" xfId="55" applyFont="1" applyAlignment="1">
      <alignment horizontal="right"/>
    </xf>
    <xf numFmtId="0" fontId="82" fillId="0" borderId="0" xfId="55" applyFont="1" applyBorder="1" applyAlignment="1">
      <alignment horizontal="center"/>
    </xf>
    <xf numFmtId="3" fontId="82" fillId="0" borderId="0" xfId="55" applyNumberFormat="1" applyFont="1" applyBorder="1" applyAlignment="1">
      <alignment horizontal="center"/>
    </xf>
    <xf numFmtId="3" fontId="81" fillId="0" borderId="0" xfId="55" applyNumberFormat="1" applyFont="1"/>
    <xf numFmtId="0" fontId="61" fillId="0" borderId="0" xfId="58"/>
    <xf numFmtId="0" fontId="49" fillId="0" borderId="0" xfId="58" applyFont="1" applyFill="1"/>
    <xf numFmtId="0" fontId="61" fillId="0" borderId="0" xfId="58" applyFill="1"/>
    <xf numFmtId="0" fontId="61" fillId="0" borderId="0" xfId="58" applyBorder="1"/>
    <xf numFmtId="3" fontId="33" fillId="0" borderId="0" xfId="58" applyNumberFormat="1" applyFont="1" applyFill="1"/>
    <xf numFmtId="3" fontId="33" fillId="0" borderId="0" xfId="58" applyNumberFormat="1" applyFont="1" applyFill="1" applyAlignment="1">
      <alignment horizontal="center"/>
    </xf>
    <xf numFmtId="0" fontId="31" fillId="0" borderId="0" xfId="58" applyFont="1" applyFill="1" applyAlignment="1">
      <alignment horizontal="right"/>
    </xf>
    <xf numFmtId="49" fontId="31" fillId="0" borderId="0" xfId="58" applyNumberFormat="1" applyFont="1" applyFill="1"/>
    <xf numFmtId="3" fontId="49" fillId="0" borderId="0" xfId="58" applyNumberFormat="1" applyFont="1" applyFill="1"/>
    <xf numFmtId="0" fontId="61" fillId="0" borderId="0" xfId="58" applyFill="1" applyAlignment="1">
      <alignment horizontal="right"/>
    </xf>
    <xf numFmtId="0" fontId="84" fillId="0" borderId="0" xfId="58" applyFont="1" applyFill="1" applyBorder="1"/>
    <xf numFmtId="0" fontId="31" fillId="0" borderId="0" xfId="58" applyFont="1" applyFill="1" applyBorder="1"/>
    <xf numFmtId="3" fontId="33" fillId="0" borderId="0" xfId="58" applyNumberFormat="1" applyFont="1" applyFill="1" applyBorder="1"/>
    <xf numFmtId="3" fontId="33" fillId="0" borderId="0" xfId="58" applyNumberFormat="1" applyFont="1" applyFill="1" applyBorder="1" applyAlignment="1">
      <alignment horizontal="center"/>
    </xf>
    <xf numFmtId="49" fontId="31" fillId="0" borderId="0" xfId="58" applyNumberFormat="1" applyFont="1" applyFill="1" applyBorder="1"/>
    <xf numFmtId="0" fontId="56" fillId="0" borderId="0" xfId="58" applyFont="1" applyFill="1" applyBorder="1"/>
    <xf numFmtId="0" fontId="31" fillId="0" borderId="0" xfId="58" applyFont="1" applyFill="1"/>
    <xf numFmtId="0" fontId="31" fillId="0" borderId="210" xfId="58" applyFont="1" applyFill="1" applyBorder="1"/>
    <xf numFmtId="3" fontId="49" fillId="0" borderId="211" xfId="58" applyNumberFormat="1" applyFont="1" applyFill="1" applyBorder="1"/>
    <xf numFmtId="0" fontId="56" fillId="0" borderId="212" xfId="58" applyFont="1" applyFill="1" applyBorder="1"/>
    <xf numFmtId="0" fontId="31" fillId="0" borderId="214" xfId="58" applyFont="1" applyFill="1" applyBorder="1"/>
    <xf numFmtId="3" fontId="49" fillId="0" borderId="217" xfId="58" applyNumberFormat="1" applyFont="1" applyFill="1" applyBorder="1"/>
    <xf numFmtId="0" fontId="56" fillId="0" borderId="218" xfId="58" applyFont="1" applyFill="1" applyBorder="1"/>
    <xf numFmtId="3" fontId="49" fillId="0" borderId="220" xfId="58" applyNumberFormat="1" applyFont="1" applyFill="1" applyBorder="1"/>
    <xf numFmtId="0" fontId="56" fillId="0" borderId="221" xfId="58" applyFont="1" applyFill="1" applyBorder="1"/>
    <xf numFmtId="3" fontId="49" fillId="0" borderId="222" xfId="58" applyNumberFormat="1" applyFont="1" applyFill="1" applyBorder="1"/>
    <xf numFmtId="0" fontId="56" fillId="0" borderId="223" xfId="58" applyFont="1" applyFill="1" applyBorder="1"/>
    <xf numFmtId="3" fontId="33" fillId="0" borderId="224" xfId="58" applyNumberFormat="1" applyFont="1" applyFill="1" applyBorder="1"/>
    <xf numFmtId="3" fontId="33" fillId="0" borderId="224" xfId="58" applyNumberFormat="1" applyFont="1" applyFill="1" applyBorder="1" applyAlignment="1">
      <alignment horizontal="center"/>
    </xf>
    <xf numFmtId="0" fontId="31" fillId="0" borderId="224" xfId="58" applyFont="1" applyFill="1" applyBorder="1"/>
    <xf numFmtId="49" fontId="31" fillId="0" borderId="225" xfId="58" applyNumberFormat="1" applyFont="1" applyFill="1" applyBorder="1"/>
    <xf numFmtId="3" fontId="49" fillId="0" borderId="226" xfId="58" applyNumberFormat="1" applyFont="1" applyFill="1" applyBorder="1"/>
    <xf numFmtId="0" fontId="56" fillId="0" borderId="227" xfId="58" applyFont="1" applyFill="1" applyBorder="1"/>
    <xf numFmtId="3" fontId="33" fillId="0" borderId="228" xfId="58" applyNumberFormat="1" applyFont="1" applyFill="1" applyBorder="1"/>
    <xf numFmtId="3" fontId="33" fillId="0" borderId="229" xfId="58" applyNumberFormat="1" applyFont="1" applyFill="1" applyBorder="1" applyAlignment="1">
      <alignment horizontal="center"/>
    </xf>
    <xf numFmtId="0" fontId="31" fillId="0" borderId="229" xfId="58" applyFont="1" applyFill="1" applyBorder="1"/>
    <xf numFmtId="49" fontId="31" fillId="0" borderId="229" xfId="58" applyNumberFormat="1" applyFont="1" applyFill="1" applyBorder="1"/>
    <xf numFmtId="0" fontId="31" fillId="0" borderId="230" xfId="58" applyFont="1" applyFill="1" applyBorder="1"/>
    <xf numFmtId="0" fontId="86" fillId="0" borderId="0" xfId="58" applyFont="1" applyFill="1"/>
    <xf numFmtId="3" fontId="44" fillId="0" borderId="206" xfId="58" applyNumberFormat="1" applyFont="1" applyFill="1" applyBorder="1"/>
    <xf numFmtId="3" fontId="55" fillId="0" borderId="231" xfId="58" applyNumberFormat="1" applyFont="1" applyFill="1" applyBorder="1"/>
    <xf numFmtId="3" fontId="87" fillId="0" borderId="198" xfId="58" applyNumberFormat="1" applyFont="1" applyFill="1" applyBorder="1"/>
    <xf numFmtId="3" fontId="87" fillId="0" borderId="87" xfId="58" applyNumberFormat="1" applyFont="1" applyFill="1" applyBorder="1" applyAlignment="1">
      <alignment horizontal="center"/>
    </xf>
    <xf numFmtId="0" fontId="85" fillId="0" borderId="87" xfId="58" applyFont="1" applyFill="1" applyBorder="1"/>
    <xf numFmtId="49" fontId="85" fillId="0" borderId="98" xfId="58" applyNumberFormat="1" applyFont="1" applyFill="1" applyBorder="1"/>
    <xf numFmtId="0" fontId="87" fillId="0" borderId="232" xfId="58" applyFont="1" applyFill="1" applyBorder="1"/>
    <xf numFmtId="49" fontId="31" fillId="0" borderId="201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 applyAlignment="1">
      <alignment horizontal="center"/>
    </xf>
    <xf numFmtId="3" fontId="88" fillId="0" borderId="189" xfId="58" applyNumberFormat="1" applyFont="1" applyFill="1" applyBorder="1" applyAlignment="1">
      <alignment horizontal="right"/>
    </xf>
    <xf numFmtId="49" fontId="56" fillId="0" borderId="205" xfId="58" applyNumberFormat="1" applyFont="1" applyFill="1" applyBorder="1" applyAlignment="1">
      <alignment vertical="center" wrapText="1"/>
    </xf>
    <xf numFmtId="3" fontId="88" fillId="0" borderId="233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 applyAlignment="1">
      <alignment horizontal="center" wrapText="1"/>
    </xf>
    <xf numFmtId="49" fontId="74" fillId="0" borderId="205" xfId="58" applyNumberFormat="1" applyFont="1" applyFill="1" applyBorder="1" applyAlignment="1">
      <alignment vertical="center" wrapText="1"/>
    </xf>
    <xf numFmtId="0" fontId="88" fillId="0" borderId="235" xfId="58" applyFont="1" applyFill="1" applyBorder="1"/>
    <xf numFmtId="3" fontId="56" fillId="0" borderId="201" xfId="58" applyNumberFormat="1" applyFont="1" applyFill="1" applyBorder="1"/>
    <xf numFmtId="49" fontId="56" fillId="0" borderId="205" xfId="58" applyNumberFormat="1" applyFont="1" applyFill="1" applyBorder="1"/>
    <xf numFmtId="3" fontId="55" fillId="0" borderId="233" xfId="58" applyNumberFormat="1" applyFont="1" applyFill="1" applyBorder="1" applyAlignment="1">
      <alignment horizontal="right"/>
    </xf>
    <xf numFmtId="3" fontId="31" fillId="0" borderId="198" xfId="58" applyNumberFormat="1" applyFont="1" applyFill="1" applyBorder="1" applyAlignment="1">
      <alignment horizontal="right"/>
    </xf>
    <xf numFmtId="3" fontId="31" fillId="0" borderId="198" xfId="58" applyNumberFormat="1" applyFont="1" applyFill="1" applyBorder="1" applyAlignment="1">
      <alignment horizontal="center"/>
    </xf>
    <xf numFmtId="0" fontId="31" fillId="0" borderId="198" xfId="58" applyFont="1" applyFill="1" applyBorder="1"/>
    <xf numFmtId="49" fontId="55" fillId="0" borderId="235" xfId="58" applyNumberFormat="1" applyFont="1" applyFill="1" applyBorder="1" applyAlignment="1">
      <alignment horizontal="left" wrapText="1"/>
    </xf>
    <xf numFmtId="3" fontId="31" fillId="0" borderId="201" xfId="58" applyNumberFormat="1" applyFont="1" applyFill="1" applyBorder="1" applyAlignment="1">
      <alignment horizontal="right"/>
    </xf>
    <xf numFmtId="3" fontId="31" fillId="0" borderId="236" xfId="58" applyNumberFormat="1" applyFont="1" applyFill="1" applyBorder="1" applyAlignment="1">
      <alignment horizontal="center"/>
    </xf>
    <xf numFmtId="0" fontId="31" fillId="0" borderId="236" xfId="58" applyFont="1" applyFill="1" applyBorder="1"/>
    <xf numFmtId="49" fontId="55" fillId="0" borderId="205" xfId="58" applyNumberFormat="1" applyFont="1" applyFill="1" applyBorder="1"/>
    <xf numFmtId="3" fontId="87" fillId="0" borderId="233" xfId="58" applyNumberFormat="1" applyFont="1" applyFill="1" applyBorder="1" applyAlignment="1">
      <alignment horizontal="right"/>
    </xf>
    <xf numFmtId="49" fontId="31" fillId="0" borderId="205" xfId="58" applyNumberFormat="1" applyFont="1" applyFill="1" applyBorder="1"/>
    <xf numFmtId="0" fontId="87" fillId="0" borderId="235" xfId="58" applyFont="1" applyFill="1" applyBorder="1"/>
    <xf numFmtId="3" fontId="31" fillId="0" borderId="201" xfId="58" applyNumberFormat="1" applyFont="1" applyFill="1" applyBorder="1" applyAlignment="1">
      <alignment horizontal="center"/>
    </xf>
    <xf numFmtId="0" fontId="31" fillId="0" borderId="201" xfId="58" applyFont="1" applyFill="1" applyBorder="1"/>
    <xf numFmtId="49" fontId="89" fillId="0" borderId="205" xfId="58" applyNumberFormat="1" applyFont="1" applyFill="1" applyBorder="1" applyAlignment="1">
      <alignment vertical="center" wrapText="1"/>
    </xf>
    <xf numFmtId="0" fontId="55" fillId="0" borderId="235" xfId="58" applyFont="1" applyFill="1" applyBorder="1"/>
    <xf numFmtId="49" fontId="55" fillId="0" borderId="237" xfId="58" applyNumberFormat="1" applyFont="1" applyFill="1" applyBorder="1" applyAlignment="1">
      <alignment vertical="center" wrapText="1"/>
    </xf>
    <xf numFmtId="3" fontId="55" fillId="0" borderId="238" xfId="58" applyNumberFormat="1" applyFont="1" applyFill="1" applyBorder="1" applyAlignment="1">
      <alignment horizontal="right"/>
    </xf>
    <xf numFmtId="3" fontId="31" fillId="0" borderId="239" xfId="58" applyNumberFormat="1" applyFont="1" applyFill="1" applyBorder="1" applyAlignment="1">
      <alignment horizontal="center"/>
    </xf>
    <xf numFmtId="168" fontId="31" fillId="0" borderId="239" xfId="58" applyNumberFormat="1" applyFont="1" applyFill="1" applyBorder="1"/>
    <xf numFmtId="0" fontId="55" fillId="0" borderId="234" xfId="58" applyFont="1" applyFill="1" applyBorder="1"/>
    <xf numFmtId="3" fontId="56" fillId="0" borderId="233" xfId="58" applyNumberFormat="1" applyFont="1" applyFill="1" applyBorder="1" applyAlignment="1">
      <alignment horizontal="right"/>
    </xf>
    <xf numFmtId="3" fontId="55" fillId="0" borderId="217" xfId="58" applyNumberFormat="1" applyFont="1" applyFill="1" applyBorder="1" applyAlignment="1">
      <alignment horizontal="right"/>
    </xf>
    <xf numFmtId="3" fontId="31" fillId="0" borderId="201" xfId="58" applyNumberFormat="1" applyFont="1" applyFill="1" applyBorder="1"/>
    <xf numFmtId="49" fontId="87" fillId="0" borderId="205" xfId="58" applyNumberFormat="1" applyFont="1" applyFill="1" applyBorder="1"/>
    <xf numFmtId="168" fontId="31" fillId="0" borderId="201" xfId="58" applyNumberFormat="1" applyFont="1" applyFill="1" applyBorder="1" applyAlignment="1">
      <alignment horizontal="right"/>
    </xf>
    <xf numFmtId="3" fontId="56" fillId="0" borderId="189" xfId="58" applyNumberFormat="1" applyFont="1" applyFill="1" applyBorder="1" applyAlignment="1">
      <alignment horizontal="right"/>
    </xf>
    <xf numFmtId="49" fontId="55" fillId="0" borderId="100" xfId="58" applyNumberFormat="1" applyFont="1" applyFill="1" applyBorder="1"/>
    <xf numFmtId="49" fontId="55" fillId="0" borderId="235" xfId="58" applyNumberFormat="1" applyFont="1" applyFill="1" applyBorder="1" applyAlignment="1">
      <alignment vertical="center" wrapText="1"/>
    </xf>
    <xf numFmtId="4" fontId="56" fillId="0" borderId="189" xfId="58" applyNumberFormat="1" applyFont="1" applyFill="1" applyBorder="1" applyAlignment="1">
      <alignment horizontal="right"/>
    </xf>
    <xf numFmtId="3" fontId="90" fillId="0" borderId="201" xfId="58" applyNumberFormat="1" applyFont="1" applyFill="1" applyBorder="1" applyAlignment="1">
      <alignment horizontal="center"/>
    </xf>
    <xf numFmtId="0" fontId="56" fillId="0" borderId="205" xfId="58" applyNumberFormat="1" applyFont="1" applyFill="1" applyBorder="1" applyAlignment="1">
      <alignment vertical="center" wrapText="1"/>
    </xf>
    <xf numFmtId="3" fontId="87" fillId="0" borderId="217" xfId="58" applyNumberFormat="1" applyFont="1" applyFill="1" applyBorder="1" applyAlignment="1">
      <alignment horizontal="right"/>
    </xf>
    <xf numFmtId="49" fontId="55" fillId="0" borderId="205" xfId="58" applyNumberFormat="1" applyFont="1" applyFill="1" applyBorder="1" applyAlignment="1">
      <alignment vertical="center" wrapText="1"/>
    </xf>
    <xf numFmtId="4" fontId="31" fillId="0" borderId="201" xfId="58" applyNumberFormat="1" applyFont="1" applyFill="1" applyBorder="1" applyAlignment="1">
      <alignment horizontal="right"/>
    </xf>
    <xf numFmtId="0" fontId="56" fillId="0" borderId="235" xfId="58" applyFont="1" applyFill="1" applyBorder="1"/>
    <xf numFmtId="3" fontId="44" fillId="0" borderId="217" xfId="58" applyNumberFormat="1" applyFont="1" applyFill="1" applyBorder="1"/>
    <xf numFmtId="3" fontId="31" fillId="0" borderId="239" xfId="58" applyNumberFormat="1" applyFont="1" applyFill="1" applyBorder="1" applyAlignment="1">
      <alignment horizontal="right"/>
    </xf>
    <xf numFmtId="3" fontId="31" fillId="0" borderId="239" xfId="58" applyNumberFormat="1" applyFont="1" applyFill="1" applyBorder="1"/>
    <xf numFmtId="49" fontId="55" fillId="0" borderId="237" xfId="58" applyNumberFormat="1" applyFont="1" applyFill="1" applyBorder="1"/>
    <xf numFmtId="3" fontId="61" fillId="0" borderId="0" xfId="58" applyNumberFormat="1"/>
    <xf numFmtId="3" fontId="44" fillId="0" borderId="217" xfId="58" applyNumberFormat="1" applyFont="1" applyFill="1" applyBorder="1" applyAlignment="1">
      <alignment horizontal="right"/>
    </xf>
    <xf numFmtId="3" fontId="31" fillId="0" borderId="189" xfId="58" applyNumberFormat="1" applyFont="1" applyFill="1" applyBorder="1" applyAlignment="1">
      <alignment horizontal="right"/>
    </xf>
    <xf numFmtId="3" fontId="49" fillId="0" borderId="201" xfId="58" applyNumberFormat="1" applyFont="1" applyFill="1" applyBorder="1"/>
    <xf numFmtId="168" fontId="49" fillId="0" borderId="201" xfId="58" applyNumberFormat="1" applyFont="1" applyFill="1" applyBorder="1"/>
    <xf numFmtId="49" fontId="87" fillId="0" borderId="205" xfId="58" applyNumberFormat="1" applyFont="1" applyFill="1" applyBorder="1" applyAlignment="1">
      <alignment vertical="center" wrapText="1"/>
    </xf>
    <xf numFmtId="0" fontId="55" fillId="0" borderId="201" xfId="58" applyFont="1" applyFill="1" applyBorder="1" applyAlignment="1">
      <alignment horizontal="right" vertical="center" wrapText="1"/>
    </xf>
    <xf numFmtId="3" fontId="55" fillId="0" borderId="201" xfId="58" applyNumberFormat="1" applyFont="1" applyFill="1" applyBorder="1" applyAlignment="1">
      <alignment horizontal="center"/>
    </xf>
    <xf numFmtId="0" fontId="55" fillId="0" borderId="201" xfId="58" applyFont="1" applyFill="1" applyBorder="1" applyAlignment="1"/>
    <xf numFmtId="49" fontId="55" fillId="0" borderId="205" xfId="58" applyNumberFormat="1" applyFont="1" applyFill="1" applyBorder="1" applyAlignment="1"/>
    <xf numFmtId="0" fontId="74" fillId="0" borderId="201" xfId="58" applyFont="1" applyFill="1" applyBorder="1" applyAlignment="1"/>
    <xf numFmtId="3" fontId="27" fillId="0" borderId="201" xfId="58" applyNumberFormat="1" applyFont="1" applyFill="1" applyBorder="1" applyAlignment="1">
      <alignment horizontal="right" vertical="center" wrapText="1"/>
    </xf>
    <xf numFmtId="3" fontId="56" fillId="0" borderId="239" xfId="58" applyNumberFormat="1" applyFont="1" applyFill="1" applyBorder="1" applyAlignment="1">
      <alignment horizontal="right"/>
    </xf>
    <xf numFmtId="3" fontId="31" fillId="0" borderId="205" xfId="58" applyNumberFormat="1" applyFont="1" applyFill="1" applyBorder="1" applyAlignment="1">
      <alignment horizontal="center"/>
    </xf>
    <xf numFmtId="3" fontId="56" fillId="0" borderId="201" xfId="58" applyNumberFormat="1" applyFont="1" applyFill="1" applyBorder="1" applyAlignment="1">
      <alignment horizontal="right"/>
    </xf>
    <xf numFmtId="49" fontId="87" fillId="0" borderId="195" xfId="58" applyNumberFormat="1" applyFont="1" applyFill="1" applyBorder="1"/>
    <xf numFmtId="3" fontId="85" fillId="0" borderId="217" xfId="58" applyNumberFormat="1" applyFont="1" applyFill="1" applyBorder="1" applyAlignment="1">
      <alignment horizontal="right"/>
    </xf>
    <xf numFmtId="49" fontId="49" fillId="0" borderId="201" xfId="58" applyNumberFormat="1" applyFont="1" applyFill="1" applyBorder="1" applyAlignment="1">
      <alignment horizontal="right"/>
    </xf>
    <xf numFmtId="0" fontId="56" fillId="0" borderId="201" xfId="58" applyFont="1" applyFill="1" applyBorder="1"/>
    <xf numFmtId="49" fontId="88" fillId="0" borderId="205" xfId="58" applyNumberFormat="1" applyFont="1" applyFill="1" applyBorder="1"/>
    <xf numFmtId="0" fontId="74" fillId="0" borderId="0" xfId="58" applyFont="1" applyFill="1"/>
    <xf numFmtId="0" fontId="93" fillId="0" borderId="0" xfId="58" applyFont="1" applyFill="1" applyBorder="1"/>
    <xf numFmtId="3" fontId="49" fillId="0" borderId="201" xfId="58" applyNumberFormat="1" applyFont="1" applyFill="1" applyBorder="1" applyAlignment="1">
      <alignment horizontal="right"/>
    </xf>
    <xf numFmtId="0" fontId="49" fillId="0" borderId="201" xfId="58" applyFont="1" applyFill="1" applyBorder="1"/>
    <xf numFmtId="49" fontId="94" fillId="0" borderId="205" xfId="58" applyNumberFormat="1" applyFont="1" applyFill="1" applyBorder="1"/>
    <xf numFmtId="3" fontId="56" fillId="0" borderId="201" xfId="58" applyNumberFormat="1" applyFont="1" applyFill="1" applyBorder="1" applyAlignment="1">
      <alignment horizontal="center"/>
    </xf>
    <xf numFmtId="168" fontId="56" fillId="0" borderId="201" xfId="58" applyNumberFormat="1" applyFont="1" applyFill="1" applyBorder="1" applyAlignment="1">
      <alignment horizontal="right"/>
    </xf>
    <xf numFmtId="49" fontId="95" fillId="0" borderId="205" xfId="58" applyNumberFormat="1" applyFont="1" applyFill="1" applyBorder="1"/>
    <xf numFmtId="2" fontId="31" fillId="0" borderId="201" xfId="58" applyNumberFormat="1" applyFont="1" applyFill="1" applyBorder="1"/>
    <xf numFmtId="0" fontId="31" fillId="0" borderId="235" xfId="58" applyFont="1" applyFill="1" applyBorder="1"/>
    <xf numFmtId="3" fontId="56" fillId="0" borderId="239" xfId="58" applyNumberFormat="1" applyFont="1" applyFill="1" applyBorder="1" applyAlignment="1">
      <alignment horizontal="center"/>
    </xf>
    <xf numFmtId="2" fontId="31" fillId="0" borderId="239" xfId="58" applyNumberFormat="1" applyFont="1" applyFill="1" applyBorder="1"/>
    <xf numFmtId="49" fontId="87" fillId="0" borderId="237" xfId="58" applyNumberFormat="1" applyFont="1" applyFill="1" applyBorder="1"/>
    <xf numFmtId="0" fontId="87" fillId="0" borderId="234" xfId="58" applyFont="1" applyFill="1" applyBorder="1"/>
    <xf numFmtId="0" fontId="49" fillId="0" borderId="241" xfId="58" applyFont="1" applyFill="1" applyBorder="1"/>
    <xf numFmtId="3" fontId="84" fillId="0" borderId="238" xfId="58" applyNumberFormat="1" applyFont="1" applyFill="1" applyBorder="1"/>
    <xf numFmtId="0" fontId="27" fillId="0" borderId="229" xfId="58" applyFont="1" applyFill="1" applyBorder="1" applyAlignment="1">
      <alignment horizontal="center" vertical="center" wrapText="1"/>
    </xf>
    <xf numFmtId="0" fontId="27" fillId="0" borderId="242" xfId="58" applyFont="1" applyFill="1" applyBorder="1" applyAlignment="1">
      <alignment horizontal="center" vertical="center" wrapText="1"/>
    </xf>
    <xf numFmtId="0" fontId="27" fillId="0" borderId="228" xfId="58" applyFont="1" applyFill="1" applyBorder="1" applyAlignment="1">
      <alignment horizontal="center" vertical="center" wrapText="1"/>
    </xf>
    <xf numFmtId="49" fontId="74" fillId="0" borderId="242" xfId="58" applyNumberFormat="1" applyFont="1" applyFill="1" applyBorder="1" applyAlignment="1">
      <alignment horizontal="left" vertical="center"/>
    </xf>
    <xf numFmtId="0" fontId="55" fillId="0" borderId="243" xfId="58" applyFont="1" applyFill="1" applyBorder="1" applyAlignment="1">
      <alignment horizontal="center" vertical="center" wrapText="1"/>
    </xf>
    <xf numFmtId="0" fontId="27" fillId="0" borderId="198" xfId="58" applyFont="1" applyFill="1" applyBorder="1" applyAlignment="1">
      <alignment horizontal="center" vertical="center" wrapText="1"/>
    </xf>
    <xf numFmtId="0" fontId="45" fillId="0" borderId="0" xfId="0" applyFont="1" applyFill="1"/>
    <xf numFmtId="3" fontId="45" fillId="0" borderId="0" xfId="43" applyNumberFormat="1" applyFont="1" applyFill="1"/>
    <xf numFmtId="0" fontId="45" fillId="0" borderId="0" xfId="43" applyFont="1" applyFill="1" applyAlignment="1">
      <alignment wrapText="1"/>
    </xf>
    <xf numFmtId="3" fontId="46" fillId="0" borderId="0" xfId="43" applyNumberFormat="1" applyFont="1" applyFill="1" applyAlignment="1">
      <alignment horizontal="left" wrapText="1"/>
    </xf>
    <xf numFmtId="3" fontId="45" fillId="0" borderId="0" xfId="43" applyNumberFormat="1" applyFont="1" applyFill="1" applyAlignment="1">
      <alignment horizontal="left" wrapText="1"/>
    </xf>
    <xf numFmtId="169" fontId="46" fillId="0" borderId="0" xfId="43" applyNumberFormat="1" applyFont="1" applyFill="1" applyAlignment="1">
      <alignment horizontal="left" wrapText="1"/>
    </xf>
    <xf numFmtId="169" fontId="45" fillId="0" borderId="0" xfId="65" applyNumberFormat="1" applyFont="1" applyFill="1" applyBorder="1" applyAlignment="1" applyProtection="1">
      <alignment horizontal="left" wrapText="1"/>
    </xf>
    <xf numFmtId="3" fontId="37" fillId="0" borderId="162" xfId="43" applyNumberFormat="1" applyFont="1" applyFill="1" applyBorder="1"/>
    <xf numFmtId="3" fontId="37" fillId="0" borderId="250" xfId="43" applyNumberFormat="1" applyFont="1" applyFill="1" applyBorder="1"/>
    <xf numFmtId="3" fontId="37" fillId="0" borderId="251" xfId="43" applyNumberFormat="1" applyFont="1" applyFill="1" applyBorder="1"/>
    <xf numFmtId="3" fontId="37" fillId="0" borderId="252" xfId="43" applyNumberFormat="1" applyFont="1" applyFill="1" applyBorder="1"/>
    <xf numFmtId="3" fontId="37" fillId="0" borderId="253" xfId="43" applyNumberFormat="1" applyFont="1" applyFill="1" applyBorder="1"/>
    <xf numFmtId="3" fontId="37" fillId="0" borderId="254" xfId="43" applyNumberFormat="1" applyFont="1" applyFill="1" applyBorder="1"/>
    <xf numFmtId="3" fontId="37" fillId="0" borderId="255" xfId="43" applyNumberFormat="1" applyFont="1" applyFill="1" applyBorder="1"/>
    <xf numFmtId="0" fontId="52" fillId="0" borderId="256" xfId="43" applyFont="1" applyFill="1" applyBorder="1" applyAlignment="1">
      <alignment wrapText="1"/>
    </xf>
    <xf numFmtId="3" fontId="38" fillId="24" borderId="95" xfId="43" applyNumberFormat="1" applyFont="1" applyFill="1" applyBorder="1"/>
    <xf numFmtId="3" fontId="38" fillId="24" borderId="96" xfId="43" applyNumberFormat="1" applyFont="1" applyFill="1" applyBorder="1"/>
    <xf numFmtId="3" fontId="38" fillId="24" borderId="200" xfId="43" applyNumberFormat="1" applyFont="1" applyFill="1" applyBorder="1"/>
    <xf numFmtId="3" fontId="38" fillId="24" borderId="245" xfId="43" applyNumberFormat="1" applyFont="1" applyFill="1" applyBorder="1"/>
    <xf numFmtId="3" fontId="38" fillId="24" borderId="78" xfId="43" applyNumberFormat="1" applyFont="1" applyFill="1" applyBorder="1"/>
    <xf numFmtId="3" fontId="38" fillId="24" borderId="77" xfId="43" applyNumberFormat="1" applyFont="1" applyFill="1" applyBorder="1"/>
    <xf numFmtId="3" fontId="38" fillId="24" borderId="198" xfId="43" applyNumberFormat="1" applyFont="1" applyFill="1" applyBorder="1"/>
    <xf numFmtId="0" fontId="38" fillId="24" borderId="199" xfId="43" applyFont="1" applyFill="1" applyBorder="1" applyAlignment="1">
      <alignment wrapText="1"/>
    </xf>
    <xf numFmtId="3" fontId="38" fillId="24" borderId="88" xfId="43" applyNumberFormat="1" applyFont="1" applyFill="1" applyBorder="1"/>
    <xf numFmtId="3" fontId="38" fillId="24" borderId="195" xfId="43" applyNumberFormat="1" applyFont="1" applyFill="1" applyBorder="1"/>
    <xf numFmtId="3" fontId="38" fillId="24" borderId="189" xfId="43" applyNumberFormat="1" applyFont="1" applyFill="1" applyBorder="1"/>
    <xf numFmtId="3" fontId="38" fillId="24" borderId="257" xfId="43" applyNumberFormat="1" applyFont="1" applyFill="1" applyBorder="1"/>
    <xf numFmtId="3" fontId="38" fillId="24" borderId="201" xfId="43" applyNumberFormat="1" applyFont="1" applyFill="1" applyBorder="1"/>
    <xf numFmtId="0" fontId="38" fillId="24" borderId="258" xfId="43" applyFont="1" applyFill="1" applyBorder="1" applyAlignment="1">
      <alignment wrapText="1"/>
    </xf>
    <xf numFmtId="3" fontId="98" fillId="24" borderId="88" xfId="43" applyNumberFormat="1" applyFont="1" applyFill="1" applyBorder="1"/>
    <xf numFmtId="3" fontId="98" fillId="24" borderId="195" xfId="43" applyNumberFormat="1" applyFont="1" applyFill="1" applyBorder="1"/>
    <xf numFmtId="3" fontId="98" fillId="24" borderId="200" xfId="43" applyNumberFormat="1" applyFont="1" applyFill="1" applyBorder="1"/>
    <xf numFmtId="3" fontId="98" fillId="24" borderId="189" xfId="43" applyNumberFormat="1" applyFont="1" applyFill="1" applyBorder="1"/>
    <xf numFmtId="3" fontId="98" fillId="24" borderId="257" xfId="43" applyNumberFormat="1" applyFont="1" applyFill="1" applyBorder="1"/>
    <xf numFmtId="3" fontId="98" fillId="24" borderId="201" xfId="43" applyNumberFormat="1" applyFont="1" applyFill="1" applyBorder="1"/>
    <xf numFmtId="0" fontId="98" fillId="24" borderId="258" xfId="43" applyFont="1" applyFill="1" applyBorder="1" applyAlignment="1">
      <alignment wrapText="1"/>
    </xf>
    <xf numFmtId="3" fontId="98" fillId="24" borderId="197" xfId="43" applyNumberFormat="1" applyFont="1" applyFill="1" applyBorder="1"/>
    <xf numFmtId="3" fontId="98" fillId="24" borderId="215" xfId="43" applyNumberFormat="1" applyFont="1" applyFill="1" applyBorder="1"/>
    <xf numFmtId="3" fontId="98" fillId="24" borderId="259" xfId="43" applyNumberFormat="1" applyFont="1" applyFill="1" applyBorder="1"/>
    <xf numFmtId="3" fontId="98" fillId="24" borderId="216" xfId="43" applyNumberFormat="1" applyFont="1" applyFill="1" applyBorder="1"/>
    <xf numFmtId="3" fontId="98" fillId="24" borderId="85" xfId="43" applyNumberFormat="1" applyFont="1" applyFill="1" applyBorder="1"/>
    <xf numFmtId="3" fontId="98" fillId="24" borderId="84" xfId="43" applyNumberFormat="1" applyFont="1" applyFill="1" applyBorder="1"/>
    <xf numFmtId="3" fontId="98" fillId="24" borderId="239" xfId="43" applyNumberFormat="1" applyFont="1" applyFill="1" applyBorder="1"/>
    <xf numFmtId="0" fontId="98" fillId="24" borderId="83" xfId="43" applyFont="1" applyFill="1" applyBorder="1" applyAlignment="1">
      <alignment wrapText="1"/>
    </xf>
    <xf numFmtId="3" fontId="99" fillId="24" borderId="252" xfId="43" applyNumberFormat="1" applyFont="1" applyFill="1" applyBorder="1"/>
    <xf numFmtId="3" fontId="99" fillId="24" borderId="260" xfId="43" applyNumberFormat="1" applyFont="1" applyFill="1" applyBorder="1"/>
    <xf numFmtId="3" fontId="99" fillId="24" borderId="251" xfId="43" applyNumberFormat="1" applyFont="1" applyFill="1" applyBorder="1"/>
    <xf numFmtId="3" fontId="99" fillId="24" borderId="253" xfId="43" applyNumberFormat="1" applyFont="1" applyFill="1" applyBorder="1"/>
    <xf numFmtId="3" fontId="99" fillId="24" borderId="256" xfId="43" applyNumberFormat="1" applyFont="1" applyFill="1" applyBorder="1"/>
    <xf numFmtId="3" fontId="99" fillId="24" borderId="255" xfId="43" applyNumberFormat="1" applyFont="1" applyFill="1" applyBorder="1"/>
    <xf numFmtId="0" fontId="99" fillId="24" borderId="256" xfId="43" applyFont="1" applyFill="1" applyBorder="1" applyAlignment="1">
      <alignment wrapText="1"/>
    </xf>
    <xf numFmtId="3" fontId="98" fillId="24" borderId="95" xfId="43" applyNumberFormat="1" applyFont="1" applyFill="1" applyBorder="1"/>
    <xf numFmtId="3" fontId="98" fillId="24" borderId="96" xfId="43" applyNumberFormat="1" applyFont="1" applyFill="1" applyBorder="1"/>
    <xf numFmtId="3" fontId="98" fillId="24" borderId="77" xfId="43" applyNumberFormat="1" applyFont="1" applyFill="1" applyBorder="1"/>
    <xf numFmtId="3" fontId="98" fillId="24" borderId="245" xfId="43" applyNumberFormat="1" applyFont="1" applyFill="1" applyBorder="1"/>
    <xf numFmtId="3" fontId="98" fillId="24" borderId="78" xfId="43" applyNumberFormat="1" applyFont="1" applyFill="1" applyBorder="1"/>
    <xf numFmtId="3" fontId="98" fillId="24" borderId="198" xfId="43" applyNumberFormat="1" applyFont="1" applyFill="1" applyBorder="1"/>
    <xf numFmtId="0" fontId="98" fillId="24" borderId="199" xfId="43" applyFont="1" applyFill="1" applyBorder="1" applyAlignment="1">
      <alignment wrapText="1"/>
    </xf>
    <xf numFmtId="3" fontId="100" fillId="24" borderId="200" xfId="43" applyNumberFormat="1" applyFont="1" applyFill="1" applyBorder="1"/>
    <xf numFmtId="3" fontId="100" fillId="24" borderId="191" xfId="43" applyNumberFormat="1" applyFont="1" applyFill="1" applyBorder="1"/>
    <xf numFmtId="3" fontId="100" fillId="24" borderId="88" xfId="43" applyNumberFormat="1" applyFont="1" applyFill="1" applyBorder="1"/>
    <xf numFmtId="3" fontId="100" fillId="24" borderId="189" xfId="43" applyNumberFormat="1" applyFont="1" applyFill="1" applyBorder="1"/>
    <xf numFmtId="3" fontId="100" fillId="24" borderId="257" xfId="43" applyNumberFormat="1" applyFont="1" applyFill="1" applyBorder="1"/>
    <xf numFmtId="3" fontId="100" fillId="24" borderId="201" xfId="43" applyNumberFormat="1" applyFont="1" applyFill="1" applyBorder="1"/>
    <xf numFmtId="0" fontId="100" fillId="24" borderId="258" xfId="43" applyFont="1" applyFill="1" applyBorder="1" applyAlignment="1">
      <alignment wrapText="1"/>
    </xf>
    <xf numFmtId="3" fontId="98" fillId="24" borderId="88" xfId="55" applyNumberFormat="1" applyFont="1" applyFill="1" applyBorder="1"/>
    <xf numFmtId="3" fontId="98" fillId="24" borderId="195" xfId="55" applyNumberFormat="1" applyFont="1" applyFill="1" applyBorder="1"/>
    <xf numFmtId="3" fontId="98" fillId="24" borderId="200" xfId="55" applyNumberFormat="1" applyFont="1" applyFill="1" applyBorder="1"/>
    <xf numFmtId="3" fontId="98" fillId="24" borderId="189" xfId="55" applyNumberFormat="1" applyFont="1" applyFill="1" applyBorder="1"/>
    <xf numFmtId="3" fontId="98" fillId="24" borderId="257" xfId="55" applyNumberFormat="1" applyFont="1" applyFill="1" applyBorder="1"/>
    <xf numFmtId="3" fontId="98" fillId="24" borderId="201" xfId="55" applyNumberFormat="1" applyFont="1" applyFill="1" applyBorder="1"/>
    <xf numFmtId="49" fontId="98" fillId="24" borderId="258" xfId="55" applyNumberFormat="1" applyFont="1" applyFill="1" applyBorder="1" applyAlignment="1">
      <alignment horizontal="left" vertical="center" wrapText="1"/>
    </xf>
    <xf numFmtId="3" fontId="99" fillId="24" borderId="197" xfId="43" applyNumberFormat="1" applyFont="1" applyFill="1" applyBorder="1"/>
    <xf numFmtId="3" fontId="99" fillId="24" borderId="215" xfId="43" applyNumberFormat="1" applyFont="1" applyFill="1" applyBorder="1"/>
    <xf numFmtId="3" fontId="99" fillId="24" borderId="84" xfId="43" applyNumberFormat="1" applyFont="1" applyFill="1" applyBorder="1"/>
    <xf numFmtId="3" fontId="99" fillId="24" borderId="216" xfId="43" applyNumberFormat="1" applyFont="1" applyFill="1" applyBorder="1"/>
    <xf numFmtId="3" fontId="99" fillId="24" borderId="85" xfId="43" applyNumberFormat="1" applyFont="1" applyFill="1" applyBorder="1"/>
    <xf numFmtId="3" fontId="99" fillId="24" borderId="239" xfId="43" applyNumberFormat="1" applyFont="1" applyFill="1" applyBorder="1"/>
    <xf numFmtId="0" fontId="99" fillId="24" borderId="83" xfId="43" applyFont="1" applyFill="1" applyBorder="1" applyAlignment="1">
      <alignment wrapText="1"/>
    </xf>
    <xf numFmtId="3" fontId="99" fillId="24" borderId="254" xfId="43" applyNumberFormat="1" applyFont="1" applyFill="1" applyBorder="1"/>
    <xf numFmtId="3" fontId="38" fillId="24" borderId="88" xfId="43" applyNumberFormat="1" applyFont="1" applyFill="1" applyBorder="1" applyAlignment="1">
      <alignment horizontal="right"/>
    </xf>
    <xf numFmtId="0" fontId="0" fillId="28" borderId="0" xfId="0" applyFill="1"/>
    <xf numFmtId="49" fontId="98" fillId="24" borderId="199" xfId="55" applyNumberFormat="1" applyFont="1" applyFill="1" applyBorder="1" applyAlignment="1">
      <alignment horizontal="left" vertical="center" wrapText="1"/>
    </xf>
    <xf numFmtId="3" fontId="98" fillId="24" borderId="88" xfId="43" applyNumberFormat="1" applyFont="1" applyFill="1" applyBorder="1" applyAlignment="1">
      <alignment wrapText="1"/>
    </xf>
    <xf numFmtId="49" fontId="98" fillId="24" borderId="258" xfId="43" applyNumberFormat="1" applyFont="1" applyFill="1" applyBorder="1" applyAlignment="1">
      <alignment wrapText="1"/>
    </xf>
    <xf numFmtId="3" fontId="98" fillId="29" borderId="189" xfId="55" applyNumberFormat="1" applyFont="1" applyFill="1" applyBorder="1"/>
    <xf numFmtId="3" fontId="98" fillId="29" borderId="257" xfId="55" applyNumberFormat="1" applyFont="1" applyFill="1" applyBorder="1"/>
    <xf numFmtId="3" fontId="98" fillId="29" borderId="200" xfId="55" applyNumberFormat="1" applyFont="1" applyFill="1" applyBorder="1"/>
    <xf numFmtId="3" fontId="98" fillId="29" borderId="201" xfId="55" applyNumberFormat="1" applyFont="1" applyFill="1" applyBorder="1"/>
    <xf numFmtId="49" fontId="98" fillId="29" borderId="258" xfId="55" applyNumberFormat="1" applyFont="1" applyFill="1" applyBorder="1" applyAlignment="1">
      <alignment horizontal="left" vertical="center" wrapText="1"/>
    </xf>
    <xf numFmtId="49" fontId="101" fillId="24" borderId="258" xfId="55" applyNumberFormat="1" applyFont="1" applyFill="1" applyBorder="1" applyAlignment="1">
      <alignment horizontal="left" vertical="center" wrapText="1"/>
    </xf>
    <xf numFmtId="3" fontId="99" fillId="24" borderId="200" xfId="43" applyNumberFormat="1" applyFont="1" applyFill="1" applyBorder="1"/>
    <xf numFmtId="3" fontId="99" fillId="24" borderId="191" xfId="43" applyNumberFormat="1" applyFont="1" applyFill="1" applyBorder="1"/>
    <xf numFmtId="3" fontId="99" fillId="24" borderId="88" xfId="43" applyNumberFormat="1" applyFont="1" applyFill="1" applyBorder="1"/>
    <xf numFmtId="3" fontId="99" fillId="24" borderId="189" xfId="43" applyNumberFormat="1" applyFont="1" applyFill="1" applyBorder="1"/>
    <xf numFmtId="3" fontId="99" fillId="24" borderId="258" xfId="43" applyNumberFormat="1" applyFont="1" applyFill="1" applyBorder="1"/>
    <xf numFmtId="3" fontId="99" fillId="24" borderId="201" xfId="43" applyNumberFormat="1" applyFont="1" applyFill="1" applyBorder="1"/>
    <xf numFmtId="0" fontId="99" fillId="24" borderId="258" xfId="43" applyFont="1" applyFill="1" applyBorder="1" applyAlignment="1">
      <alignment wrapText="1"/>
    </xf>
    <xf numFmtId="49" fontId="98" fillId="24" borderId="258" xfId="55" applyNumberFormat="1" applyFont="1" applyFill="1" applyBorder="1" applyAlignment="1">
      <alignment wrapText="1"/>
    </xf>
    <xf numFmtId="3" fontId="37" fillId="0" borderId="200" xfId="43" applyNumberFormat="1" applyFont="1" applyFill="1" applyBorder="1"/>
    <xf numFmtId="3" fontId="37" fillId="0" borderId="191" xfId="43" applyNumberFormat="1" applyFont="1" applyFill="1" applyBorder="1"/>
    <xf numFmtId="3" fontId="37" fillId="0" borderId="88" xfId="43" applyNumberFormat="1" applyFont="1" applyFill="1" applyBorder="1"/>
    <xf numFmtId="3" fontId="37" fillId="0" borderId="189" xfId="43" applyNumberFormat="1" applyFont="1" applyFill="1" applyBorder="1"/>
    <xf numFmtId="3" fontId="37" fillId="0" borderId="257" xfId="43" applyNumberFormat="1" applyFont="1" applyFill="1" applyBorder="1"/>
    <xf numFmtId="3" fontId="38" fillId="0" borderId="189" xfId="43" applyNumberFormat="1" applyFont="1" applyFill="1" applyBorder="1"/>
    <xf numFmtId="3" fontId="38" fillId="0" borderId="200" xfId="43" applyNumberFormat="1" applyFont="1" applyFill="1" applyBorder="1"/>
    <xf numFmtId="3" fontId="38" fillId="0" borderId="201" xfId="43" applyNumberFormat="1" applyFont="1" applyFill="1" applyBorder="1"/>
    <xf numFmtId="0" fontId="37" fillId="0" borderId="258" xfId="43" applyFont="1" applyFill="1" applyBorder="1" applyAlignment="1">
      <alignment wrapText="1"/>
    </xf>
    <xf numFmtId="3" fontId="38" fillId="0" borderId="88" xfId="43" applyNumberFormat="1" applyFont="1" applyFill="1" applyBorder="1"/>
    <xf numFmtId="3" fontId="37" fillId="0" borderId="260" xfId="43" applyNumberFormat="1" applyFont="1" applyFill="1" applyBorder="1"/>
    <xf numFmtId="3" fontId="38" fillId="0" borderId="261" xfId="43" applyNumberFormat="1" applyFont="1" applyFill="1" applyBorder="1"/>
    <xf numFmtId="3" fontId="38" fillId="0" borderId="257" xfId="43" applyNumberFormat="1" applyFont="1" applyFill="1" applyBorder="1"/>
    <xf numFmtId="0" fontId="38" fillId="0" borderId="258" xfId="43" applyFont="1" applyFill="1" applyBorder="1" applyAlignment="1">
      <alignment wrapText="1"/>
    </xf>
    <xf numFmtId="3" fontId="102" fillId="0" borderId="88" xfId="55" applyNumberFormat="1" applyFont="1" applyFill="1" applyBorder="1"/>
    <xf numFmtId="3" fontId="102" fillId="0" borderId="261" xfId="55" applyNumberFormat="1" applyFont="1" applyFill="1" applyBorder="1"/>
    <xf numFmtId="3" fontId="102" fillId="0" borderId="200" xfId="55" applyNumberFormat="1" applyFont="1" applyFill="1" applyBorder="1"/>
    <xf numFmtId="3" fontId="102" fillId="24" borderId="88" xfId="55" applyNumberFormat="1" applyFont="1" applyFill="1" applyBorder="1"/>
    <xf numFmtId="3" fontId="102" fillId="24" borderId="189" xfId="55" applyNumberFormat="1" applyFont="1" applyFill="1" applyBorder="1"/>
    <xf numFmtId="3" fontId="102" fillId="24" borderId="257" xfId="55" applyNumberFormat="1" applyFont="1" applyFill="1" applyBorder="1"/>
    <xf numFmtId="3" fontId="102" fillId="24" borderId="200" xfId="55" applyNumberFormat="1" applyFont="1" applyFill="1" applyBorder="1"/>
    <xf numFmtId="3" fontId="102" fillId="24" borderId="201" xfId="55" applyNumberFormat="1" applyFont="1" applyFill="1" applyBorder="1"/>
    <xf numFmtId="49" fontId="102" fillId="24" borderId="258" xfId="55" applyNumberFormat="1" applyFont="1" applyFill="1" applyBorder="1" applyAlignment="1">
      <alignment horizontal="left" vertical="center" wrapText="1"/>
    </xf>
    <xf numFmtId="49" fontId="102" fillId="30" borderId="258" xfId="55" applyNumberFormat="1" applyFont="1" applyFill="1" applyBorder="1" applyAlignment="1">
      <alignment horizontal="left" vertical="center" wrapText="1"/>
    </xf>
    <xf numFmtId="3" fontId="37" fillId="0" borderId="261" xfId="43" applyNumberFormat="1" applyFont="1" applyFill="1" applyBorder="1"/>
    <xf numFmtId="3" fontId="37" fillId="0" borderId="201" xfId="43" applyNumberFormat="1" applyFont="1" applyFill="1" applyBorder="1"/>
    <xf numFmtId="3" fontId="38" fillId="0" borderId="84" xfId="43" applyNumberFormat="1" applyFont="1" applyFill="1" applyBorder="1"/>
    <xf numFmtId="3" fontId="38" fillId="0" borderId="197" xfId="43" applyNumberFormat="1" applyFont="1" applyFill="1" applyBorder="1"/>
    <xf numFmtId="3" fontId="38" fillId="0" borderId="216" xfId="43" applyNumberFormat="1" applyFont="1" applyFill="1" applyBorder="1"/>
    <xf numFmtId="3" fontId="38" fillId="0" borderId="85" xfId="43" applyNumberFormat="1" applyFont="1" applyFill="1" applyBorder="1"/>
    <xf numFmtId="3" fontId="38" fillId="0" borderId="239" xfId="43" applyNumberFormat="1" applyFont="1" applyFill="1" applyBorder="1"/>
    <xf numFmtId="0" fontId="38" fillId="0" borderId="83" xfId="43" applyFont="1" applyFill="1" applyBorder="1" applyAlignment="1">
      <alignment wrapText="1"/>
    </xf>
    <xf numFmtId="0" fontId="37" fillId="0" borderId="256" xfId="43" applyFont="1" applyFill="1" applyBorder="1" applyAlignment="1">
      <alignment wrapText="1"/>
    </xf>
    <xf numFmtId="3" fontId="38" fillId="0" borderId="215" xfId="43" applyNumberFormat="1" applyFont="1" applyFill="1" applyBorder="1"/>
    <xf numFmtId="3" fontId="38" fillId="0" borderId="262" xfId="43" applyNumberFormat="1" applyFont="1" applyFill="1" applyBorder="1"/>
    <xf numFmtId="3" fontId="38" fillId="0" borderId="263" xfId="43" applyNumberFormat="1" applyFont="1" applyFill="1" applyBorder="1"/>
    <xf numFmtId="3" fontId="38" fillId="0" borderId="264" xfId="43" applyNumberFormat="1" applyFont="1" applyFill="1" applyBorder="1"/>
    <xf numFmtId="3" fontId="38" fillId="0" borderId="265" xfId="43" applyNumberFormat="1" applyFont="1" applyFill="1" applyBorder="1"/>
    <xf numFmtId="3" fontId="38" fillId="0" borderId="266" xfId="43" applyNumberFormat="1" applyFont="1" applyFill="1" applyBorder="1"/>
    <xf numFmtId="0" fontId="38" fillId="0" borderId="267" xfId="43" applyFont="1" applyFill="1" applyBorder="1" applyAlignment="1">
      <alignment wrapText="1"/>
    </xf>
    <xf numFmtId="0" fontId="37" fillId="0" borderId="252" xfId="0" applyFont="1" applyFill="1" applyBorder="1" applyAlignment="1">
      <alignment horizontal="center" wrapText="1"/>
    </xf>
    <xf numFmtId="0" fontId="37" fillId="0" borderId="250" xfId="43" applyNumberFormat="1" applyFont="1" applyFill="1" applyBorder="1" applyAlignment="1">
      <alignment horizontal="center" wrapText="1"/>
    </xf>
    <xf numFmtId="0" fontId="37" fillId="0" borderId="252" xfId="43" applyNumberFormat="1" applyFont="1" applyFill="1" applyBorder="1" applyAlignment="1">
      <alignment horizontal="center" wrapText="1"/>
    </xf>
    <xf numFmtId="0" fontId="37" fillId="24" borderId="251" xfId="43" applyNumberFormat="1" applyFont="1" applyFill="1" applyBorder="1" applyAlignment="1">
      <alignment horizontal="center" wrapText="1"/>
    </xf>
    <xf numFmtId="0" fontId="37" fillId="0" borderId="253" xfId="43" applyNumberFormat="1" applyFont="1" applyFill="1" applyBorder="1" applyAlignment="1">
      <alignment horizontal="center" wrapText="1"/>
    </xf>
    <xf numFmtId="0" fontId="37" fillId="0" borderId="254" xfId="43" applyNumberFormat="1" applyFont="1" applyFill="1" applyBorder="1" applyAlignment="1">
      <alignment horizontal="center" wrapText="1"/>
    </xf>
    <xf numFmtId="0" fontId="37" fillId="0" borderId="251" xfId="43" applyNumberFormat="1" applyFont="1" applyFill="1" applyBorder="1" applyAlignment="1">
      <alignment horizontal="center" wrapText="1"/>
    </xf>
    <xf numFmtId="3" fontId="37" fillId="0" borderId="255" xfId="43" applyNumberFormat="1" applyFont="1" applyFill="1" applyBorder="1" applyAlignment="1">
      <alignment horizontal="center" wrapText="1"/>
    </xf>
    <xf numFmtId="0" fontId="45" fillId="24" borderId="0" xfId="0" applyFont="1" applyFill="1"/>
    <xf numFmtId="3" fontId="38" fillId="0" borderId="0" xfId="43" applyNumberFormat="1" applyFont="1" applyFill="1" applyBorder="1"/>
    <xf numFmtId="3" fontId="38" fillId="0" borderId="268" xfId="43" applyNumberFormat="1" applyFont="1" applyFill="1" applyBorder="1"/>
    <xf numFmtId="0" fontId="38" fillId="0" borderId="268" xfId="43" applyFont="1" applyFill="1" applyBorder="1" applyAlignment="1">
      <alignment wrapText="1"/>
    </xf>
    <xf numFmtId="0" fontId="37" fillId="0" borderId="0" xfId="43" applyFont="1" applyFill="1" applyBorder="1" applyAlignment="1">
      <alignment horizontal="center" vertical="center" wrapText="1"/>
    </xf>
    <xf numFmtId="3" fontId="0" fillId="0" borderId="0" xfId="0" applyNumberFormat="1"/>
    <xf numFmtId="3" fontId="37" fillId="0" borderId="269" xfId="43" applyNumberFormat="1" applyFont="1" applyFill="1" applyBorder="1"/>
    <xf numFmtId="3" fontId="37" fillId="0" borderId="224" xfId="43" applyNumberFormat="1" applyFont="1" applyFill="1" applyBorder="1"/>
    <xf numFmtId="3" fontId="38" fillId="0" borderId="225" xfId="55" applyNumberFormat="1" applyFont="1" applyBorder="1"/>
    <xf numFmtId="3" fontId="37" fillId="0" borderId="225" xfId="43" applyNumberFormat="1" applyFont="1" applyFill="1" applyBorder="1"/>
    <xf numFmtId="3" fontId="37" fillId="0" borderId="270" xfId="43" applyNumberFormat="1" applyFont="1" applyFill="1" applyBorder="1"/>
    <xf numFmtId="3" fontId="37" fillId="0" borderId="271" xfId="43" applyNumberFormat="1" applyFont="1" applyFill="1" applyBorder="1"/>
    <xf numFmtId="3" fontId="37" fillId="0" borderId="272" xfId="43" applyNumberFormat="1" applyFont="1" applyFill="1" applyBorder="1"/>
    <xf numFmtId="3" fontId="37" fillId="0" borderId="273" xfId="43" applyNumberFormat="1" applyFont="1" applyFill="1" applyBorder="1"/>
    <xf numFmtId="0" fontId="52" fillId="0" borderId="274" xfId="43" applyFont="1" applyFill="1" applyBorder="1" applyAlignment="1">
      <alignment wrapText="1"/>
    </xf>
    <xf numFmtId="3" fontId="0" fillId="0" borderId="191" xfId="0" applyNumberFormat="1" applyBorder="1"/>
    <xf numFmtId="3" fontId="0" fillId="0" borderId="88" xfId="0" applyNumberFormat="1" applyBorder="1"/>
    <xf numFmtId="3" fontId="38" fillId="0" borderId="189" xfId="55" applyNumberFormat="1" applyFont="1" applyBorder="1"/>
    <xf numFmtId="0" fontId="0" fillId="0" borderId="200" xfId="0" applyBorder="1"/>
    <xf numFmtId="0" fontId="102" fillId="0" borderId="195" xfId="55" applyFont="1" applyBorder="1"/>
    <xf numFmtId="0" fontId="102" fillId="0" borderId="191" xfId="55" applyFont="1" applyBorder="1"/>
    <xf numFmtId="0" fontId="102" fillId="0" borderId="200" xfId="55" applyFont="1" applyBorder="1"/>
    <xf numFmtId="0" fontId="102" fillId="0" borderId="205" xfId="55" applyFont="1" applyBorder="1"/>
    <xf numFmtId="0" fontId="102" fillId="0" borderId="88" xfId="55" applyFont="1" applyBorder="1"/>
    <xf numFmtId="0" fontId="102" fillId="0" borderId="189" xfId="55" applyFont="1" applyBorder="1"/>
    <xf numFmtId="0" fontId="102" fillId="0" borderId="201" xfId="55" applyFont="1" applyBorder="1"/>
    <xf numFmtId="0" fontId="38" fillId="0" borderId="258" xfId="43" applyFont="1" applyFill="1" applyBorder="1"/>
    <xf numFmtId="3" fontId="102" fillId="0" borderId="195" xfId="55" applyNumberFormat="1" applyFont="1" applyBorder="1"/>
    <xf numFmtId="3" fontId="102" fillId="0" borderId="191" xfId="55" applyNumberFormat="1" applyFont="1" applyBorder="1"/>
    <xf numFmtId="3" fontId="102" fillId="0" borderId="205" xfId="55" applyNumberFormat="1" applyFont="1" applyBorder="1"/>
    <xf numFmtId="3" fontId="102" fillId="0" borderId="88" xfId="55" applyNumberFormat="1" applyFont="1" applyBorder="1"/>
    <xf numFmtId="3" fontId="37" fillId="0" borderId="195" xfId="43" applyNumberFormat="1" applyFont="1" applyFill="1" applyBorder="1"/>
    <xf numFmtId="3" fontId="37" fillId="0" borderId="205" xfId="43" applyNumberFormat="1" applyFont="1" applyFill="1" applyBorder="1"/>
    <xf numFmtId="3" fontId="53" fillId="0" borderId="191" xfId="0" applyNumberFormat="1" applyFont="1" applyBorder="1"/>
    <xf numFmtId="3" fontId="53" fillId="0" borderId="88" xfId="0" applyNumberFormat="1" applyFont="1" applyBorder="1"/>
    <xf numFmtId="3" fontId="38" fillId="0" borderId="200" xfId="55" applyNumberFormat="1" applyFont="1" applyBorder="1"/>
    <xf numFmtId="0" fontId="38" fillId="0" borderId="195" xfId="55" applyFont="1" applyBorder="1"/>
    <xf numFmtId="0" fontId="38" fillId="0" borderId="191" xfId="55" applyFont="1" applyBorder="1"/>
    <xf numFmtId="0" fontId="38" fillId="0" borderId="205" xfId="55" applyFont="1" applyBorder="1"/>
    <xf numFmtId="0" fontId="38" fillId="0" borderId="88" xfId="55" applyFont="1" applyBorder="1"/>
    <xf numFmtId="0" fontId="38" fillId="0" borderId="189" xfId="55" applyFont="1" applyBorder="1"/>
    <xf numFmtId="0" fontId="38" fillId="0" borderId="201" xfId="55" applyFont="1" applyBorder="1"/>
    <xf numFmtId="0" fontId="38" fillId="0" borderId="258" xfId="55" applyFont="1" applyBorder="1"/>
    <xf numFmtId="3" fontId="38" fillId="0" borderId="191" xfId="55" applyNumberFormat="1" applyFont="1" applyBorder="1"/>
    <xf numFmtId="3" fontId="103" fillId="0" borderId="201" xfId="43" applyNumberFormat="1" applyFont="1" applyFill="1" applyBorder="1"/>
    <xf numFmtId="0" fontId="103" fillId="0" borderId="258" xfId="43" applyFont="1" applyFill="1" applyBorder="1" applyAlignment="1">
      <alignment wrapText="1"/>
    </xf>
    <xf numFmtId="3" fontId="38" fillId="0" borderId="195" xfId="55" applyNumberFormat="1" applyFont="1" applyBorder="1"/>
    <xf numFmtId="0" fontId="0" fillId="26" borderId="0" xfId="0" applyFill="1"/>
    <xf numFmtId="3" fontId="53" fillId="26" borderId="191" xfId="0" applyNumberFormat="1" applyFont="1" applyFill="1" applyBorder="1"/>
    <xf numFmtId="3" fontId="53" fillId="24" borderId="88" xfId="0" applyNumberFormat="1" applyFont="1" applyFill="1" applyBorder="1"/>
    <xf numFmtId="3" fontId="38" fillId="24" borderId="189" xfId="55" applyNumberFormat="1" applyFont="1" applyFill="1" applyBorder="1"/>
    <xf numFmtId="3" fontId="38" fillId="24" borderId="200" xfId="55" applyNumberFormat="1" applyFont="1" applyFill="1" applyBorder="1"/>
    <xf numFmtId="3" fontId="38" fillId="24" borderId="195" xfId="55" applyNumberFormat="1" applyFont="1" applyFill="1" applyBorder="1"/>
    <xf numFmtId="3" fontId="38" fillId="24" borderId="191" xfId="55" applyNumberFormat="1" applyFont="1" applyFill="1" applyBorder="1"/>
    <xf numFmtId="0" fontId="38" fillId="24" borderId="205" xfId="55" applyFont="1" applyFill="1" applyBorder="1"/>
    <xf numFmtId="0" fontId="38" fillId="24" borderId="88" xfId="55" applyFont="1" applyFill="1" applyBorder="1"/>
    <xf numFmtId="0" fontId="38" fillId="24" borderId="189" xfId="55" applyFont="1" applyFill="1" applyBorder="1"/>
    <xf numFmtId="0" fontId="38" fillId="24" borderId="201" xfId="55" applyFont="1" applyFill="1" applyBorder="1"/>
    <xf numFmtId="3" fontId="53" fillId="0" borderId="200" xfId="0" applyNumberFormat="1" applyFont="1" applyBorder="1"/>
    <xf numFmtId="3" fontId="38" fillId="0" borderId="205" xfId="55" applyNumberFormat="1" applyFont="1" applyBorder="1"/>
    <xf numFmtId="3" fontId="38" fillId="0" borderId="88" xfId="55" applyNumberFormat="1" applyFont="1" applyBorder="1"/>
    <xf numFmtId="49" fontId="38" fillId="24" borderId="258" xfId="55" applyNumberFormat="1" applyFont="1" applyFill="1" applyBorder="1" applyAlignment="1">
      <alignment wrapText="1"/>
    </xf>
    <xf numFmtId="49" fontId="38" fillId="24" borderId="258" xfId="55" applyNumberFormat="1" applyFont="1" applyFill="1" applyBorder="1"/>
    <xf numFmtId="3" fontId="38" fillId="0" borderId="201" xfId="55" applyNumberFormat="1" applyFont="1" applyBorder="1"/>
    <xf numFmtId="3" fontId="38" fillId="24" borderId="201" xfId="55" applyNumberFormat="1" applyFont="1" applyFill="1" applyBorder="1"/>
    <xf numFmtId="49" fontId="38" fillId="24" borderId="258" xfId="55" applyNumberFormat="1" applyFont="1" applyFill="1" applyBorder="1" applyAlignment="1">
      <alignment horizontal="left" vertical="center" wrapText="1"/>
    </xf>
    <xf numFmtId="0" fontId="0" fillId="31" borderId="0" xfId="0" applyFill="1"/>
    <xf numFmtId="3" fontId="53" fillId="31" borderId="191" xfId="0" applyNumberFormat="1" applyFont="1" applyFill="1" applyBorder="1"/>
    <xf numFmtId="3" fontId="53" fillId="24" borderId="200" xfId="0" applyNumberFormat="1" applyFont="1" applyFill="1" applyBorder="1"/>
    <xf numFmtId="3" fontId="38" fillId="24" borderId="205" xfId="55" applyNumberFormat="1" applyFont="1" applyFill="1" applyBorder="1"/>
    <xf numFmtId="3" fontId="38" fillId="24" borderId="88" xfId="55" applyNumberFormat="1" applyFont="1" applyFill="1" applyBorder="1"/>
    <xf numFmtId="3" fontId="38" fillId="31" borderId="189" xfId="55" applyNumberFormat="1" applyFont="1" applyFill="1" applyBorder="1"/>
    <xf numFmtId="3" fontId="38" fillId="31" borderId="201" xfId="55" applyNumberFormat="1" applyFont="1" applyFill="1" applyBorder="1"/>
    <xf numFmtId="3" fontId="38" fillId="31" borderId="201" xfId="43" applyNumberFormat="1" applyFont="1" applyFill="1" applyBorder="1"/>
    <xf numFmtId="49" fontId="38" fillId="24" borderId="258" xfId="43" applyNumberFormat="1" applyFont="1" applyFill="1" applyBorder="1" applyAlignment="1">
      <alignment wrapText="1"/>
    </xf>
    <xf numFmtId="3" fontId="97" fillId="0" borderId="200" xfId="0" applyNumberFormat="1" applyFont="1" applyBorder="1"/>
    <xf numFmtId="3" fontId="102" fillId="0" borderId="189" xfId="55" applyNumberFormat="1" applyFont="1" applyBorder="1"/>
    <xf numFmtId="3" fontId="102" fillId="0" borderId="201" xfId="55" applyNumberFormat="1" applyFont="1" applyBorder="1"/>
    <xf numFmtId="3" fontId="98" fillId="0" borderId="195" xfId="55" applyNumberFormat="1" applyFont="1" applyBorder="1"/>
    <xf numFmtId="3" fontId="98" fillId="0" borderId="191" xfId="55" applyNumberFormat="1" applyFont="1" applyBorder="1"/>
    <xf numFmtId="169" fontId="102" fillId="24" borderId="200" xfId="76" applyNumberFormat="1" applyFont="1" applyFill="1" applyBorder="1" applyAlignment="1"/>
    <xf numFmtId="169" fontId="97" fillId="0" borderId="200" xfId="76" applyNumberFormat="1" applyFont="1" applyBorder="1" applyAlignment="1">
      <alignment horizontal="right"/>
    </xf>
    <xf numFmtId="169" fontId="102" fillId="0" borderId="195" xfId="76" applyNumberFormat="1" applyFont="1" applyBorder="1" applyAlignment="1"/>
    <xf numFmtId="169" fontId="102" fillId="0" borderId="191" xfId="76" applyNumberFormat="1" applyFont="1" applyBorder="1" applyAlignment="1"/>
    <xf numFmtId="169" fontId="102" fillId="0" borderId="205" xfId="76" applyNumberFormat="1" applyFont="1" applyBorder="1" applyAlignment="1"/>
    <xf numFmtId="169" fontId="102" fillId="0" borderId="88" xfId="76" applyNumberFormat="1" applyFont="1" applyBorder="1" applyAlignment="1"/>
    <xf numFmtId="43" fontId="102" fillId="0" borderId="189" xfId="76" applyFont="1" applyBorder="1"/>
    <xf numFmtId="43" fontId="102" fillId="0" borderId="201" xfId="76" applyFont="1" applyBorder="1"/>
    <xf numFmtId="43" fontId="102" fillId="24" borderId="201" xfId="76" applyFont="1" applyFill="1" applyBorder="1"/>
    <xf numFmtId="43" fontId="102" fillId="24" borderId="258" xfId="76" applyFont="1" applyFill="1" applyBorder="1" applyAlignment="1">
      <alignment horizontal="left" vertical="center" wrapText="1"/>
    </xf>
    <xf numFmtId="3" fontId="38" fillId="0" borderId="205" xfId="55" applyNumberFormat="1" applyFont="1" applyBorder="1" applyAlignment="1">
      <alignment wrapText="1"/>
    </xf>
    <xf numFmtId="3" fontId="38" fillId="0" borderId="88" xfId="55" applyNumberFormat="1" applyFont="1" applyBorder="1" applyAlignment="1">
      <alignment wrapText="1"/>
    </xf>
    <xf numFmtId="3" fontId="38" fillId="0" borderId="189" xfId="55" applyNumberFormat="1" applyFont="1" applyBorder="1" applyAlignment="1">
      <alignment wrapText="1"/>
    </xf>
    <xf numFmtId="3" fontId="38" fillId="0" borderId="201" xfId="55" applyNumberFormat="1" applyFont="1" applyBorder="1" applyAlignment="1">
      <alignment wrapText="1"/>
    </xf>
    <xf numFmtId="3" fontId="102" fillId="24" borderId="201" xfId="55" applyNumberFormat="1" applyFont="1" applyFill="1" applyBorder="1" applyAlignment="1">
      <alignment wrapText="1"/>
    </xf>
    <xf numFmtId="49" fontId="102" fillId="24" borderId="258" xfId="55" applyNumberFormat="1" applyFont="1" applyFill="1" applyBorder="1" applyAlignment="1">
      <alignment wrapText="1"/>
    </xf>
    <xf numFmtId="3" fontId="104" fillId="24" borderId="189" xfId="55" applyNumberFormat="1" applyFont="1" applyFill="1" applyBorder="1"/>
    <xf numFmtId="0" fontId="0" fillId="32" borderId="0" xfId="0" applyFill="1"/>
    <xf numFmtId="3" fontId="0" fillId="32" borderId="191" xfId="0" applyNumberFormat="1" applyFill="1" applyBorder="1"/>
    <xf numFmtId="3" fontId="97" fillId="24" borderId="200" xfId="0" applyNumberFormat="1" applyFont="1" applyFill="1" applyBorder="1"/>
    <xf numFmtId="3" fontId="102" fillId="24" borderId="195" xfId="55" applyNumberFormat="1" applyFont="1" applyFill="1" applyBorder="1"/>
    <xf numFmtId="3" fontId="102" fillId="24" borderId="191" xfId="55" applyNumberFormat="1" applyFont="1" applyFill="1" applyBorder="1"/>
    <xf numFmtId="3" fontId="102" fillId="24" borderId="205" xfId="55" applyNumberFormat="1" applyFont="1" applyFill="1" applyBorder="1"/>
    <xf numFmtId="0" fontId="0" fillId="0" borderId="191" xfId="0" applyBorder="1"/>
    <xf numFmtId="0" fontId="0" fillId="0" borderId="88" xfId="0" applyBorder="1"/>
    <xf numFmtId="0" fontId="37" fillId="0" borderId="275" xfId="43" applyNumberFormat="1" applyFont="1" applyFill="1" applyBorder="1" applyAlignment="1">
      <alignment horizontal="center" wrapText="1"/>
    </xf>
    <xf numFmtId="0" fontId="37" fillId="0" borderId="99" xfId="0" applyFont="1" applyFill="1" applyBorder="1" applyAlignment="1">
      <alignment horizontal="center" vertical="center" wrapText="1"/>
    </xf>
    <xf numFmtId="0" fontId="37" fillId="0" borderId="99" xfId="43" applyNumberFormat="1" applyFont="1" applyFill="1" applyBorder="1" applyAlignment="1">
      <alignment horizontal="center" wrapText="1"/>
    </xf>
    <xf numFmtId="0" fontId="37" fillId="0" borderId="163" xfId="43" applyNumberFormat="1" applyFont="1" applyFill="1" applyBorder="1" applyAlignment="1">
      <alignment horizontal="center" wrapText="1"/>
    </xf>
    <xf numFmtId="0" fontId="37" fillId="0" borderId="202" xfId="0" applyFont="1" applyBorder="1"/>
    <xf numFmtId="0" fontId="37" fillId="0" borderId="276" xfId="43" applyNumberFormat="1" applyFont="1" applyFill="1" applyBorder="1" applyAlignment="1">
      <alignment horizontal="center" wrapText="1"/>
    </xf>
    <xf numFmtId="0" fontId="37" fillId="0" borderId="277" xfId="43" applyNumberFormat="1" applyFont="1" applyFill="1" applyBorder="1" applyAlignment="1">
      <alignment horizontal="center" wrapText="1"/>
    </xf>
    <xf numFmtId="0" fontId="37" fillId="0" borderId="203" xfId="43" applyNumberFormat="1" applyFont="1" applyFill="1" applyBorder="1" applyAlignment="1">
      <alignment horizontal="center" wrapText="1"/>
    </xf>
    <xf numFmtId="3" fontId="37" fillId="0" borderId="203" xfId="43" applyNumberFormat="1" applyFont="1" applyFill="1" applyBorder="1" applyAlignment="1">
      <alignment horizontal="center" wrapText="1"/>
    </xf>
    <xf numFmtId="0" fontId="37" fillId="0" borderId="204" xfId="43" applyFont="1" applyFill="1" applyBorder="1" applyAlignment="1">
      <alignment wrapText="1"/>
    </xf>
    <xf numFmtId="0" fontId="37" fillId="0" borderId="0" xfId="43" applyFont="1" applyFill="1" applyBorder="1" applyAlignment="1">
      <alignment horizontal="center"/>
    </xf>
    <xf numFmtId="0" fontId="57" fillId="0" borderId="0" xfId="55"/>
    <xf numFmtId="3" fontId="105" fillId="0" borderId="268" xfId="43" applyNumberFormat="1" applyFont="1" applyFill="1" applyBorder="1"/>
    <xf numFmtId="0" fontId="105" fillId="0" borderId="268" xfId="43" applyFont="1" applyFill="1" applyBorder="1" applyAlignment="1">
      <alignment wrapText="1"/>
    </xf>
    <xf numFmtId="0" fontId="106" fillId="0" borderId="0" xfId="0" applyFont="1"/>
    <xf numFmtId="3" fontId="44" fillId="0" borderId="0" xfId="0" applyNumberFormat="1" applyFont="1" applyBorder="1" applyAlignment="1">
      <alignment horizontal="right"/>
    </xf>
    <xf numFmtId="0" fontId="44" fillId="0" borderId="0" xfId="0" applyFont="1" applyBorder="1" applyAlignment="1">
      <alignment vertical="top" wrapText="1"/>
    </xf>
    <xf numFmtId="3" fontId="49" fillId="0" borderId="278" xfId="0" applyNumberFormat="1" applyFont="1" applyBorder="1" applyAlignment="1">
      <alignment horizontal="right"/>
    </xf>
    <xf numFmtId="0" fontId="49" fillId="0" borderId="278" xfId="0" applyFont="1" applyBorder="1" applyAlignment="1">
      <alignment vertical="top" wrapText="1"/>
    </xf>
    <xf numFmtId="3" fontId="37" fillId="0" borderId="43" xfId="0" applyNumberFormat="1" applyFont="1" applyBorder="1" applyAlignment="1">
      <alignment horizontal="right" vertical="center"/>
    </xf>
    <xf numFmtId="3" fontId="66" fillId="0" borderId="43" xfId="0" applyNumberFormat="1" applyFont="1" applyBorder="1" applyAlignment="1">
      <alignment horizontal="right" vertical="center"/>
    </xf>
    <xf numFmtId="3" fontId="66" fillId="0" borderId="39" xfId="0" applyNumberFormat="1" applyFont="1" applyBorder="1" applyAlignment="1">
      <alignment horizontal="right" vertical="center"/>
    </xf>
    <xf numFmtId="0" fontId="66" fillId="0" borderId="30" xfId="0" applyFont="1" applyBorder="1" applyAlignment="1">
      <alignment vertical="center" wrapText="1"/>
    </xf>
    <xf numFmtId="3" fontId="38" fillId="0" borderId="279" xfId="0" applyNumberFormat="1" applyFont="1" applyBorder="1"/>
    <xf numFmtId="3" fontId="67" fillId="0" borderId="280" xfId="0" applyNumberFormat="1" applyFont="1" applyBorder="1" applyAlignment="1">
      <alignment horizontal="right" vertical="center"/>
    </xf>
    <xf numFmtId="3" fontId="67" fillId="0" borderId="281" xfId="0" applyNumberFormat="1" applyFont="1" applyBorder="1" applyAlignment="1">
      <alignment horizontal="right" vertical="center"/>
    </xf>
    <xf numFmtId="0" fontId="67" fillId="0" borderId="282" xfId="0" applyFont="1" applyBorder="1" applyAlignment="1">
      <alignment vertical="center" wrapText="1"/>
    </xf>
    <xf numFmtId="3" fontId="37" fillId="0" borderId="283" xfId="0" applyNumberFormat="1" applyFont="1" applyBorder="1" applyAlignment="1">
      <alignment horizontal="right" vertical="center"/>
    </xf>
    <xf numFmtId="3" fontId="66" fillId="0" borderId="283" xfId="0" applyNumberFormat="1" applyFont="1" applyBorder="1" applyAlignment="1">
      <alignment horizontal="right" vertical="center"/>
    </xf>
    <xf numFmtId="3" fontId="66" fillId="0" borderId="284" xfId="0" applyNumberFormat="1" applyFont="1" applyBorder="1" applyAlignment="1">
      <alignment horizontal="right" vertical="center"/>
    </xf>
    <xf numFmtId="0" fontId="66" fillId="0" borderId="285" xfId="0" applyFont="1" applyBorder="1" applyAlignment="1">
      <alignment vertical="center" wrapText="1"/>
    </xf>
    <xf numFmtId="3" fontId="38" fillId="0" borderId="286" xfId="0" applyNumberFormat="1" applyFont="1" applyBorder="1"/>
    <xf numFmtId="3" fontId="67" fillId="0" borderId="283" xfId="0" applyNumberFormat="1" applyFont="1" applyBorder="1" applyAlignment="1">
      <alignment horizontal="right" vertical="center"/>
    </xf>
    <xf numFmtId="3" fontId="67" fillId="0" borderId="284" xfId="0" applyNumberFormat="1" applyFont="1" applyBorder="1" applyAlignment="1">
      <alignment horizontal="right" vertical="center"/>
    </xf>
    <xf numFmtId="0" fontId="67" fillId="0" borderId="285" xfId="0" applyFont="1" applyBorder="1" applyAlignment="1">
      <alignment vertical="center" wrapText="1"/>
    </xf>
    <xf numFmtId="3" fontId="38" fillId="0" borderId="287" xfId="0" applyNumberFormat="1" applyFont="1" applyBorder="1"/>
    <xf numFmtId="3" fontId="38" fillId="0" borderId="283" xfId="0" applyNumberFormat="1" applyFont="1" applyBorder="1" applyAlignment="1">
      <alignment horizontal="right" vertical="center"/>
    </xf>
    <xf numFmtId="3" fontId="107" fillId="0" borderId="283" xfId="0" applyNumberFormat="1" applyFont="1" applyBorder="1" applyAlignment="1">
      <alignment horizontal="right" vertical="center"/>
    </xf>
    <xf numFmtId="3" fontId="107" fillId="0" borderId="284" xfId="0" applyNumberFormat="1" applyFont="1" applyBorder="1" applyAlignment="1">
      <alignment horizontal="right" vertical="center"/>
    </xf>
    <xf numFmtId="0" fontId="107" fillId="0" borderId="285" xfId="0" applyFont="1" applyBorder="1" applyAlignment="1">
      <alignment vertical="center" wrapText="1"/>
    </xf>
    <xf numFmtId="0" fontId="67" fillId="0" borderId="285" xfId="0" applyFont="1" applyBorder="1" applyAlignment="1">
      <alignment horizontal="left" vertical="center" wrapText="1"/>
    </xf>
    <xf numFmtId="3" fontId="67" fillId="0" borderId="288" xfId="0" applyNumberFormat="1" applyFont="1" applyBorder="1" applyAlignment="1">
      <alignment horizontal="right" vertical="center"/>
    </xf>
    <xf numFmtId="3" fontId="67" fillId="0" borderId="289" xfId="0" applyNumberFormat="1" applyFont="1" applyBorder="1" applyAlignment="1">
      <alignment horizontal="right" vertical="center"/>
    </xf>
    <xf numFmtId="0" fontId="67" fillId="0" borderId="290" xfId="0" applyFont="1" applyBorder="1" applyAlignment="1">
      <alignment vertical="center" wrapText="1"/>
    </xf>
    <xf numFmtId="0" fontId="44" fillId="0" borderId="291" xfId="0" applyFont="1" applyBorder="1" applyAlignment="1">
      <alignment horizontal="center" vertical="center"/>
    </xf>
    <xf numFmtId="0" fontId="44" fillId="0" borderId="292" xfId="43" applyNumberFormat="1" applyFont="1" applyFill="1" applyBorder="1" applyAlignment="1">
      <alignment horizontal="center" vertical="center" wrapText="1"/>
    </xf>
    <xf numFmtId="0" fontId="66" fillId="0" borderId="293" xfId="0" applyFont="1" applyBorder="1" applyAlignment="1">
      <alignment horizontal="center" vertical="center"/>
    </xf>
    <xf numFmtId="0" fontId="66" fillId="0" borderId="294" xfId="0" applyFont="1" applyBorder="1" applyAlignment="1">
      <alignment horizontal="left" vertical="center" wrapText="1"/>
    </xf>
    <xf numFmtId="0" fontId="67" fillId="0" borderId="0" xfId="0" applyFont="1" applyBorder="1"/>
    <xf numFmtId="0" fontId="21" fillId="0" borderId="0" xfId="43"/>
    <xf numFmtId="3" fontId="21" fillId="0" borderId="0" xfId="43" applyNumberFormat="1" applyFill="1"/>
    <xf numFmtId="0" fontId="21" fillId="0" borderId="0" xfId="43" applyAlignment="1">
      <alignment wrapText="1"/>
    </xf>
    <xf numFmtId="49" fontId="21" fillId="0" borderId="0" xfId="43" applyNumberFormat="1"/>
    <xf numFmtId="49" fontId="108" fillId="0" borderId="0" xfId="43" applyNumberFormat="1" applyFont="1"/>
    <xf numFmtId="49" fontId="21" fillId="0" borderId="0" xfId="43" applyNumberFormat="1" applyFont="1"/>
    <xf numFmtId="49" fontId="109" fillId="0" borderId="0" xfId="43" applyNumberFormat="1" applyFont="1"/>
    <xf numFmtId="0" fontId="109" fillId="0" borderId="0" xfId="43" applyFont="1" applyBorder="1"/>
    <xf numFmtId="49" fontId="109" fillId="0" borderId="0" xfId="43" applyNumberFormat="1" applyFont="1" applyBorder="1"/>
    <xf numFmtId="0" fontId="108" fillId="0" borderId="0" xfId="43" applyFont="1"/>
    <xf numFmtId="0" fontId="109" fillId="0" borderId="0" xfId="43" applyFont="1"/>
    <xf numFmtId="0" fontId="21" fillId="0" borderId="0" xfId="43" applyFont="1"/>
    <xf numFmtId="0" fontId="110" fillId="0" borderId="0" xfId="43" applyFont="1"/>
    <xf numFmtId="49" fontId="110" fillId="0" borderId="0" xfId="43" applyNumberFormat="1" applyFont="1"/>
    <xf numFmtId="3" fontId="37" fillId="0" borderId="295" xfId="64" applyNumberFormat="1" applyFont="1" applyBorder="1"/>
    <xf numFmtId="3" fontId="111" fillId="0" borderId="295" xfId="64" applyNumberFormat="1" applyFont="1" applyBorder="1"/>
    <xf numFmtId="3" fontId="111" fillId="0" borderId="296" xfId="64" applyNumberFormat="1" applyFont="1" applyBorder="1"/>
    <xf numFmtId="3" fontId="111" fillId="0" borderId="297" xfId="64" applyNumberFormat="1" applyFont="1" applyBorder="1"/>
    <xf numFmtId="0" fontId="111" fillId="0" borderId="298" xfId="64" applyFont="1" applyBorder="1" applyAlignment="1">
      <alignment wrapText="1"/>
    </xf>
    <xf numFmtId="0" fontId="21" fillId="33" borderId="0" xfId="43" applyFill="1"/>
    <xf numFmtId="3" fontId="38" fillId="33" borderId="95" xfId="43" applyNumberFormat="1" applyFont="1" applyFill="1" applyBorder="1"/>
    <xf numFmtId="3" fontId="112" fillId="0" borderId="77" xfId="64" applyNumberFormat="1" applyFont="1" applyBorder="1"/>
    <xf numFmtId="3" fontId="112" fillId="0" borderId="244" xfId="64" applyNumberFormat="1" applyFont="1" applyBorder="1"/>
    <xf numFmtId="3" fontId="112" fillId="0" borderId="95" xfId="64" applyNumberFormat="1" applyFont="1" applyBorder="1"/>
    <xf numFmtId="0" fontId="112" fillId="0" borderId="78" xfId="64" applyFont="1" applyBorder="1" applyAlignment="1">
      <alignment wrapText="1"/>
    </xf>
    <xf numFmtId="49" fontId="21" fillId="33" borderId="0" xfId="43" applyNumberFormat="1" applyFont="1" applyFill="1"/>
    <xf numFmtId="3" fontId="38" fillId="0" borderId="88" xfId="43" applyNumberFormat="1" applyFont="1" applyBorder="1"/>
    <xf numFmtId="3" fontId="112" fillId="0" borderId="200" xfId="64" applyNumberFormat="1" applyFont="1" applyBorder="1"/>
    <xf numFmtId="3" fontId="112" fillId="0" borderId="205" xfId="64" applyNumberFormat="1" applyFont="1" applyBorder="1"/>
    <xf numFmtId="3" fontId="112" fillId="0" borderId="88" xfId="64" applyNumberFormat="1" applyFont="1" applyBorder="1"/>
    <xf numFmtId="0" fontId="112" fillId="0" borderId="257" xfId="64" applyFont="1" applyBorder="1" applyAlignment="1">
      <alignment wrapText="1"/>
    </xf>
    <xf numFmtId="3" fontId="37" fillId="0" borderId="200" xfId="64" applyNumberFormat="1" applyFont="1" applyBorder="1"/>
    <xf numFmtId="3" fontId="111" fillId="0" borderId="200" xfId="64" applyNumberFormat="1" applyFont="1" applyBorder="1"/>
    <xf numFmtId="3" fontId="111" fillId="0" borderId="205" xfId="64" applyNumberFormat="1" applyFont="1" applyBorder="1"/>
    <xf numFmtId="3" fontId="111" fillId="0" borderId="88" xfId="64" applyNumberFormat="1" applyFont="1" applyBorder="1"/>
    <xf numFmtId="0" fontId="111" fillId="0" borderId="257" xfId="64" applyFont="1" applyBorder="1" applyAlignment="1">
      <alignment wrapText="1"/>
    </xf>
    <xf numFmtId="3" fontId="111" fillId="0" borderId="200" xfId="64" applyNumberFormat="1" applyFont="1" applyBorder="1" applyAlignment="1">
      <alignment horizontal="center"/>
    </xf>
    <xf numFmtId="3" fontId="111" fillId="0" borderId="205" xfId="64" applyNumberFormat="1" applyFont="1" applyBorder="1" applyAlignment="1">
      <alignment horizontal="center"/>
    </xf>
    <xf numFmtId="3" fontId="111" fillId="0" borderId="88" xfId="64" applyNumberFormat="1" applyFont="1" applyBorder="1" applyAlignment="1">
      <alignment horizontal="center"/>
    </xf>
    <xf numFmtId="3" fontId="38" fillId="0" borderId="299" xfId="43" applyNumberFormat="1" applyFont="1" applyBorder="1"/>
    <xf numFmtId="3" fontId="111" fillId="0" borderId="300" xfId="64" applyNumberFormat="1" applyFont="1" applyBorder="1" applyAlignment="1">
      <alignment horizontal="center"/>
    </xf>
    <xf numFmtId="3" fontId="111" fillId="0" borderId="301" xfId="64" applyNumberFormat="1" applyFont="1" applyBorder="1" applyAlignment="1">
      <alignment horizontal="center"/>
    </xf>
    <xf numFmtId="3" fontId="111" fillId="0" borderId="299" xfId="64" applyNumberFormat="1" applyFont="1" applyBorder="1" applyAlignment="1">
      <alignment horizontal="center"/>
    </xf>
    <xf numFmtId="0" fontId="111" fillId="0" borderId="302" xfId="64" applyFont="1" applyBorder="1" applyAlignment="1">
      <alignment wrapText="1"/>
    </xf>
    <xf numFmtId="3" fontId="37" fillId="0" borderId="297" xfId="43" applyNumberFormat="1" applyFont="1" applyBorder="1" applyAlignment="1">
      <alignment horizontal="center" vertical="center"/>
    </xf>
    <xf numFmtId="3" fontId="111" fillId="0" borderId="295" xfId="64" applyNumberFormat="1" applyFont="1" applyBorder="1" applyAlignment="1">
      <alignment horizontal="center" vertical="center"/>
    </xf>
    <xf numFmtId="3" fontId="111" fillId="0" borderId="296" xfId="64" applyNumberFormat="1" applyFont="1" applyBorder="1" applyAlignment="1">
      <alignment horizontal="center"/>
    </xf>
    <xf numFmtId="3" fontId="111" fillId="0" borderId="297" xfId="64" applyNumberFormat="1" applyFont="1" applyBorder="1" applyAlignment="1">
      <alignment horizontal="center"/>
    </xf>
    <xf numFmtId="3" fontId="37" fillId="0" borderId="0" xfId="43" applyNumberFormat="1" applyFont="1"/>
    <xf numFmtId="3" fontId="111" fillId="0" borderId="0" xfId="64" applyNumberFormat="1" applyFont="1" applyBorder="1"/>
    <xf numFmtId="0" fontId="113" fillId="0" borderId="0" xfId="64" applyFont="1" applyBorder="1" applyAlignment="1">
      <alignment wrapText="1"/>
    </xf>
    <xf numFmtId="3" fontId="38" fillId="0" borderId="0" xfId="43" applyNumberFormat="1" applyFont="1"/>
    <xf numFmtId="3" fontId="37" fillId="0" borderId="295" xfId="64" applyNumberFormat="1" applyFont="1" applyBorder="1" applyAlignment="1">
      <alignment vertical="center"/>
    </xf>
    <xf numFmtId="3" fontId="111" fillId="0" borderId="295" xfId="64" applyNumberFormat="1" applyFont="1" applyBorder="1" applyAlignment="1">
      <alignment vertical="center"/>
    </xf>
    <xf numFmtId="3" fontId="111" fillId="0" borderId="303" xfId="64" applyNumberFormat="1" applyFont="1" applyBorder="1" applyAlignment="1">
      <alignment vertical="center"/>
    </xf>
    <xf numFmtId="3" fontId="111" fillId="0" borderId="304" xfId="64" applyNumberFormat="1" applyFont="1" applyBorder="1" applyAlignment="1">
      <alignment vertical="center"/>
    </xf>
    <xf numFmtId="0" fontId="111" fillId="0" borderId="298" xfId="64" applyFont="1" applyBorder="1" applyAlignment="1">
      <alignment vertical="center" wrapText="1"/>
    </xf>
    <xf numFmtId="3" fontId="37" fillId="0" borderId="88" xfId="43" applyNumberFormat="1" applyFont="1" applyBorder="1"/>
    <xf numFmtId="3" fontId="113" fillId="0" borderId="77" xfId="64" applyNumberFormat="1" applyFont="1" applyBorder="1" applyAlignment="1">
      <alignment vertical="center"/>
    </xf>
    <xf numFmtId="3" fontId="113" fillId="0" borderId="198" xfId="64" applyNumberFormat="1" applyFont="1" applyBorder="1" applyAlignment="1">
      <alignment vertical="center"/>
    </xf>
    <xf numFmtId="3" fontId="113" fillId="0" borderId="199" xfId="64" applyNumberFormat="1" applyFont="1" applyBorder="1" applyAlignment="1">
      <alignment vertical="center"/>
    </xf>
    <xf numFmtId="0" fontId="113" fillId="0" borderId="78" xfId="64" applyFont="1" applyBorder="1" applyAlignment="1">
      <alignment vertical="center" wrapText="1"/>
    </xf>
    <xf numFmtId="3" fontId="52" fillId="0" borderId="200" xfId="64" applyNumberFormat="1" applyFont="1" applyBorder="1" applyAlignment="1">
      <alignment vertical="center"/>
    </xf>
    <xf numFmtId="3" fontId="113" fillId="0" borderId="200" xfId="64" applyNumberFormat="1" applyFont="1" applyBorder="1" applyAlignment="1">
      <alignment vertical="center"/>
    </xf>
    <xf numFmtId="3" fontId="113" fillId="0" borderId="201" xfId="64" applyNumberFormat="1" applyFont="1" applyBorder="1" applyAlignment="1">
      <alignment vertical="center"/>
    </xf>
    <xf numFmtId="3" fontId="113" fillId="0" borderId="258" xfId="64" applyNumberFormat="1" applyFont="1" applyBorder="1" applyAlignment="1">
      <alignment vertical="center"/>
    </xf>
    <xf numFmtId="0" fontId="113" fillId="0" borderId="257" xfId="64" applyFont="1" applyBorder="1" applyAlignment="1">
      <alignment vertical="center" wrapText="1"/>
    </xf>
    <xf numFmtId="3" fontId="111" fillId="0" borderId="200" xfId="64" applyNumberFormat="1" applyFont="1" applyBorder="1" applyAlignment="1">
      <alignment vertical="center"/>
    </xf>
    <xf numFmtId="3" fontId="111" fillId="0" borderId="201" xfId="64" applyNumberFormat="1" applyFont="1" applyBorder="1" applyAlignment="1">
      <alignment vertical="center"/>
    </xf>
    <xf numFmtId="3" fontId="111" fillId="0" borderId="258" xfId="64" applyNumberFormat="1" applyFont="1" applyBorder="1" applyAlignment="1">
      <alignment vertical="center"/>
    </xf>
    <xf numFmtId="0" fontId="111" fillId="0" borderId="257" xfId="64" applyFont="1" applyBorder="1" applyAlignment="1">
      <alignment vertical="center" wrapText="1"/>
    </xf>
    <xf numFmtId="3" fontId="112" fillId="0" borderId="200" xfId="64" applyNumberFormat="1" applyFont="1" applyBorder="1" applyAlignment="1">
      <alignment vertical="center"/>
    </xf>
    <xf numFmtId="3" fontId="112" fillId="0" borderId="201" xfId="64" applyNumberFormat="1" applyFont="1" applyBorder="1" applyAlignment="1">
      <alignment vertical="center"/>
    </xf>
    <xf numFmtId="3" fontId="112" fillId="0" borderId="258" xfId="64" applyNumberFormat="1" applyFont="1" applyBorder="1" applyAlignment="1">
      <alignment vertical="center"/>
    </xf>
    <xf numFmtId="0" fontId="112" fillId="0" borderId="257" xfId="64" applyFont="1" applyBorder="1" applyAlignment="1">
      <alignment vertical="center" wrapText="1"/>
    </xf>
    <xf numFmtId="3" fontId="37" fillId="0" borderId="200" xfId="64" applyNumberFormat="1" applyFont="1" applyBorder="1" applyAlignment="1">
      <alignment vertical="center"/>
    </xf>
    <xf numFmtId="3" fontId="103" fillId="0" borderId="88" xfId="43" applyNumberFormat="1" applyFont="1" applyBorder="1"/>
    <xf numFmtId="3" fontId="114" fillId="0" borderId="200" xfId="64" applyNumberFormat="1" applyFont="1" applyBorder="1" applyAlignment="1">
      <alignment vertical="center"/>
    </xf>
    <xf numFmtId="3" fontId="114" fillId="0" borderId="201" xfId="64" applyNumberFormat="1" applyFont="1" applyBorder="1" applyAlignment="1">
      <alignment vertical="center"/>
    </xf>
    <xf numFmtId="3" fontId="114" fillId="0" borderId="258" xfId="64" applyNumberFormat="1" applyFont="1" applyBorder="1" applyAlignment="1">
      <alignment vertical="center"/>
    </xf>
    <xf numFmtId="0" fontId="114" fillId="0" borderId="257" xfId="64" applyFont="1" applyBorder="1" applyAlignment="1">
      <alignment vertical="center" wrapText="1"/>
    </xf>
    <xf numFmtId="3" fontId="103" fillId="0" borderId="200" xfId="64" applyNumberFormat="1" applyFont="1" applyBorder="1" applyAlignment="1">
      <alignment vertical="center"/>
    </xf>
    <xf numFmtId="3" fontId="38" fillId="0" borderId="191" xfId="43" applyNumberFormat="1" applyFont="1" applyBorder="1"/>
    <xf numFmtId="0" fontId="35" fillId="0" borderId="257" xfId="64" applyFont="1" applyBorder="1" applyAlignment="1">
      <alignment vertical="center" wrapText="1"/>
    </xf>
    <xf numFmtId="0" fontId="112" fillId="27" borderId="257" xfId="64" applyFont="1" applyFill="1" applyBorder="1" applyAlignment="1">
      <alignment vertical="center" wrapText="1"/>
    </xf>
    <xf numFmtId="3" fontId="38" fillId="33" borderId="88" xfId="43" applyNumberFormat="1" applyFont="1" applyFill="1" applyBorder="1"/>
    <xf numFmtId="3" fontId="38" fillId="0" borderId="191" xfId="64" applyNumberFormat="1" applyFont="1" applyBorder="1" applyAlignment="1">
      <alignment vertical="center"/>
    </xf>
    <xf numFmtId="0" fontId="38" fillId="0" borderId="257" xfId="64" applyFont="1" applyBorder="1" applyAlignment="1">
      <alignment vertical="center" wrapText="1"/>
    </xf>
    <xf numFmtId="3" fontId="37" fillId="0" borderId="191" xfId="64" applyNumberFormat="1" applyFont="1" applyBorder="1" applyAlignment="1">
      <alignment vertical="center"/>
    </xf>
    <xf numFmtId="3" fontId="52" fillId="0" borderId="191" xfId="64" applyNumberFormat="1" applyFont="1" applyBorder="1" applyAlignment="1">
      <alignment vertical="center"/>
    </xf>
    <xf numFmtId="3" fontId="38" fillId="33" borderId="191" xfId="43" applyNumberFormat="1" applyFont="1" applyFill="1" applyBorder="1"/>
    <xf numFmtId="49" fontId="112" fillId="0" borderId="257" xfId="64" applyNumberFormat="1" applyFont="1" applyBorder="1" applyAlignment="1">
      <alignment vertical="center" wrapText="1"/>
    </xf>
    <xf numFmtId="0" fontId="21" fillId="34" borderId="0" xfId="43" applyFill="1"/>
    <xf numFmtId="0" fontId="21" fillId="0" borderId="0" xfId="43" applyFill="1"/>
    <xf numFmtId="0" fontId="108" fillId="0" borderId="0" xfId="43" applyFont="1" applyFill="1"/>
    <xf numFmtId="3" fontId="38" fillId="0" borderId="88" xfId="43" applyNumberFormat="1" applyFont="1" applyBorder="1" applyAlignment="1">
      <alignment horizontal="right" vertical="center"/>
    </xf>
    <xf numFmtId="0" fontId="21" fillId="0" borderId="88" xfId="43" applyBorder="1"/>
    <xf numFmtId="0" fontId="21" fillId="0" borderId="305" xfId="43" applyBorder="1"/>
    <xf numFmtId="3" fontId="111" fillId="0" borderId="300" xfId="64" applyNumberFormat="1" applyFont="1" applyBorder="1" applyAlignment="1">
      <alignment vertical="center"/>
    </xf>
    <xf numFmtId="3" fontId="111" fillId="0" borderId="306" xfId="64" applyNumberFormat="1" applyFont="1" applyBorder="1" applyAlignment="1">
      <alignment vertical="center"/>
    </xf>
    <xf numFmtId="3" fontId="111" fillId="0" borderId="307" xfId="64" applyNumberFormat="1" applyFont="1" applyBorder="1" applyAlignment="1">
      <alignment vertical="center"/>
    </xf>
    <xf numFmtId="0" fontId="111" fillId="0" borderId="302" xfId="64" applyFont="1" applyBorder="1" applyAlignment="1">
      <alignment vertical="center" wrapText="1"/>
    </xf>
    <xf numFmtId="0" fontId="37" fillId="0" borderId="297" xfId="43" applyFont="1" applyBorder="1" applyAlignment="1">
      <alignment horizontal="center" vertical="center"/>
    </xf>
    <xf numFmtId="3" fontId="111" fillId="0" borderId="303" xfId="64" applyNumberFormat="1" applyFont="1" applyBorder="1" applyAlignment="1">
      <alignment horizontal="center" vertical="center"/>
    </xf>
    <xf numFmtId="3" fontId="111" fillId="0" borderId="304" xfId="64" applyNumberFormat="1" applyFont="1" applyBorder="1" applyAlignment="1">
      <alignment horizontal="center" vertical="center"/>
    </xf>
    <xf numFmtId="0" fontId="111" fillId="0" borderId="0" xfId="64" applyFont="1" applyBorder="1" applyAlignment="1">
      <alignment horizontal="center"/>
    </xf>
    <xf numFmtId="0" fontId="111" fillId="0" borderId="268" xfId="64" applyFont="1" applyBorder="1" applyAlignment="1">
      <alignment horizontal="center"/>
    </xf>
    <xf numFmtId="3" fontId="21" fillId="0" borderId="0" xfId="43" applyNumberFormat="1"/>
    <xf numFmtId="3" fontId="37" fillId="0" borderId="297" xfId="43" applyNumberFormat="1" applyFont="1" applyBorder="1" applyAlignment="1">
      <alignment horizontal="right" vertical="center"/>
    </xf>
    <xf numFmtId="3" fontId="111" fillId="0" borderId="308" xfId="0" applyNumberFormat="1" applyFont="1" applyBorder="1" applyAlignment="1">
      <alignment vertical="center"/>
    </xf>
    <xf numFmtId="3" fontId="111" fillId="0" borderId="304" xfId="0" applyNumberFormat="1" applyFont="1" applyBorder="1" applyAlignment="1">
      <alignment vertical="center"/>
    </xf>
    <xf numFmtId="0" fontId="111" fillId="0" borderId="298" xfId="0" applyFont="1" applyBorder="1" applyAlignment="1">
      <alignment vertical="center" wrapText="1"/>
    </xf>
    <xf numFmtId="3" fontId="38" fillId="0" borderId="95" xfId="43" applyNumberFormat="1" applyFont="1" applyBorder="1" applyAlignment="1">
      <alignment horizontal="right" vertical="center"/>
    </xf>
    <xf numFmtId="3" fontId="111" fillId="0" borderId="309" xfId="0" applyNumberFormat="1" applyFont="1" applyBorder="1" applyAlignment="1">
      <alignment vertical="center"/>
    </xf>
    <xf numFmtId="3" fontId="111" fillId="0" borderId="199" xfId="0" applyNumberFormat="1" applyFont="1" applyBorder="1" applyAlignment="1">
      <alignment vertical="center"/>
    </xf>
    <xf numFmtId="0" fontId="112" fillId="0" borderId="78" xfId="0" applyFont="1" applyBorder="1" applyAlignment="1">
      <alignment vertical="center" wrapText="1"/>
    </xf>
    <xf numFmtId="3" fontId="103" fillId="0" borderId="88" xfId="43" applyNumberFormat="1" applyFont="1" applyBorder="1" applyAlignment="1">
      <alignment horizontal="right" vertical="center"/>
    </xf>
    <xf numFmtId="3" fontId="114" fillId="0" borderId="191" xfId="0" applyNumberFormat="1" applyFont="1" applyBorder="1" applyAlignment="1">
      <alignment vertical="center"/>
    </xf>
    <xf numFmtId="3" fontId="114" fillId="0" borderId="258" xfId="0" applyNumberFormat="1" applyFont="1" applyBorder="1" applyAlignment="1">
      <alignment vertical="center"/>
    </xf>
    <xf numFmtId="0" fontId="114" fillId="0" borderId="257" xfId="0" applyFont="1" applyBorder="1" applyAlignment="1">
      <alignment vertical="center" wrapText="1"/>
    </xf>
    <xf numFmtId="3" fontId="112" fillId="0" borderId="191" xfId="0" applyNumberFormat="1" applyFont="1" applyBorder="1" applyAlignment="1">
      <alignment vertical="center"/>
    </xf>
    <xf numFmtId="3" fontId="112" fillId="0" borderId="258" xfId="0" applyNumberFormat="1" applyFont="1" applyBorder="1" applyAlignment="1">
      <alignment vertical="center"/>
    </xf>
    <xf numFmtId="0" fontId="112" fillId="0" borderId="257" xfId="0" applyFont="1" applyBorder="1" applyAlignment="1">
      <alignment vertical="center" wrapText="1"/>
    </xf>
    <xf numFmtId="3" fontId="37" fillId="0" borderId="88" xfId="43" applyNumberFormat="1" applyFont="1" applyBorder="1" applyAlignment="1">
      <alignment horizontal="right" vertical="center"/>
    </xf>
    <xf numFmtId="3" fontId="111" fillId="0" borderId="191" xfId="0" applyNumberFormat="1" applyFont="1" applyBorder="1" applyAlignment="1">
      <alignment vertical="center"/>
    </xf>
    <xf numFmtId="3" fontId="111" fillId="0" borderId="258" xfId="0" applyNumberFormat="1" applyFont="1" applyBorder="1" applyAlignment="1">
      <alignment vertical="center"/>
    </xf>
    <xf numFmtId="0" fontId="111" fillId="0" borderId="257" xfId="0" applyFont="1" applyBorder="1" applyAlignment="1">
      <alignment vertical="center" wrapText="1"/>
    </xf>
    <xf numFmtId="3" fontId="52" fillId="0" borderId="88" xfId="43" applyNumberFormat="1" applyFont="1" applyBorder="1" applyAlignment="1">
      <alignment horizontal="right" vertical="center"/>
    </xf>
    <xf numFmtId="3" fontId="113" fillId="0" borderId="191" xfId="0" applyNumberFormat="1" applyFont="1" applyBorder="1" applyAlignment="1">
      <alignment vertical="center"/>
    </xf>
    <xf numFmtId="3" fontId="113" fillId="0" borderId="258" xfId="0" applyNumberFormat="1" applyFont="1" applyBorder="1" applyAlignment="1">
      <alignment vertical="center"/>
    </xf>
    <xf numFmtId="0" fontId="113" fillId="0" borderId="257" xfId="0" applyFont="1" applyBorder="1" applyAlignment="1">
      <alignment vertical="center" wrapText="1"/>
    </xf>
    <xf numFmtId="0" fontId="38" fillId="0" borderId="257" xfId="0" applyFont="1" applyBorder="1" applyAlignment="1">
      <alignment vertical="center" wrapText="1"/>
    </xf>
    <xf numFmtId="0" fontId="38" fillId="0" borderId="302" xfId="0" applyFont="1" applyBorder="1" applyAlignment="1">
      <alignment vertical="center" wrapText="1"/>
    </xf>
    <xf numFmtId="0" fontId="111" fillId="0" borderId="302" xfId="0" applyFont="1" applyBorder="1" applyAlignment="1">
      <alignment vertical="center" wrapText="1"/>
    </xf>
    <xf numFmtId="3" fontId="52" fillId="0" borderId="299" xfId="43" applyNumberFormat="1" applyFont="1" applyBorder="1" applyAlignment="1">
      <alignment horizontal="right" vertical="center"/>
    </xf>
    <xf numFmtId="3" fontId="111" fillId="0" borderId="310" xfId="0" applyNumberFormat="1" applyFont="1" applyBorder="1" applyAlignment="1">
      <alignment horizontal="center" vertical="center"/>
    </xf>
    <xf numFmtId="3" fontId="111" fillId="0" borderId="307" xfId="0" applyNumberFormat="1" applyFont="1" applyBorder="1" applyAlignment="1">
      <alignment horizontal="center" vertical="center"/>
    </xf>
    <xf numFmtId="3" fontId="111" fillId="0" borderId="308" xfId="64" applyNumberFormat="1" applyFont="1" applyBorder="1" applyAlignment="1">
      <alignment horizontal="center" vertical="center"/>
    </xf>
    <xf numFmtId="3" fontId="111" fillId="0" borderId="304" xfId="0" applyNumberFormat="1" applyFont="1" applyBorder="1" applyAlignment="1">
      <alignment horizontal="center" vertical="center"/>
    </xf>
    <xf numFmtId="3" fontId="111" fillId="0" borderId="264" xfId="0" applyNumberFormat="1" applyFont="1" applyBorder="1" applyAlignment="1">
      <alignment vertical="center"/>
    </xf>
    <xf numFmtId="0" fontId="111" fillId="0" borderId="0" xfId="0" applyFont="1" applyBorder="1" applyAlignment="1">
      <alignment horizontal="center" vertical="center" wrapText="1"/>
    </xf>
    <xf numFmtId="0" fontId="117" fillId="0" borderId="0" xfId="75" applyNumberFormat="1" applyFont="1" applyFill="1" applyBorder="1" applyAlignment="1" applyProtection="1"/>
    <xf numFmtId="3" fontId="118" fillId="0" borderId="0" xfId="75" applyNumberFormat="1" applyFont="1" applyFill="1" applyBorder="1" applyAlignment="1" applyProtection="1"/>
    <xf numFmtId="0" fontId="118" fillId="0" borderId="0" xfId="75" applyNumberFormat="1" applyFont="1" applyFill="1" applyBorder="1" applyAlignment="1" applyProtection="1">
      <alignment vertical="center" wrapText="1"/>
    </xf>
    <xf numFmtId="0" fontId="118" fillId="0" borderId="0" xfId="75" applyNumberFormat="1" applyFont="1" applyFill="1" applyBorder="1" applyAlignment="1" applyProtection="1">
      <alignment horizontal="left" vertical="center" wrapText="1"/>
    </xf>
    <xf numFmtId="0" fontId="119" fillId="0" borderId="0" xfId="75" applyNumberFormat="1" applyFont="1" applyFill="1" applyBorder="1" applyAlignment="1" applyProtection="1">
      <alignment wrapText="1"/>
    </xf>
    <xf numFmtId="0" fontId="120" fillId="0" borderId="0" xfId="75" applyNumberFormat="1" applyFont="1" applyFill="1" applyBorder="1" applyAlignment="1" applyProtection="1"/>
    <xf numFmtId="3" fontId="117" fillId="0" borderId="0" xfId="75" applyNumberFormat="1" applyFont="1" applyFill="1" applyBorder="1" applyAlignment="1" applyProtection="1"/>
    <xf numFmtId="3" fontId="120" fillId="0" borderId="0" xfId="75" applyNumberFormat="1" applyFont="1" applyFill="1" applyBorder="1" applyAlignment="1" applyProtection="1"/>
    <xf numFmtId="0" fontId="121" fillId="0" borderId="311" xfId="75" applyNumberFormat="1" applyFont="1" applyFill="1" applyBorder="1" applyAlignment="1" applyProtection="1">
      <alignment horizontal="center" vertical="center" wrapText="1"/>
    </xf>
    <xf numFmtId="0" fontId="119" fillId="0" borderId="315" xfId="75" applyNumberFormat="1" applyFont="1" applyFill="1" applyBorder="1" applyAlignment="1" applyProtection="1">
      <alignment horizontal="center" vertical="center" wrapText="1"/>
    </xf>
    <xf numFmtId="0" fontId="118" fillId="0" borderId="315" xfId="75" applyNumberFormat="1" applyFont="1" applyFill="1" applyBorder="1" applyAlignment="1" applyProtection="1">
      <alignment vertical="center" wrapText="1"/>
    </xf>
    <xf numFmtId="3" fontId="118" fillId="0" borderId="315" xfId="75" applyNumberFormat="1" applyFont="1" applyFill="1" applyBorder="1" applyAlignment="1" applyProtection="1">
      <alignment vertical="center"/>
    </xf>
    <xf numFmtId="3" fontId="118" fillId="0" borderId="283" xfId="75" applyNumberFormat="1" applyFont="1" applyFill="1" applyBorder="1" applyAlignment="1" applyProtection="1">
      <alignment vertical="center"/>
    </xf>
    <xf numFmtId="3" fontId="118" fillId="0" borderId="315" xfId="75" applyNumberFormat="1" applyFont="1" applyFill="1" applyBorder="1" applyAlignment="1" applyProtection="1">
      <alignment vertical="center" wrapText="1"/>
    </xf>
    <xf numFmtId="3" fontId="118" fillId="0" borderId="283" xfId="75" applyNumberFormat="1" applyFont="1" applyFill="1" applyBorder="1" applyAlignment="1" applyProtection="1">
      <alignment vertical="center" wrapText="1"/>
    </xf>
    <xf numFmtId="3" fontId="118" fillId="0" borderId="315" xfId="75" applyNumberFormat="1" applyFont="1" applyFill="1" applyBorder="1" applyAlignment="1" applyProtection="1"/>
    <xf numFmtId="3" fontId="118" fillId="0" borderId="283" xfId="75" applyNumberFormat="1" applyFont="1" applyFill="1" applyBorder="1" applyAlignment="1" applyProtection="1"/>
    <xf numFmtId="0" fontId="118" fillId="0" borderId="317" xfId="75" applyNumberFormat="1" applyFont="1" applyFill="1" applyBorder="1" applyAlignment="1" applyProtection="1">
      <alignment vertical="center" wrapText="1"/>
    </xf>
    <xf numFmtId="3" fontId="118" fillId="0" borderId="317" xfId="75" applyNumberFormat="1" applyFont="1" applyFill="1" applyBorder="1" applyAlignment="1" applyProtection="1"/>
    <xf numFmtId="3" fontId="118" fillId="0" borderId="318" xfId="75" applyNumberFormat="1" applyFont="1" applyFill="1" applyBorder="1" applyAlignment="1" applyProtection="1"/>
    <xf numFmtId="0" fontId="118" fillId="0" borderId="319" xfId="75" applyNumberFormat="1" applyFont="1" applyFill="1" applyBorder="1" applyAlignment="1" applyProtection="1">
      <alignment vertical="center" wrapText="1"/>
    </xf>
    <xf numFmtId="3" fontId="118" fillId="0" borderId="319" xfId="75" applyNumberFormat="1" applyFont="1" applyFill="1" applyBorder="1" applyAlignment="1" applyProtection="1">
      <alignment vertical="center"/>
    </xf>
    <xf numFmtId="3" fontId="118" fillId="0" borderId="288" xfId="75" applyNumberFormat="1" applyFont="1" applyFill="1" applyBorder="1" applyAlignment="1" applyProtection="1">
      <alignment vertical="center"/>
    </xf>
    <xf numFmtId="0" fontId="119" fillId="0" borderId="313" xfId="75" applyNumberFormat="1" applyFont="1" applyFill="1" applyBorder="1" applyAlignment="1" applyProtection="1">
      <alignment horizontal="center" vertical="center" wrapText="1"/>
    </xf>
    <xf numFmtId="0" fontId="119" fillId="0" borderId="317" xfId="75" applyNumberFormat="1" applyFont="1" applyFill="1" applyBorder="1" applyAlignment="1" applyProtection="1">
      <alignment horizontal="center" vertical="center" wrapText="1"/>
    </xf>
    <xf numFmtId="0" fontId="119" fillId="0" borderId="323" xfId="75" applyNumberFormat="1" applyFont="1" applyFill="1" applyBorder="1" applyAlignment="1" applyProtection="1">
      <alignment horizontal="center" vertical="center" wrapText="1"/>
    </xf>
    <xf numFmtId="0" fontId="119" fillId="0" borderId="324" xfId="75" applyNumberFormat="1" applyFont="1" applyFill="1" applyBorder="1" applyAlignment="1" applyProtection="1">
      <alignment horizontal="center" vertical="center" wrapText="1"/>
    </xf>
    <xf numFmtId="3" fontId="118" fillId="0" borderId="325" xfId="75" applyNumberFormat="1" applyFont="1" applyFill="1" applyBorder="1" applyAlignment="1" applyProtection="1">
      <alignment vertical="center"/>
    </xf>
    <xf numFmtId="3" fontId="118" fillId="0" borderId="326" xfId="75" applyNumberFormat="1" applyFont="1" applyFill="1" applyBorder="1" applyAlignment="1" applyProtection="1">
      <alignment vertical="center"/>
    </xf>
    <xf numFmtId="3" fontId="118" fillId="0" borderId="326" xfId="75" applyNumberFormat="1" applyFont="1" applyFill="1" applyBorder="1" applyAlignment="1" applyProtection="1">
      <alignment vertical="center" wrapText="1"/>
    </xf>
    <xf numFmtId="3" fontId="118" fillId="0" borderId="326" xfId="75" applyNumberFormat="1" applyFont="1" applyFill="1" applyBorder="1" applyAlignment="1" applyProtection="1"/>
    <xf numFmtId="3" fontId="118" fillId="0" borderId="324" xfId="75" applyNumberFormat="1" applyFont="1" applyFill="1" applyBorder="1" applyAlignment="1" applyProtection="1"/>
    <xf numFmtId="0" fontId="111" fillId="0" borderId="258" xfId="0" applyFont="1" applyBorder="1" applyAlignment="1">
      <alignment vertical="center" wrapText="1"/>
    </xf>
    <xf numFmtId="3" fontId="111" fillId="0" borderId="201" xfId="0" applyNumberFormat="1" applyFont="1" applyBorder="1" applyAlignment="1">
      <alignment vertical="center"/>
    </xf>
    <xf numFmtId="0" fontId="112" fillId="0" borderId="258" xfId="0" applyFont="1" applyBorder="1" applyAlignment="1">
      <alignment vertical="center" wrapText="1"/>
    </xf>
    <xf numFmtId="3" fontId="112" fillId="0" borderId="201" xfId="0" applyNumberFormat="1" applyFont="1" applyBorder="1" applyAlignment="1">
      <alignment vertical="center"/>
    </xf>
    <xf numFmtId="3" fontId="38" fillId="0" borderId="200" xfId="43" applyNumberFormat="1" applyFont="1" applyBorder="1" applyAlignment="1">
      <alignment horizontal="right" vertical="center"/>
    </xf>
    <xf numFmtId="3" fontId="37" fillId="0" borderId="200" xfId="43" applyNumberFormat="1" applyFont="1" applyBorder="1" applyAlignment="1">
      <alignment horizontal="right" vertical="center"/>
    </xf>
    <xf numFmtId="0" fontId="37" fillId="24" borderId="258" xfId="43" applyFont="1" applyFill="1" applyBorder="1" applyAlignment="1">
      <alignment wrapText="1"/>
    </xf>
    <xf numFmtId="0" fontId="38" fillId="0" borderId="258" xfId="43" applyFont="1" applyBorder="1"/>
    <xf numFmtId="0" fontId="114" fillId="0" borderId="258" xfId="0" applyFont="1" applyBorder="1" applyAlignment="1">
      <alignment vertical="center" wrapText="1"/>
    </xf>
    <xf numFmtId="3" fontId="114" fillId="0" borderId="201" xfId="0" applyNumberFormat="1" applyFont="1" applyBorder="1" applyAlignment="1">
      <alignment vertical="center"/>
    </xf>
    <xf numFmtId="3" fontId="103" fillId="0" borderId="200" xfId="43" applyNumberFormat="1" applyFont="1" applyBorder="1" applyAlignment="1">
      <alignment horizontal="right" vertical="center"/>
    </xf>
    <xf numFmtId="0" fontId="37" fillId="0" borderId="258" xfId="0" applyFont="1" applyBorder="1" applyAlignment="1">
      <alignment vertical="center" wrapText="1"/>
    </xf>
    <xf numFmtId="0" fontId="38" fillId="0" borderId="258" xfId="0" applyFont="1" applyBorder="1" applyAlignment="1">
      <alignment vertical="center" wrapText="1"/>
    </xf>
    <xf numFmtId="0" fontId="21" fillId="0" borderId="258" xfId="43" applyFont="1" applyBorder="1"/>
    <xf numFmtId="0" fontId="112" fillId="0" borderId="201" xfId="0" applyFont="1" applyBorder="1" applyAlignment="1">
      <alignment vertical="center" wrapText="1"/>
    </xf>
    <xf numFmtId="0" fontId="111" fillId="0" borderId="274" xfId="0" applyFont="1" applyBorder="1" applyAlignment="1">
      <alignment vertical="center" wrapText="1"/>
    </xf>
    <xf numFmtId="3" fontId="111" fillId="0" borderId="273" xfId="0" applyNumberFormat="1" applyFont="1" applyBorder="1" applyAlignment="1">
      <alignment vertical="center"/>
    </xf>
    <xf numFmtId="3" fontId="37" fillId="0" borderId="269" xfId="43" applyNumberFormat="1" applyFont="1" applyBorder="1" applyAlignment="1">
      <alignment horizontal="right" vertical="center"/>
    </xf>
    <xf numFmtId="0" fontId="111" fillId="0" borderId="307" xfId="0" applyFont="1" applyBorder="1" applyAlignment="1">
      <alignment vertical="center" wrapText="1"/>
    </xf>
    <xf numFmtId="3" fontId="111" fillId="0" borderId="306" xfId="0" applyNumberFormat="1" applyFont="1" applyBorder="1" applyAlignment="1">
      <alignment vertical="center"/>
    </xf>
    <xf numFmtId="0" fontId="21" fillId="0" borderId="300" xfId="43" applyBorder="1"/>
    <xf numFmtId="0" fontId="111" fillId="0" borderId="304" xfId="0" applyFont="1" applyBorder="1" applyAlignment="1">
      <alignment vertical="center" wrapText="1"/>
    </xf>
    <xf numFmtId="3" fontId="111" fillId="0" borderId="303" xfId="0" applyNumberFormat="1" applyFont="1" applyBorder="1" applyAlignment="1">
      <alignment horizontal="center" vertical="center"/>
    </xf>
    <xf numFmtId="0" fontId="37" fillId="0" borderId="295" xfId="43" applyFont="1" applyBorder="1" applyAlignment="1">
      <alignment horizontal="center" vertical="center"/>
    </xf>
    <xf numFmtId="3" fontId="111" fillId="0" borderId="0" xfId="0" applyNumberFormat="1" applyFont="1" applyBorder="1" applyAlignment="1">
      <alignment vertical="center"/>
    </xf>
    <xf numFmtId="3" fontId="38" fillId="0" borderId="29" xfId="43" applyNumberFormat="1" applyFont="1" applyBorder="1" applyAlignment="1">
      <alignment horizontal="right" vertical="center"/>
    </xf>
    <xf numFmtId="3" fontId="38" fillId="0" borderId="268" xfId="43" applyNumberFormat="1" applyFont="1" applyBorder="1" applyAlignment="1">
      <alignment horizontal="right" vertical="center"/>
    </xf>
    <xf numFmtId="0" fontId="111" fillId="0" borderId="329" xfId="0" applyFont="1" applyBorder="1" applyAlignment="1">
      <alignment vertical="center" wrapText="1"/>
    </xf>
    <xf numFmtId="0" fontId="113" fillId="0" borderId="330" xfId="0" applyFont="1" applyBorder="1" applyAlignment="1">
      <alignment vertical="center" wrapText="1"/>
    </xf>
    <xf numFmtId="2" fontId="45" fillId="0" borderId="195" xfId="0" applyNumberFormat="1" applyFont="1" applyBorder="1" applyAlignment="1">
      <alignment horizontal="center" vertical="top" wrapText="1"/>
    </xf>
    <xf numFmtId="0" fontId="46" fillId="0" borderId="305" xfId="0" applyFont="1" applyBorder="1" applyAlignment="1">
      <alignment horizontal="justify" vertical="top" wrapText="1"/>
    </xf>
    <xf numFmtId="2" fontId="45" fillId="0" borderId="331" xfId="0" applyNumberFormat="1" applyFont="1" applyBorder="1" applyAlignment="1">
      <alignment horizontal="center" vertical="top" wrapText="1"/>
    </xf>
    <xf numFmtId="2" fontId="45" fillId="0" borderId="305" xfId="0" applyNumberFormat="1" applyFont="1" applyBorder="1" applyAlignment="1">
      <alignment horizontal="center" vertical="top" wrapText="1"/>
    </xf>
    <xf numFmtId="0" fontId="45" fillId="0" borderId="88" xfId="0" applyFont="1" applyBorder="1" applyAlignment="1">
      <alignment horizontal="justify" vertical="top" wrapText="1"/>
    </xf>
    <xf numFmtId="2" fontId="45" fillId="0" borderId="195" xfId="0" applyNumberFormat="1" applyFont="1" applyBorder="1" applyAlignment="1">
      <alignment horizontal="center"/>
    </xf>
    <xf numFmtId="49" fontId="45" fillId="0" borderId="88" xfId="0" applyNumberFormat="1" applyFont="1" applyBorder="1" applyAlignment="1">
      <alignment horizontal="justify" vertical="top" wrapText="1"/>
    </xf>
    <xf numFmtId="0" fontId="46" fillId="0" borderId="88" xfId="0" applyFont="1" applyBorder="1" applyAlignment="1">
      <alignment horizontal="justify" vertical="top" wrapText="1"/>
    </xf>
    <xf numFmtId="2" fontId="46" fillId="0" borderId="195" xfId="0" applyNumberFormat="1" applyFont="1" applyBorder="1" applyAlignment="1">
      <alignment horizontal="center" vertical="top" wrapText="1"/>
    </xf>
    <xf numFmtId="0" fontId="46" fillId="0" borderId="297" xfId="0" applyFont="1" applyBorder="1" applyAlignment="1">
      <alignment horizontal="justify" vertical="top" wrapText="1"/>
    </xf>
    <xf numFmtId="2" fontId="46" fillId="0" borderId="328" xfId="0" applyNumberFormat="1" applyFont="1" applyBorder="1" applyAlignment="1">
      <alignment horizontal="center" vertical="top" wrapText="1"/>
    </xf>
    <xf numFmtId="2" fontId="46" fillId="0" borderId="297" xfId="0" applyNumberFormat="1" applyFont="1" applyBorder="1" applyAlignment="1">
      <alignment horizontal="center" vertical="top" wrapText="1"/>
    </xf>
    <xf numFmtId="0" fontId="45" fillId="0" borderId="0" xfId="0" applyFont="1" applyBorder="1" applyAlignment="1">
      <alignment horizontal="justify" vertical="top" wrapText="1"/>
    </xf>
    <xf numFmtId="2" fontId="45" fillId="0" borderId="0" xfId="0" applyNumberFormat="1" applyFont="1" applyBorder="1" applyAlignment="1">
      <alignment horizontal="center" vertical="top" wrapText="1"/>
    </xf>
    <xf numFmtId="0" fontId="46" fillId="0" borderId="298" xfId="0" applyFont="1" applyBorder="1" applyAlignment="1">
      <alignment horizontal="center" vertical="center" wrapText="1"/>
    </xf>
    <xf numFmtId="0" fontId="46" fillId="0" borderId="295" xfId="0" applyFont="1" applyBorder="1" applyAlignment="1">
      <alignment horizontal="center" vertical="center" wrapText="1"/>
    </xf>
    <xf numFmtId="0" fontId="46" fillId="0" borderId="333" xfId="0" applyFont="1" applyBorder="1" applyAlignment="1">
      <alignment horizontal="center" vertical="center" wrapText="1"/>
    </xf>
    <xf numFmtId="3" fontId="72" fillId="0" borderId="334" xfId="64" applyNumberFormat="1" applyFont="1" applyBorder="1" applyAlignment="1">
      <alignment horizontal="center" vertical="center"/>
    </xf>
    <xf numFmtId="0" fontId="45" fillId="0" borderId="305" xfId="0" applyFont="1" applyBorder="1" applyAlignment="1">
      <alignment horizontal="justify" vertical="top" wrapText="1"/>
    </xf>
    <xf numFmtId="0" fontId="30" fillId="0" borderId="88" xfId="0" applyFont="1" applyBorder="1" applyAlignment="1">
      <alignment horizontal="justify" vertical="top" wrapText="1"/>
    </xf>
    <xf numFmtId="2" fontId="30" fillId="0" borderId="195" xfId="0" applyNumberFormat="1" applyFont="1" applyBorder="1" applyAlignment="1">
      <alignment horizontal="center" vertical="top" wrapText="1"/>
    </xf>
    <xf numFmtId="0" fontId="45" fillId="0" borderId="88" xfId="0" applyFont="1" applyBorder="1" applyAlignment="1">
      <alignment horizontal="left" vertical="center" wrapText="1"/>
    </xf>
    <xf numFmtId="0" fontId="47" fillId="0" borderId="88" xfId="0" applyFont="1" applyBorder="1" applyAlignment="1">
      <alignment horizontal="justify" vertical="top" wrapText="1"/>
    </xf>
    <xf numFmtId="2" fontId="47" fillId="0" borderId="195" xfId="0" applyNumberFormat="1" applyFont="1" applyBorder="1" applyAlignment="1">
      <alignment horizontal="center" vertical="top" wrapText="1"/>
    </xf>
    <xf numFmtId="0" fontId="46" fillId="0" borderId="272" xfId="0" applyFont="1" applyBorder="1" applyAlignment="1">
      <alignment horizontal="justify" vertical="top" wrapText="1"/>
    </xf>
    <xf numFmtId="2" fontId="46" fillId="0" borderId="224" xfId="0" applyNumberFormat="1" applyFont="1" applyBorder="1" applyAlignment="1">
      <alignment horizontal="center" vertical="top" wrapText="1"/>
    </xf>
    <xf numFmtId="2" fontId="46" fillId="0" borderId="272" xfId="0" applyNumberFormat="1" applyFont="1" applyBorder="1" applyAlignment="1">
      <alignment horizontal="center" vertical="top" wrapText="1"/>
    </xf>
    <xf numFmtId="0" fontId="46" fillId="0" borderId="268" xfId="57" applyFont="1" applyBorder="1" applyAlignment="1">
      <alignment horizontal="center" vertical="center"/>
    </xf>
    <xf numFmtId="3" fontId="55" fillId="0" borderId="240" xfId="58" applyNumberFormat="1" applyFont="1" applyFill="1" applyBorder="1" applyAlignment="1">
      <alignment horizontal="right"/>
    </xf>
    <xf numFmtId="49" fontId="55" fillId="0" borderId="234" xfId="58" applyNumberFormat="1" applyFont="1" applyFill="1" applyBorder="1" applyAlignment="1">
      <alignment vertical="center" wrapText="1"/>
    </xf>
    <xf numFmtId="3" fontId="55" fillId="0" borderId="215" xfId="58" applyNumberFormat="1" applyFont="1" applyFill="1" applyBorder="1" applyAlignment="1">
      <alignment horizontal="right"/>
    </xf>
    <xf numFmtId="49" fontId="85" fillId="0" borderId="209" xfId="58" applyNumberFormat="1" applyFont="1" applyFill="1" applyBorder="1"/>
    <xf numFmtId="0" fontId="31" fillId="0" borderId="209" xfId="58" applyFont="1" applyFill="1" applyBorder="1"/>
    <xf numFmtId="3" fontId="33" fillId="0" borderId="209" xfId="58" applyNumberFormat="1" applyFont="1" applyFill="1" applyBorder="1" applyAlignment="1">
      <alignment horizontal="center"/>
    </xf>
    <xf numFmtId="3" fontId="33" fillId="0" borderId="208" xfId="58" applyNumberFormat="1" applyFont="1" applyFill="1" applyBorder="1"/>
    <xf numFmtId="3" fontId="55" fillId="0" borderId="207" xfId="58" applyNumberFormat="1" applyFont="1" applyFill="1" applyBorder="1"/>
    <xf numFmtId="0" fontId="58" fillId="0" borderId="274" xfId="56" applyBorder="1"/>
    <xf numFmtId="0" fontId="58" fillId="0" borderId="273" xfId="56" applyBorder="1"/>
    <xf numFmtId="0" fontId="77" fillId="0" borderId="273" xfId="74" applyFont="1" applyBorder="1" applyAlignment="1">
      <alignment horizontal="left"/>
    </xf>
    <xf numFmtId="3" fontId="76" fillId="0" borderId="273" xfId="74" applyNumberFormat="1" applyFont="1" applyBorder="1" applyAlignment="1"/>
    <xf numFmtId="3" fontId="76" fillId="0" borderId="269" xfId="74" applyNumberFormat="1" applyFont="1" applyBorder="1" applyAlignment="1"/>
    <xf numFmtId="0" fontId="81" fillId="0" borderId="258" xfId="55" applyFont="1" applyBorder="1"/>
    <xf numFmtId="0" fontId="81" fillId="0" borderId="257" xfId="55" applyFont="1" applyBorder="1"/>
    <xf numFmtId="0" fontId="80" fillId="0" borderId="274" xfId="55" applyFont="1" applyBorder="1" applyAlignment="1">
      <alignment horizontal="center" vertical="center"/>
    </xf>
    <xf numFmtId="0" fontId="80" fillId="0" borderId="273" xfId="55" applyFont="1" applyBorder="1" applyAlignment="1">
      <alignment horizontal="center" vertical="center"/>
    </xf>
    <xf numFmtId="0" fontId="81" fillId="0" borderId="273" xfId="55" applyFont="1" applyBorder="1" applyAlignment="1">
      <alignment horizontal="left"/>
    </xf>
    <xf numFmtId="3" fontId="80" fillId="0" borderId="273" xfId="55" applyNumberFormat="1" applyFont="1" applyBorder="1" applyAlignment="1"/>
    <xf numFmtId="3" fontId="80" fillId="0" borderId="269" xfId="55" applyNumberFormat="1" applyFont="1" applyBorder="1" applyAlignment="1"/>
    <xf numFmtId="0" fontId="119" fillId="0" borderId="337" xfId="75" applyNumberFormat="1" applyFont="1" applyFill="1" applyBorder="1" applyAlignment="1" applyProtection="1">
      <alignment vertical="center"/>
    </xf>
    <xf numFmtId="0" fontId="76" fillId="0" borderId="201" xfId="74" applyFont="1" applyBorder="1" applyAlignment="1">
      <alignment horizontal="left"/>
    </xf>
    <xf numFmtId="0" fontId="76" fillId="24" borderId="201" xfId="74" applyFont="1" applyFill="1" applyBorder="1" applyAlignment="1">
      <alignment horizontal="left"/>
    </xf>
    <xf numFmtId="0" fontId="82" fillId="0" borderId="0" xfId="55" applyFont="1" applyBorder="1" applyAlignment="1">
      <alignment horizontal="center" wrapText="1"/>
    </xf>
    <xf numFmtId="0" fontId="80" fillId="0" borderId="258" xfId="55" applyFont="1" applyBorder="1" applyAlignment="1">
      <alignment horizontal="center" vertical="center"/>
    </xf>
    <xf numFmtId="0" fontId="80" fillId="0" borderId="201" xfId="55" applyFont="1" applyBorder="1" applyAlignment="1">
      <alignment horizontal="center" vertical="center"/>
    </xf>
    <xf numFmtId="0" fontId="80" fillId="0" borderId="258" xfId="55" applyFont="1" applyBorder="1" applyAlignment="1">
      <alignment horizontal="left" vertical="center"/>
    </xf>
    <xf numFmtId="0" fontId="80" fillId="0" borderId="201" xfId="55" applyFont="1" applyBorder="1" applyAlignment="1">
      <alignment horizontal="left" vertical="center"/>
    </xf>
    <xf numFmtId="0" fontId="77" fillId="0" borderId="258" xfId="74" applyFont="1" applyBorder="1"/>
    <xf numFmtId="0" fontId="77" fillId="24" borderId="258" xfId="74" applyFont="1" applyFill="1" applyBorder="1"/>
    <xf numFmtId="0" fontId="122" fillId="0" borderId="0" xfId="0" applyFont="1"/>
    <xf numFmtId="3" fontId="122" fillId="0" borderId="0" xfId="0" applyNumberFormat="1" applyFont="1"/>
    <xf numFmtId="0" fontId="58" fillId="0" borderId="0" xfId="56" applyBorder="1"/>
    <xf numFmtId="3" fontId="98" fillId="24" borderId="193" xfId="43" applyNumberFormat="1" applyFont="1" applyFill="1" applyBorder="1"/>
    <xf numFmtId="0" fontId="21" fillId="33" borderId="0" xfId="43" applyFill="1" applyBorder="1"/>
    <xf numFmtId="3" fontId="112" fillId="0" borderId="307" xfId="64" applyNumberFormat="1" applyFont="1" applyBorder="1" applyAlignment="1">
      <alignment vertical="center"/>
    </xf>
    <xf numFmtId="3" fontId="112" fillId="0" borderId="306" xfId="64" applyNumberFormat="1" applyFont="1" applyBorder="1" applyAlignment="1">
      <alignment vertical="center"/>
    </xf>
    <xf numFmtId="3" fontId="112" fillId="0" borderId="300" xfId="64" applyNumberFormat="1" applyFont="1" applyBorder="1" applyAlignment="1">
      <alignment vertical="center"/>
    </xf>
    <xf numFmtId="3" fontId="38" fillId="33" borderId="197" xfId="43" applyNumberFormat="1" applyFont="1" applyFill="1" applyBorder="1"/>
    <xf numFmtId="49" fontId="21" fillId="33" borderId="0" xfId="43" applyNumberFormat="1" applyFont="1" applyFill="1" applyBorder="1"/>
    <xf numFmtId="0" fontId="35" fillId="27" borderId="302" xfId="64" applyFont="1" applyFill="1" applyBorder="1" applyAlignment="1">
      <alignment vertical="center" wrapText="1"/>
    </xf>
    <xf numFmtId="0" fontId="112" fillId="27" borderId="96" xfId="64" applyFont="1" applyFill="1" applyBorder="1" applyAlignment="1">
      <alignment vertical="center" wrapText="1"/>
    </xf>
    <xf numFmtId="3" fontId="112" fillId="0" borderId="96" xfId="64" applyNumberFormat="1" applyFont="1" applyBorder="1" applyAlignment="1">
      <alignment vertical="center"/>
    </xf>
    <xf numFmtId="3" fontId="38" fillId="33" borderId="96" xfId="43" applyNumberFormat="1" applyFont="1" applyFill="1" applyBorder="1"/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157" xfId="0" applyFont="1" applyBorder="1" applyAlignment="1">
      <alignment horizontal="center" vertical="center" wrapText="1"/>
    </xf>
    <xf numFmtId="0" fontId="0" fillId="0" borderId="157" xfId="0" applyBorder="1" applyAlignment="1">
      <alignment horizontal="center" vertical="center" wrapText="1"/>
    </xf>
    <xf numFmtId="0" fontId="0" fillId="0" borderId="165" xfId="0" applyBorder="1" applyAlignment="1">
      <alignment horizontal="center" vertical="center" wrapText="1"/>
    </xf>
    <xf numFmtId="0" fontId="28" fillId="0" borderId="166" xfId="0" applyFont="1" applyBorder="1" applyAlignment="1">
      <alignment horizontal="center"/>
    </xf>
    <xf numFmtId="0" fontId="28" fillId="0" borderId="165" xfId="0" applyFont="1" applyBorder="1" applyAlignment="1">
      <alignment horizontal="center"/>
    </xf>
    <xf numFmtId="0" fontId="0" fillId="0" borderId="165" xfId="0" applyBorder="1" applyAlignment="1"/>
    <xf numFmtId="0" fontId="0" fillId="0" borderId="167" xfId="0" applyBorder="1" applyAlignment="1"/>
    <xf numFmtId="0" fontId="28" fillId="0" borderId="179" xfId="0" applyFont="1" applyBorder="1" applyAlignment="1">
      <alignment horizontal="left" wrapText="1"/>
    </xf>
    <xf numFmtId="0" fontId="28" fillId="0" borderId="186" xfId="0" applyFont="1" applyBorder="1" applyAlignment="1">
      <alignment horizontal="left" wrapText="1"/>
    </xf>
    <xf numFmtId="0" fontId="28" fillId="0" borderId="0" xfId="0" applyFont="1" applyBorder="1" applyAlignment="1">
      <alignment horizontal="center"/>
    </xf>
    <xf numFmtId="0" fontId="28" fillId="0" borderId="39" xfId="0" applyFont="1" applyBorder="1" applyAlignment="1">
      <alignment horizontal="center" vertical="center"/>
    </xf>
    <xf numFmtId="0" fontId="28" fillId="0" borderId="47" xfId="0" applyFont="1" applyBorder="1" applyAlignment="1">
      <alignment horizontal="left"/>
    </xf>
    <xf numFmtId="0" fontId="0" fillId="0" borderId="61" xfId="0" applyBorder="1" applyAlignment="1"/>
    <xf numFmtId="0" fontId="28" fillId="0" borderId="61" xfId="0" applyFont="1" applyBorder="1" applyAlignment="1">
      <alignment horizontal="left"/>
    </xf>
    <xf numFmtId="0" fontId="27" fillId="0" borderId="148" xfId="0" applyFont="1" applyBorder="1" applyAlignment="1">
      <alignment horizontal="center"/>
    </xf>
    <xf numFmtId="0" fontId="27" fillId="0" borderId="149" xfId="0" applyFont="1" applyBorder="1" applyAlignment="1">
      <alignment horizontal="center"/>
    </xf>
    <xf numFmtId="0" fontId="28" fillId="0" borderId="57" xfId="0" applyFont="1" applyBorder="1" applyAlignment="1">
      <alignment horizontal="left"/>
    </xf>
    <xf numFmtId="0" fontId="28" fillId="0" borderId="47" xfId="0" applyFont="1" applyBorder="1" applyAlignment="1"/>
    <xf numFmtId="0" fontId="28" fillId="0" borderId="61" xfId="0" applyFont="1" applyBorder="1" applyAlignment="1"/>
    <xf numFmtId="49" fontId="28" fillId="0" borderId="47" xfId="0" applyNumberFormat="1" applyFont="1" applyBorder="1" applyAlignment="1">
      <alignment horizontal="left" wrapText="1"/>
    </xf>
    <xf numFmtId="49" fontId="28" fillId="0" borderId="61" xfId="0" applyNumberFormat="1" applyFont="1" applyBorder="1" applyAlignment="1">
      <alignment horizontal="left" wrapText="1"/>
    </xf>
    <xf numFmtId="0" fontId="28" fillId="0" borderId="39" xfId="0" applyFont="1" applyBorder="1" applyAlignment="1"/>
    <xf numFmtId="0" fontId="28" fillId="0" borderId="68" xfId="0" applyFont="1" applyBorder="1" applyAlignment="1"/>
    <xf numFmtId="49" fontId="28" fillId="0" borderId="69" xfId="0" applyNumberFormat="1" applyFont="1" applyBorder="1" applyAlignment="1">
      <alignment horizontal="left" wrapText="1"/>
    </xf>
    <xf numFmtId="49" fontId="28" fillId="0" borderId="65" xfId="0" applyNumberFormat="1" applyFont="1" applyBorder="1" applyAlignment="1">
      <alignment horizontal="left" wrapText="1"/>
    </xf>
    <xf numFmtId="0" fontId="28" fillId="0" borderId="136" xfId="0" applyFont="1" applyBorder="1" applyAlignment="1"/>
    <xf numFmtId="0" fontId="0" fillId="0" borderId="137" xfId="0" applyBorder="1" applyAlignment="1"/>
    <xf numFmtId="0" fontId="32" fillId="0" borderId="0" xfId="45" applyFont="1" applyBorder="1" applyAlignment="1">
      <alignment horizontal="center"/>
    </xf>
    <xf numFmtId="0" fontId="32" fillId="0" borderId="30" xfId="45" applyFont="1" applyBorder="1" applyAlignment="1">
      <alignment horizontal="center"/>
    </xf>
    <xf numFmtId="0" fontId="32" fillId="0" borderId="35" xfId="45" applyFont="1" applyBorder="1" applyAlignment="1">
      <alignment horizontal="center"/>
    </xf>
    <xf numFmtId="0" fontId="41" fillId="0" borderId="0" xfId="0" applyFont="1" applyBorder="1" applyAlignment="1">
      <alignment horizontal="center" shrinkToFit="1"/>
    </xf>
    <xf numFmtId="0" fontId="41" fillId="0" borderId="2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 wrapText="1"/>
    </xf>
    <xf numFmtId="0" fontId="41" fillId="0" borderId="157" xfId="0" applyFont="1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41" fillId="0" borderId="157" xfId="0" applyFont="1" applyBorder="1" applyAlignment="1">
      <alignment horizontal="center" vertical="center"/>
    </xf>
    <xf numFmtId="0" fontId="0" fillId="0" borderId="154" xfId="0" applyBorder="1" applyAlignment="1"/>
    <xf numFmtId="0" fontId="33" fillId="0" borderId="0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79" fillId="0" borderId="0" xfId="74" applyFont="1" applyBorder="1" applyAlignment="1">
      <alignment horizontal="center" wrapText="1"/>
    </xf>
    <xf numFmtId="0" fontId="78" fillId="0" borderId="0" xfId="56" applyFont="1" applyBorder="1" applyAlignment="1">
      <alignment horizontal="center"/>
    </xf>
    <xf numFmtId="0" fontId="76" fillId="0" borderId="340" xfId="74" applyFont="1" applyBorder="1" applyAlignment="1">
      <alignment horizontal="center" vertical="center"/>
    </xf>
    <xf numFmtId="0" fontId="76" fillId="0" borderId="339" xfId="74" applyFont="1" applyBorder="1" applyAlignment="1">
      <alignment horizontal="center" vertical="center"/>
    </xf>
    <xf numFmtId="0" fontId="76" fillId="0" borderId="258" xfId="74" applyFont="1" applyBorder="1" applyAlignment="1">
      <alignment horizontal="center" vertical="center"/>
    </xf>
    <xf numFmtId="0" fontId="76" fillId="0" borderId="201" xfId="74" applyFont="1" applyBorder="1" applyAlignment="1">
      <alignment horizontal="center" vertical="center"/>
    </xf>
    <xf numFmtId="0" fontId="76" fillId="0" borderId="339" xfId="74" applyFont="1" applyBorder="1" applyAlignment="1">
      <alignment horizontal="center"/>
    </xf>
    <xf numFmtId="0" fontId="76" fillId="0" borderId="338" xfId="74" applyFont="1" applyBorder="1" applyAlignment="1">
      <alignment horizontal="center" vertical="center" wrapText="1"/>
    </xf>
    <xf numFmtId="0" fontId="76" fillId="0" borderId="200" xfId="74" applyFont="1" applyBorder="1" applyAlignment="1">
      <alignment horizontal="center" vertical="center" wrapText="1"/>
    </xf>
    <xf numFmtId="0" fontId="76" fillId="0" borderId="201" xfId="74" applyFont="1" applyBorder="1" applyAlignment="1">
      <alignment horizontal="center" vertical="center" wrapText="1"/>
    </xf>
    <xf numFmtId="3" fontId="76" fillId="0" borderId="201" xfId="74" applyNumberFormat="1" applyFont="1" applyBorder="1" applyAlignment="1">
      <alignment horizontal="center" vertical="center" wrapText="1"/>
    </xf>
    <xf numFmtId="0" fontId="76" fillId="0" borderId="201" xfId="74" applyFont="1" applyBorder="1" applyAlignment="1">
      <alignment horizontal="left"/>
    </xf>
    <xf numFmtId="0" fontId="76" fillId="24" borderId="201" xfId="74" applyFont="1" applyFill="1" applyBorder="1" applyAlignment="1">
      <alignment horizontal="left"/>
    </xf>
    <xf numFmtId="0" fontId="83" fillId="0" borderId="0" xfId="55" applyFont="1" applyBorder="1"/>
    <xf numFmtId="0" fontId="82" fillId="0" borderId="0" xfId="55" applyFont="1" applyBorder="1" applyAlignment="1">
      <alignment horizontal="center" wrapText="1"/>
    </xf>
    <xf numFmtId="0" fontId="80" fillId="0" borderId="340" xfId="55" applyFont="1" applyBorder="1" applyAlignment="1">
      <alignment horizontal="center" vertical="center"/>
    </xf>
    <xf numFmtId="0" fontId="80" fillId="0" borderId="339" xfId="55" applyFont="1" applyBorder="1" applyAlignment="1">
      <alignment horizontal="center" vertical="center"/>
    </xf>
    <xf numFmtId="0" fontId="80" fillId="0" borderId="258" xfId="55" applyFont="1" applyBorder="1" applyAlignment="1">
      <alignment horizontal="center" vertical="center"/>
    </xf>
    <xf numFmtId="0" fontId="80" fillId="0" borderId="201" xfId="55" applyFont="1" applyBorder="1" applyAlignment="1">
      <alignment horizontal="center" vertical="center"/>
    </xf>
    <xf numFmtId="3" fontId="80" fillId="0" borderId="339" xfId="55" applyNumberFormat="1" applyFont="1" applyBorder="1" applyAlignment="1">
      <alignment horizontal="center" vertical="center"/>
    </xf>
    <xf numFmtId="3" fontId="80" fillId="0" borderId="201" xfId="55" applyNumberFormat="1" applyFont="1" applyBorder="1" applyAlignment="1">
      <alignment horizontal="center" vertical="center"/>
    </xf>
    <xf numFmtId="0" fontId="80" fillId="0" borderId="339" xfId="55" applyFont="1" applyBorder="1" applyAlignment="1">
      <alignment horizontal="center"/>
    </xf>
    <xf numFmtId="0" fontId="80" fillId="0" borderId="338" xfId="55" applyFont="1" applyBorder="1" applyAlignment="1">
      <alignment horizontal="center"/>
    </xf>
    <xf numFmtId="0" fontId="80" fillId="0" borderId="201" xfId="55" applyFont="1" applyBorder="1" applyAlignment="1">
      <alignment horizontal="center" vertical="center" wrapText="1"/>
    </xf>
    <xf numFmtId="3" fontId="80" fillId="0" borderId="201" xfId="55" applyNumberFormat="1" applyFont="1" applyBorder="1" applyAlignment="1">
      <alignment horizontal="center" vertical="center" wrapText="1"/>
    </xf>
    <xf numFmtId="0" fontId="80" fillId="0" borderId="200" xfId="55" applyFont="1" applyBorder="1" applyAlignment="1">
      <alignment horizontal="center" vertical="center" wrapText="1"/>
    </xf>
    <xf numFmtId="0" fontId="80" fillId="0" borderId="258" xfId="55" applyFont="1" applyBorder="1" applyAlignment="1">
      <alignment horizontal="left" vertical="center"/>
    </xf>
    <xf numFmtId="0" fontId="80" fillId="0" borderId="201" xfId="55" applyFont="1" applyBorder="1" applyAlignment="1">
      <alignment horizontal="left" vertical="center"/>
    </xf>
    <xf numFmtId="0" fontId="80" fillId="0" borderId="257" xfId="55" applyFont="1" applyBorder="1" applyAlignment="1"/>
    <xf numFmtId="0" fontId="57" fillId="0" borderId="205" xfId="55" applyBorder="1" applyAlignment="1"/>
    <xf numFmtId="0" fontId="80" fillId="27" borderId="258" xfId="55" applyFont="1" applyFill="1" applyBorder="1" applyAlignment="1">
      <alignment horizontal="left" vertical="center"/>
    </xf>
    <xf numFmtId="0" fontId="80" fillId="27" borderId="201" xfId="55" applyFont="1" applyFill="1" applyBorder="1" applyAlignment="1">
      <alignment horizontal="left" vertical="center"/>
    </xf>
    <xf numFmtId="0" fontId="118" fillId="0" borderId="315" xfId="75" applyNumberFormat="1" applyFont="1" applyFill="1" applyBorder="1" applyAlignment="1" applyProtection="1">
      <alignment horizontal="center" vertical="center" wrapText="1"/>
    </xf>
    <xf numFmtId="0" fontId="118" fillId="0" borderId="284" xfId="75" applyNumberFormat="1" applyFont="1" applyFill="1" applyBorder="1" applyAlignment="1" applyProtection="1">
      <alignment horizontal="center" vertical="center" wrapText="1"/>
    </xf>
    <xf numFmtId="0" fontId="119" fillId="0" borderId="284" xfId="75" applyNumberFormat="1" applyFont="1" applyFill="1" applyBorder="1" applyAlignment="1" applyProtection="1">
      <alignment horizontal="center" vertical="center" wrapText="1"/>
    </xf>
    <xf numFmtId="0" fontId="119" fillId="0" borderId="284" xfId="75" applyNumberFormat="1" applyFont="1" applyFill="1" applyBorder="1" applyAlignment="1" applyProtection="1">
      <alignment horizontal="center" wrapText="1"/>
    </xf>
    <xf numFmtId="0" fontId="118" fillId="0" borderId="315" xfId="75" applyNumberFormat="1" applyFont="1" applyFill="1" applyBorder="1" applyAlignment="1" applyProtection="1">
      <alignment horizontal="center" wrapText="1"/>
    </xf>
    <xf numFmtId="0" fontId="119" fillId="0" borderId="316" xfId="75" applyNumberFormat="1" applyFont="1" applyFill="1" applyBorder="1" applyAlignment="1" applyProtection="1">
      <alignment horizontal="center" wrapText="1"/>
    </xf>
    <xf numFmtId="0" fontId="118" fillId="0" borderId="317" xfId="75" applyNumberFormat="1" applyFont="1" applyFill="1" applyBorder="1" applyAlignment="1" applyProtection="1">
      <alignment horizontal="center" vertical="center" wrapText="1"/>
    </xf>
    <xf numFmtId="0" fontId="118" fillId="0" borderId="335" xfId="75" applyNumberFormat="1" applyFont="1" applyFill="1" applyBorder="1" applyAlignment="1" applyProtection="1">
      <alignment horizontal="center" vertical="center" wrapText="1"/>
    </xf>
    <xf numFmtId="0" fontId="118" fillId="0" borderId="336" xfId="75" applyNumberFormat="1" applyFont="1" applyFill="1" applyBorder="1" applyAlignment="1" applyProtection="1">
      <alignment horizontal="center" vertical="center" wrapText="1"/>
    </xf>
    <xf numFmtId="0" fontId="119" fillId="0" borderId="314" xfId="75" applyNumberFormat="1" applyFont="1" applyFill="1" applyBorder="1" applyAlignment="1" applyProtection="1">
      <alignment horizontal="center" vertical="center" wrapText="1"/>
    </xf>
    <xf numFmtId="0" fontId="119" fillId="0" borderId="283" xfId="75" applyNumberFormat="1" applyFont="1" applyFill="1" applyBorder="1" applyAlignment="1" applyProtection="1">
      <alignment horizontal="center" vertical="center" wrapText="1"/>
    </xf>
    <xf numFmtId="0" fontId="119" fillId="0" borderId="313" xfId="75" applyNumberFormat="1" applyFont="1" applyFill="1" applyBorder="1" applyAlignment="1" applyProtection="1">
      <alignment horizontal="center" vertical="center" wrapText="1"/>
    </xf>
    <xf numFmtId="0" fontId="119" fillId="0" borderId="317" xfId="75" applyNumberFormat="1" applyFont="1" applyFill="1" applyBorder="1" applyAlignment="1" applyProtection="1">
      <alignment horizontal="center" vertical="center" wrapText="1"/>
    </xf>
    <xf numFmtId="0" fontId="118" fillId="0" borderId="289" xfId="75" applyNumberFormat="1" applyFont="1" applyFill="1" applyBorder="1" applyAlignment="1" applyProtection="1">
      <alignment horizontal="center" vertical="center" wrapText="1"/>
    </xf>
    <xf numFmtId="0" fontId="119" fillId="0" borderId="318" xfId="75" applyNumberFormat="1" applyFont="1" applyFill="1" applyBorder="1" applyAlignment="1" applyProtection="1">
      <alignment horizontal="center" vertical="center" wrapText="1"/>
    </xf>
    <xf numFmtId="0" fontId="118" fillId="0" borderId="319" xfId="75" applyNumberFormat="1" applyFont="1" applyFill="1" applyBorder="1" applyAlignment="1" applyProtection="1">
      <alignment horizontal="center" vertical="center" wrapText="1"/>
    </xf>
    <xf numFmtId="0" fontId="119" fillId="0" borderId="320" xfId="75" applyNumberFormat="1" applyFont="1" applyFill="1" applyBorder="1" applyAlignment="1" applyProtection="1">
      <alignment horizontal="center" vertical="center"/>
    </xf>
    <xf numFmtId="0" fontId="119" fillId="0" borderId="321" xfId="75" applyNumberFormat="1" applyFont="1" applyFill="1" applyBorder="1" applyAlignment="1" applyProtection="1">
      <alignment horizontal="center" vertical="center"/>
    </xf>
    <xf numFmtId="0" fontId="119" fillId="0" borderId="322" xfId="75" applyNumberFormat="1" applyFont="1" applyFill="1" applyBorder="1" applyAlignment="1" applyProtection="1">
      <alignment horizontal="center" vertical="center"/>
    </xf>
    <xf numFmtId="0" fontId="119" fillId="0" borderId="312" xfId="75" applyNumberFormat="1" applyFont="1" applyFill="1" applyBorder="1" applyAlignment="1" applyProtection="1">
      <alignment horizontal="center" vertical="center" wrapText="1"/>
    </xf>
    <xf numFmtId="0" fontId="119" fillId="0" borderId="294" xfId="75" applyNumberFormat="1" applyFont="1" applyFill="1" applyBorder="1" applyAlignment="1" applyProtection="1">
      <alignment horizontal="center" vertical="center"/>
    </xf>
    <xf numFmtId="0" fontId="119" fillId="0" borderId="327" xfId="75" applyNumberFormat="1" applyFont="1" applyFill="1" applyBorder="1" applyAlignment="1" applyProtection="1">
      <alignment horizontal="center" vertical="center"/>
    </xf>
    <xf numFmtId="0" fontId="119" fillId="0" borderId="316" xfId="75" applyNumberFormat="1" applyFont="1" applyFill="1" applyBorder="1" applyAlignment="1" applyProtection="1">
      <alignment horizontal="center" vertical="center" wrapText="1"/>
    </xf>
    <xf numFmtId="0" fontId="119" fillId="0" borderId="315" xfId="75" applyNumberFormat="1" applyFont="1" applyFill="1" applyBorder="1" applyAlignment="1" applyProtection="1">
      <alignment horizontal="center" vertical="center" wrapText="1"/>
    </xf>
    <xf numFmtId="0" fontId="119" fillId="0" borderId="313" xfId="75" applyNumberFormat="1" applyFont="1" applyFill="1" applyBorder="1" applyAlignment="1" applyProtection="1">
      <alignment horizontal="center" vertical="center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horizontal="center"/>
    </xf>
    <xf numFmtId="0" fontId="66" fillId="0" borderId="0" xfId="0" applyFont="1" applyBorder="1" applyAlignment="1">
      <alignment horizontal="center" wrapText="1"/>
    </xf>
    <xf numFmtId="0" fontId="111" fillId="0" borderId="0" xfId="64" applyFont="1" applyBorder="1" applyAlignment="1">
      <alignment horizontal="center" vertical="center" wrapText="1"/>
    </xf>
    <xf numFmtId="0" fontId="0" fillId="0" borderId="0" xfId="0" applyAlignment="1"/>
    <xf numFmtId="0" fontId="112" fillId="0" borderId="0" xfId="64" applyFont="1" applyBorder="1" applyAlignment="1">
      <alignment horizontal="left" vertical="center" wrapText="1"/>
    </xf>
    <xf numFmtId="0" fontId="21" fillId="0" borderId="0" xfId="43" applyAlignment="1">
      <alignment horizontal="left"/>
    </xf>
    <xf numFmtId="0" fontId="111" fillId="0" borderId="0" xfId="0" applyFont="1" applyBorder="1" applyAlignment="1">
      <alignment horizontal="center" vertical="center" wrapText="1"/>
    </xf>
    <xf numFmtId="0" fontId="46" fillId="0" borderId="297" xfId="0" applyFont="1" applyBorder="1" applyAlignment="1">
      <alignment horizontal="center" vertical="center" wrapText="1"/>
    </xf>
    <xf numFmtId="0" fontId="46" fillId="0" borderId="332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48" fillId="0" borderId="0" xfId="57" applyFont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30" fillId="0" borderId="100" xfId="57" applyFont="1" applyBorder="1" applyAlignment="1">
      <alignment horizontal="left"/>
    </xf>
    <xf numFmtId="0" fontId="30" fillId="0" borderId="189" xfId="57" applyFont="1" applyBorder="1" applyAlignment="1">
      <alignment horizontal="left"/>
    </xf>
    <xf numFmtId="0" fontId="46" fillId="0" borderId="98" xfId="57" applyFont="1" applyBorder="1" applyAlignment="1">
      <alignment horizontal="center" vertical="center"/>
    </xf>
    <xf numFmtId="0" fontId="46" fillId="0" borderId="87" xfId="57" applyFont="1" applyBorder="1" applyAlignment="1">
      <alignment horizontal="center" vertical="center"/>
    </xf>
    <xf numFmtId="0" fontId="46" fillId="0" borderId="263" xfId="57" applyFont="1" applyBorder="1" applyAlignment="1">
      <alignment horizontal="center" vertical="center"/>
    </xf>
    <xf numFmtId="0" fontId="46" fillId="0" borderId="79" xfId="57" applyFont="1" applyBorder="1" applyAlignment="1">
      <alignment horizontal="center" vertical="center" wrapText="1"/>
    </xf>
    <xf numFmtId="0" fontId="46" fillId="0" borderId="80" xfId="57" applyFont="1" applyBorder="1" applyAlignment="1">
      <alignment horizontal="center" vertical="center" wrapText="1"/>
    </xf>
    <xf numFmtId="0" fontId="30" fillId="0" borderId="83" xfId="57" applyFont="1" applyBorder="1" applyAlignment="1">
      <alignment horizontal="left"/>
    </xf>
    <xf numFmtId="0" fontId="30" fillId="0" borderId="153" xfId="57" applyFont="1" applyBorder="1" applyAlignment="1">
      <alignment horizontal="left"/>
    </xf>
    <xf numFmtId="0" fontId="46" fillId="0" borderId="143" xfId="0" applyFont="1" applyBorder="1" applyAlignment="1">
      <alignment horizontal="center" vertical="center" wrapText="1"/>
    </xf>
    <xf numFmtId="0" fontId="46" fillId="0" borderId="97" xfId="0" applyFont="1" applyBorder="1" applyAlignment="1">
      <alignment horizontal="center" vertical="center" wrapText="1"/>
    </xf>
    <xf numFmtId="0" fontId="46" fillId="0" borderId="143" xfId="57" applyFont="1" applyBorder="1" applyAlignment="1">
      <alignment horizontal="center" vertical="center" wrapText="1"/>
    </xf>
    <xf numFmtId="0" fontId="46" fillId="0" borderId="97" xfId="57" applyFont="1" applyBorder="1" applyAlignment="1">
      <alignment horizontal="center" vertical="center" wrapText="1"/>
    </xf>
    <xf numFmtId="0" fontId="46" fillId="0" borderId="144" xfId="57" applyFont="1" applyBorder="1" applyAlignment="1">
      <alignment horizontal="center" vertical="center" wrapText="1"/>
    </xf>
    <xf numFmtId="0" fontId="46" fillId="0" borderId="134" xfId="57" applyFont="1" applyBorder="1" applyAlignment="1">
      <alignment horizontal="center" vertical="center" wrapText="1"/>
    </xf>
    <xf numFmtId="0" fontId="46" fillId="0" borderId="89" xfId="57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0" fontId="44" fillId="0" borderId="123" xfId="44" applyFont="1" applyBorder="1" applyAlignment="1">
      <alignment horizontal="center" vertical="center"/>
    </xf>
    <xf numFmtId="0" fontId="44" fillId="0" borderId="97" xfId="44" applyFont="1" applyBorder="1" applyAlignment="1">
      <alignment horizontal="center" vertical="center"/>
    </xf>
    <xf numFmtId="0" fontId="0" fillId="0" borderId="89" xfId="0" applyBorder="1" applyAlignment="1"/>
    <xf numFmtId="0" fontId="44" fillId="0" borderId="82" xfId="44" applyFont="1" applyBorder="1" applyAlignment="1">
      <alignment horizontal="center" vertical="center"/>
    </xf>
    <xf numFmtId="0" fontId="44" fillId="0" borderId="132" xfId="44" applyFont="1" applyBorder="1" applyAlignment="1">
      <alignment horizontal="center" vertical="center"/>
    </xf>
    <xf numFmtId="0" fontId="44" fillId="0" borderId="0" xfId="44" applyFont="1" applyBorder="1" applyAlignment="1">
      <alignment horizontal="center"/>
    </xf>
    <xf numFmtId="0" fontId="33" fillId="0" borderId="0" xfId="58" applyFont="1" applyFill="1" applyBorder="1" applyAlignment="1">
      <alignment horizontal="center"/>
    </xf>
    <xf numFmtId="0" fontId="33" fillId="0" borderId="0" xfId="58" applyFont="1" applyFill="1" applyAlignment="1">
      <alignment horizontal="center"/>
    </xf>
    <xf numFmtId="3" fontId="31" fillId="0" borderId="189" xfId="58" applyNumberFormat="1" applyFont="1" applyFill="1" applyBorder="1" applyAlignment="1">
      <alignment horizontal="left"/>
    </xf>
    <xf numFmtId="3" fontId="31" fillId="0" borderId="195" xfId="58" applyNumberFormat="1" applyFont="1" applyFill="1" applyBorder="1" applyAlignment="1">
      <alignment horizontal="left"/>
    </xf>
    <xf numFmtId="3" fontId="31" fillId="0" borderId="205" xfId="58" applyNumberFormat="1" applyFont="1" applyFill="1" applyBorder="1" applyAlignment="1">
      <alignment horizontal="left"/>
    </xf>
    <xf numFmtId="0" fontId="96" fillId="0" borderId="249" xfId="58" applyFont="1" applyFill="1" applyBorder="1" applyAlignment="1">
      <alignment horizontal="center"/>
    </xf>
    <xf numFmtId="0" fontId="31" fillId="0" borderId="248" xfId="58" applyFont="1" applyFill="1" applyBorder="1" applyAlignment="1">
      <alignment horizontal="center" vertical="center" wrapText="1"/>
    </xf>
    <xf numFmtId="0" fontId="31" fillId="0" borderId="232" xfId="58" applyFont="1" applyFill="1" applyBorder="1" applyAlignment="1">
      <alignment horizontal="center" vertical="center" wrapText="1"/>
    </xf>
    <xf numFmtId="49" fontId="33" fillId="0" borderId="247" xfId="58" applyNumberFormat="1" applyFont="1" applyFill="1" applyBorder="1" applyAlignment="1">
      <alignment horizontal="center" vertical="center"/>
    </xf>
    <xf numFmtId="49" fontId="33" fillId="0" borderId="98" xfId="58" applyNumberFormat="1" applyFont="1" applyFill="1" applyBorder="1" applyAlignment="1">
      <alignment horizontal="center" vertical="center"/>
    </xf>
    <xf numFmtId="0" fontId="44" fillId="0" borderId="228" xfId="58" applyFont="1" applyFill="1" applyBorder="1" applyAlignment="1">
      <alignment horizontal="center"/>
    </xf>
    <xf numFmtId="0" fontId="44" fillId="0" borderId="246" xfId="58" applyFont="1" applyFill="1" applyBorder="1" applyAlignment="1">
      <alignment horizontal="center"/>
    </xf>
    <xf numFmtId="3" fontId="54" fillId="0" borderId="227" xfId="58" applyNumberFormat="1" applyFont="1" applyFill="1" applyBorder="1" applyAlignment="1">
      <alignment horizontal="center" vertical="center" wrapText="1"/>
    </xf>
    <xf numFmtId="3" fontId="74" fillId="0" borderId="207" xfId="58" applyNumberFormat="1" applyFont="1" applyFill="1" applyBorder="1" applyAlignment="1">
      <alignment horizontal="center" vertical="center" wrapText="1"/>
    </xf>
    <xf numFmtId="0" fontId="27" fillId="0" borderId="245" xfId="58" applyFont="1" applyFill="1" applyBorder="1" applyAlignment="1">
      <alignment horizontal="center" vertical="center" wrapText="1"/>
    </xf>
    <xf numFmtId="0" fontId="27" fillId="0" borderId="244" xfId="58" applyFont="1" applyFill="1" applyBorder="1" applyAlignment="1">
      <alignment horizontal="center" vertical="center" wrapText="1"/>
    </xf>
    <xf numFmtId="49" fontId="74" fillId="0" borderId="216" xfId="58" applyNumberFormat="1" applyFont="1" applyFill="1" applyBorder="1" applyAlignment="1">
      <alignment horizontal="left" vertical="center" wrapText="1"/>
    </xf>
    <xf numFmtId="49" fontId="74" fillId="0" borderId="215" xfId="58" applyNumberFormat="1" applyFont="1" applyFill="1" applyBorder="1" applyAlignment="1">
      <alignment horizontal="left" vertical="center" wrapText="1"/>
    </xf>
    <xf numFmtId="49" fontId="56" fillId="0" borderId="189" xfId="58" applyNumberFormat="1" applyFont="1" applyFill="1" applyBorder="1" applyAlignment="1">
      <alignment horizontal="left" vertical="center" wrapText="1"/>
    </xf>
    <xf numFmtId="49" fontId="56" fillId="0" borderId="195" xfId="58" applyNumberFormat="1" applyFont="1" applyFill="1" applyBorder="1" applyAlignment="1">
      <alignment horizontal="left" vertical="center" wrapText="1"/>
    </xf>
    <xf numFmtId="49" fontId="56" fillId="0" borderId="213" xfId="58" applyNumberFormat="1" applyFont="1" applyFill="1" applyBorder="1" applyAlignment="1">
      <alignment horizontal="left" vertical="center" wrapText="1"/>
    </xf>
    <xf numFmtId="3" fontId="44" fillId="0" borderId="226" xfId="58" applyNumberFormat="1" applyFont="1" applyFill="1" applyBorder="1" applyAlignment="1">
      <alignment horizontal="center" vertical="center" wrapText="1"/>
    </xf>
    <xf numFmtId="3" fontId="49" fillId="0" borderId="206" xfId="58" applyNumberFormat="1" applyFont="1" applyFill="1" applyBorder="1" applyAlignment="1">
      <alignment horizontal="center" vertical="center" wrapText="1"/>
    </xf>
    <xf numFmtId="4" fontId="56" fillId="0" borderId="189" xfId="58" applyNumberFormat="1" applyFont="1" applyFill="1" applyBorder="1" applyAlignment="1">
      <alignment horizontal="center"/>
    </xf>
    <xf numFmtId="4" fontId="56" fillId="0" borderId="205" xfId="58" applyNumberFormat="1" applyFont="1" applyFill="1" applyBorder="1" applyAlignment="1">
      <alignment horizontal="center"/>
    </xf>
    <xf numFmtId="49" fontId="31" fillId="0" borderId="219" xfId="58" applyNumberFormat="1" applyFont="1" applyFill="1" applyBorder="1" applyAlignment="1">
      <alignment horizontal="left"/>
    </xf>
    <xf numFmtId="49" fontId="31" fillId="0" borderId="0" xfId="58" applyNumberFormat="1" applyFont="1" applyFill="1" applyBorder="1" applyAlignment="1">
      <alignment horizontal="left"/>
    </xf>
    <xf numFmtId="3" fontId="66" fillId="0" borderId="0" xfId="0" applyNumberFormat="1" applyFont="1" applyBorder="1" applyAlignment="1">
      <alignment horizontal="center"/>
    </xf>
  </cellXfs>
  <cellStyles count="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" xfId="76" builtinId="3"/>
    <cellStyle name="Ezres 2" xfId="65"/>
    <cellStyle name="Ezres 3" xfId="67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74"/>
    <cellStyle name="Neutral" xfId="42"/>
    <cellStyle name="Normál" xfId="0" builtinId="0"/>
    <cellStyle name="Normál 2" xfId="55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8"/>
    <cellStyle name="Normál 9 2" xfId="69"/>
    <cellStyle name="Normál 9 3" xfId="70"/>
    <cellStyle name="Normál 9 4" xfId="71"/>
    <cellStyle name="Normál 9 5" xfId="72"/>
    <cellStyle name="Normál 9 6" xfId="73"/>
    <cellStyle name="Normál 9 7" xfId="75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14</xdr:row>
      <xdr:rowOff>119062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34025" y="2824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Ardai%20M&#225;ria%20Mell&#233;kletek-Rendeletm&#243;dos&#237;t&#225;s%202017.%20IX.%20xlsx-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be&#233;rkez&#337;%20anyagok\Ardai%20M&#225;ria%20Mell&#233;kletek-Rendeletm&#243;dos&#237;t&#225;s%202017.%20IX.%20xlsx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245122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BreakPreview" topLeftCell="A19" zoomScaleNormal="79" zoomScaleSheetLayoutView="100" workbookViewId="0">
      <selection activeCell="E35" sqref="E35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11.7109375" style="2" bestFit="1" customWidth="1"/>
    <col min="5" max="5" width="11.7109375" style="2" customWidth="1"/>
    <col min="6" max="6" width="12.42578125" style="1" customWidth="1"/>
    <col min="7" max="7" width="64.42578125" style="1" customWidth="1"/>
    <col min="8" max="8" width="9.5703125" style="2" customWidth="1"/>
    <col min="9" max="9" width="10.7109375" style="1" customWidth="1"/>
    <col min="10" max="10" width="11.7109375" style="1" customWidth="1"/>
    <col min="11" max="16384" width="9.140625" style="1"/>
  </cols>
  <sheetData>
    <row r="1" spans="1:10" ht="12.75" customHeight="1" x14ac:dyDescent="0.2">
      <c r="A1" s="3"/>
    </row>
    <row r="2" spans="1:10" ht="14.25" customHeight="1" x14ac:dyDescent="0.2">
      <c r="A2" s="1406" t="s">
        <v>148</v>
      </c>
      <c r="B2" s="1406"/>
      <c r="C2" s="1406"/>
      <c r="D2" s="1406"/>
      <c r="E2" s="1406"/>
      <c r="F2" s="1406"/>
      <c r="G2" s="1406"/>
      <c r="H2" s="1406"/>
      <c r="I2" s="1406"/>
      <c r="J2" s="1406"/>
    </row>
    <row r="3" spans="1:10" ht="13.5" customHeight="1" thickBot="1" x14ac:dyDescent="0.25">
      <c r="F3" s="2"/>
      <c r="G3" s="2"/>
    </row>
    <row r="4" spans="1:10" ht="13.5" customHeight="1" thickBot="1" x14ac:dyDescent="0.25">
      <c r="A4" s="1396" t="s">
        <v>0</v>
      </c>
      <c r="B4" s="1397"/>
      <c r="C4" s="1397"/>
      <c r="D4" s="1398"/>
      <c r="E4" s="1399"/>
      <c r="F4" s="1400" t="s">
        <v>1</v>
      </c>
      <c r="G4" s="1401"/>
      <c r="H4" s="1401"/>
      <c r="I4" s="1402"/>
      <c r="J4" s="1403"/>
    </row>
    <row r="5" spans="1:10" s="586" customFormat="1" ht="36.75" customHeight="1" thickBot="1" x14ac:dyDescent="0.25">
      <c r="A5" s="1407" t="s">
        <v>2</v>
      </c>
      <c r="B5" s="1395"/>
      <c r="C5" s="286" t="s">
        <v>3</v>
      </c>
      <c r="D5" s="236" t="s">
        <v>225</v>
      </c>
      <c r="E5" s="236" t="s">
        <v>235</v>
      </c>
      <c r="F5" s="1394" t="s">
        <v>2</v>
      </c>
      <c r="G5" s="1395"/>
      <c r="H5" s="236" t="s">
        <v>4</v>
      </c>
      <c r="I5" s="236" t="s">
        <v>226</v>
      </c>
      <c r="J5" s="236" t="s">
        <v>235</v>
      </c>
    </row>
    <row r="6" spans="1:10" ht="13.5" customHeight="1" x14ac:dyDescent="0.2">
      <c r="A6" s="74" t="s">
        <v>5</v>
      </c>
      <c r="B6" s="284"/>
      <c r="C6" s="285">
        <f>'3. sz. melléklet'!K6</f>
        <v>974690</v>
      </c>
      <c r="D6" s="587">
        <f>'3. sz. melléklet'!L6</f>
        <v>1124300</v>
      </c>
      <c r="E6" s="269">
        <f>'3. sz. melléklet'!M6</f>
        <v>1176705</v>
      </c>
      <c r="F6" s="77" t="s">
        <v>6</v>
      </c>
      <c r="G6" s="267"/>
      <c r="H6" s="271">
        <f>'4.sz. melléklet'!M6</f>
        <v>1212281</v>
      </c>
      <c r="I6" s="271">
        <f>'4.sz. melléklet'!N6</f>
        <v>1279168</v>
      </c>
      <c r="J6" s="271">
        <f>'4.sz. melléklet'!O6</f>
        <v>1274807</v>
      </c>
    </row>
    <row r="7" spans="1:10" ht="13.5" customHeight="1" x14ac:dyDescent="0.2">
      <c r="A7" s="1404" t="s">
        <v>236</v>
      </c>
      <c r="B7" s="1405"/>
      <c r="C7" s="245"/>
      <c r="D7" s="588"/>
      <c r="E7" s="469">
        <f>'3. sz. melléklet'!D7</f>
        <v>886</v>
      </c>
      <c r="F7" s="196"/>
      <c r="G7" s="227"/>
      <c r="H7" s="239"/>
      <c r="I7" s="239"/>
      <c r="J7" s="474"/>
    </row>
    <row r="8" spans="1:10" ht="13.5" customHeight="1" x14ac:dyDescent="0.2">
      <c r="A8" s="1408" t="s">
        <v>7</v>
      </c>
      <c r="B8" s="1410"/>
      <c r="C8" s="245">
        <f>SUM(C9)</f>
        <v>237585</v>
      </c>
      <c r="D8" s="588">
        <f>'3. sz. melléklet'!L8</f>
        <v>596769</v>
      </c>
      <c r="E8" s="251">
        <f>'3. sz. melléklet'!M8</f>
        <v>653076</v>
      </c>
      <c r="F8" s="196"/>
      <c r="G8" s="227"/>
      <c r="H8" s="240"/>
      <c r="I8" s="240"/>
      <c r="J8" s="469"/>
    </row>
    <row r="9" spans="1:10" ht="12.75" customHeight="1" x14ac:dyDescent="0.2">
      <c r="A9" s="222"/>
      <c r="B9" s="230" t="s">
        <v>8</v>
      </c>
      <c r="C9" s="246">
        <f>('3. sz. melléklet'!K9)</f>
        <v>237585</v>
      </c>
      <c r="D9" s="589">
        <f>('3. sz. melléklet'!L9)</f>
        <v>596769</v>
      </c>
      <c r="E9" s="252">
        <f>('3. sz. melléklet'!M9)</f>
        <v>653076</v>
      </c>
      <c r="F9" s="196" t="s">
        <v>9</v>
      </c>
      <c r="G9" s="227"/>
      <c r="H9" s="240">
        <f>'4.sz. melléklet'!M7</f>
        <v>282763</v>
      </c>
      <c r="I9" s="240">
        <f>'4.sz. melléklet'!N7</f>
        <v>298883</v>
      </c>
      <c r="J9" s="240">
        <f>'4.sz. melléklet'!O7</f>
        <v>303767</v>
      </c>
    </row>
    <row r="10" spans="1:10" ht="12.75" customHeight="1" x14ac:dyDescent="0.2">
      <c r="A10" s="1408" t="s">
        <v>143</v>
      </c>
      <c r="B10" s="1409"/>
      <c r="C10" s="250">
        <f>SUM(C11)</f>
        <v>100800</v>
      </c>
      <c r="D10" s="590">
        <f>'3. sz. melléklet'!L10</f>
        <v>833234</v>
      </c>
      <c r="E10" s="253">
        <f>'3. sz. melléklet'!M10</f>
        <v>968254</v>
      </c>
      <c r="F10" s="196"/>
      <c r="G10" s="227"/>
      <c r="H10" s="240"/>
      <c r="I10" s="240"/>
      <c r="J10" s="469"/>
    </row>
    <row r="11" spans="1:10" ht="12.75" customHeight="1" x14ac:dyDescent="0.2">
      <c r="A11" s="222"/>
      <c r="B11" s="230" t="s">
        <v>8</v>
      </c>
      <c r="C11" s="246">
        <f>('3. sz. melléklet'!K11)</f>
        <v>100800</v>
      </c>
      <c r="D11" s="589">
        <f>('3. sz. melléklet'!L11)</f>
        <v>833234</v>
      </c>
      <c r="E11" s="252">
        <f>('3. sz. melléklet'!M11)</f>
        <v>968254</v>
      </c>
      <c r="F11" s="196"/>
      <c r="G11" s="227"/>
      <c r="H11" s="240"/>
      <c r="I11" s="240"/>
      <c r="J11" s="469"/>
    </row>
    <row r="12" spans="1:10" ht="12.75" customHeight="1" x14ac:dyDescent="0.2">
      <c r="A12" s="223"/>
      <c r="B12" s="230"/>
      <c r="C12" s="246"/>
      <c r="D12" s="588"/>
      <c r="E12" s="469"/>
      <c r="F12" s="196"/>
      <c r="G12" s="227"/>
      <c r="H12" s="240"/>
      <c r="I12" s="240"/>
      <c r="J12" s="469"/>
    </row>
    <row r="13" spans="1:10" ht="12.75" customHeight="1" x14ac:dyDescent="0.2">
      <c r="A13" s="221" t="s">
        <v>10</v>
      </c>
      <c r="B13" s="232"/>
      <c r="C13" s="245">
        <f>SUM(C14:C19)</f>
        <v>2114400</v>
      </c>
      <c r="D13" s="588">
        <f>'3. sz. melléklet'!L12</f>
        <v>2200786</v>
      </c>
      <c r="E13" s="251">
        <f>'3. sz. melléklet'!M12</f>
        <v>2201197</v>
      </c>
      <c r="F13" s="196" t="s">
        <v>11</v>
      </c>
      <c r="G13" s="227"/>
      <c r="H13" s="240">
        <f>'4.sz. melléklet'!M8</f>
        <v>1200695</v>
      </c>
      <c r="I13" s="240">
        <f>'4.sz. melléklet'!N8</f>
        <v>1416356</v>
      </c>
      <c r="J13" s="240">
        <f>'4.sz. melléklet'!O8</f>
        <v>1514541</v>
      </c>
    </row>
    <row r="14" spans="1:10" ht="12.75" customHeight="1" x14ac:dyDescent="0.2">
      <c r="A14" s="223"/>
      <c r="B14" s="227" t="s">
        <v>12</v>
      </c>
      <c r="C14" s="246">
        <f>'3. sz. melléklet'!K13</f>
        <v>473000</v>
      </c>
      <c r="D14" s="589">
        <f>'3. sz. melléklet'!L13</f>
        <v>486700</v>
      </c>
      <c r="E14" s="252">
        <f>'3. sz. melléklet'!M13</f>
        <v>486700</v>
      </c>
      <c r="F14" s="197"/>
      <c r="G14" s="227"/>
      <c r="H14" s="241"/>
      <c r="I14" s="241"/>
      <c r="J14" s="475"/>
    </row>
    <row r="15" spans="1:10" ht="12.75" customHeight="1" x14ac:dyDescent="0.2">
      <c r="A15" s="224"/>
      <c r="B15" s="230" t="s">
        <v>77</v>
      </c>
      <c r="C15" s="246">
        <f>'3. sz. melléklet'!K16</f>
        <v>1634500</v>
      </c>
      <c r="D15" s="589">
        <f>'3. sz. melléklet'!L16</f>
        <v>1705596</v>
      </c>
      <c r="E15" s="252">
        <f>'3. sz. melléklet'!M16</f>
        <v>1705596</v>
      </c>
      <c r="F15" s="196" t="s">
        <v>13</v>
      </c>
      <c r="G15" s="227"/>
      <c r="H15" s="239">
        <f>'4.sz. melléklet'!M9</f>
        <v>77825</v>
      </c>
      <c r="I15" s="239">
        <f>'4.sz. melléklet'!N9</f>
        <v>68061</v>
      </c>
      <c r="J15" s="239">
        <f>'4.sz. melléklet'!O9</f>
        <v>70315</v>
      </c>
    </row>
    <row r="16" spans="1:10" ht="12.75" customHeight="1" x14ac:dyDescent="0.2">
      <c r="A16" s="222"/>
      <c r="B16" s="247" t="s">
        <v>14</v>
      </c>
      <c r="C16" s="246">
        <f>'3. sz. melléklet'!K21</f>
        <v>5000</v>
      </c>
      <c r="D16" s="589">
        <f>'3. sz. melléklet'!L21</f>
        <v>5000</v>
      </c>
      <c r="E16" s="252">
        <f>'3. sz. melléklet'!M21</f>
        <v>5000</v>
      </c>
      <c r="F16" s="196" t="s">
        <v>15</v>
      </c>
      <c r="G16" s="227"/>
      <c r="H16" s="239">
        <f>SUM(H17:H20)</f>
        <v>1076465</v>
      </c>
      <c r="I16" s="239">
        <f>'4.sz. melléklet'!N10</f>
        <v>1034209</v>
      </c>
      <c r="J16" s="239">
        <f>'4.sz. melléklet'!O10</f>
        <v>1044468</v>
      </c>
    </row>
    <row r="17" spans="1:10" ht="12.75" customHeight="1" x14ac:dyDescent="0.2">
      <c r="A17" s="222"/>
      <c r="B17" s="247"/>
      <c r="C17" s="246"/>
      <c r="D17" s="588"/>
      <c r="E17" s="469"/>
      <c r="F17" s="196"/>
      <c r="G17" s="227" t="s">
        <v>145</v>
      </c>
      <c r="H17" s="242">
        <f>'4.sz. melléklet'!M11</f>
        <v>18000</v>
      </c>
      <c r="I17" s="242">
        <f>'4.sz. melléklet'!N11</f>
        <v>15136</v>
      </c>
      <c r="J17" s="242">
        <f>'4.sz. melléklet'!O11</f>
        <v>9136</v>
      </c>
    </row>
    <row r="18" spans="1:10" ht="12.75" customHeight="1" x14ac:dyDescent="0.2">
      <c r="A18" s="222"/>
      <c r="B18" s="247" t="s">
        <v>221</v>
      </c>
      <c r="C18" s="246">
        <f>'3. sz. melléklet'!K22</f>
        <v>1900</v>
      </c>
      <c r="D18" s="589">
        <f>'3. sz. melléklet'!L22</f>
        <v>1990</v>
      </c>
      <c r="E18" s="252">
        <f>'3. sz. melléklet'!M22</f>
        <v>2401</v>
      </c>
      <c r="F18" s="197"/>
      <c r="G18" s="227" t="s">
        <v>17</v>
      </c>
      <c r="H18" s="242">
        <f>'4.sz. melléklet'!M12</f>
        <v>32000</v>
      </c>
      <c r="I18" s="242">
        <f>'4.sz. melléklet'!N12</f>
        <v>48160</v>
      </c>
      <c r="J18" s="242">
        <f>'4.sz. melléklet'!O12</f>
        <v>48160</v>
      </c>
    </row>
    <row r="19" spans="1:10" ht="12.75" customHeight="1" x14ac:dyDescent="0.2">
      <c r="A19" s="222"/>
      <c r="B19" s="247" t="s">
        <v>216</v>
      </c>
      <c r="C19" s="246"/>
      <c r="D19" s="589">
        <f>'3. sz. melléklet'!L23</f>
        <v>1500</v>
      </c>
      <c r="E19" s="252">
        <f>'3. sz. melléklet'!M23</f>
        <v>1500</v>
      </c>
      <c r="F19" s="197"/>
      <c r="G19" s="227" t="s">
        <v>18</v>
      </c>
      <c r="H19" s="242">
        <f>'4.sz. melléklet'!M13</f>
        <v>917165</v>
      </c>
      <c r="I19" s="242">
        <f>'4.sz. melléklet'!N13</f>
        <v>966282</v>
      </c>
      <c r="J19" s="242">
        <f>'4.sz. melléklet'!O13</f>
        <v>986241</v>
      </c>
    </row>
    <row r="20" spans="1:10" ht="12.75" customHeight="1" x14ac:dyDescent="0.2">
      <c r="A20" s="225" t="s">
        <v>19</v>
      </c>
      <c r="B20" s="230"/>
      <c r="C20" s="245">
        <f>SUM(C21:C28)</f>
        <v>852536</v>
      </c>
      <c r="D20" s="588">
        <f>'3. sz. melléklet'!L24</f>
        <v>1138284</v>
      </c>
      <c r="E20" s="251">
        <f>'3. sz. melléklet'!M24</f>
        <v>1164627</v>
      </c>
      <c r="F20" s="197"/>
      <c r="G20" s="227" t="s">
        <v>20</v>
      </c>
      <c r="H20" s="242">
        <f>'4.sz. melléklet'!M14</f>
        <v>109300</v>
      </c>
      <c r="I20" s="242">
        <f>'4.sz. melléklet'!N14</f>
        <v>4631</v>
      </c>
      <c r="J20" s="242">
        <f>'4.sz. melléklet'!O14</f>
        <v>931</v>
      </c>
    </row>
    <row r="21" spans="1:10" ht="12.75" customHeight="1" x14ac:dyDescent="0.2">
      <c r="A21" s="223"/>
      <c r="B21" s="227" t="s">
        <v>21</v>
      </c>
      <c r="C21" s="246">
        <f>'3. sz. melléklet'!K25</f>
        <v>390018</v>
      </c>
      <c r="D21" s="589">
        <f>'3. sz. melléklet'!L25</f>
        <v>560247</v>
      </c>
      <c r="E21" s="252">
        <f>'3. sz. melléklet'!M25</f>
        <v>585126</v>
      </c>
      <c r="F21" s="197"/>
      <c r="G21" s="227" t="s">
        <v>22</v>
      </c>
      <c r="H21" s="242">
        <f>'4.sz. melléklet'!M15</f>
        <v>15000</v>
      </c>
      <c r="I21" s="242">
        <f>'4.sz. melléklet'!N15</f>
        <v>3715</v>
      </c>
      <c r="J21" s="242">
        <f>'4.sz. melléklet'!O15</f>
        <v>15</v>
      </c>
    </row>
    <row r="22" spans="1:10" ht="13.5" customHeight="1" x14ac:dyDescent="0.2">
      <c r="A22" s="223"/>
      <c r="B22" s="227" t="s">
        <v>23</v>
      </c>
      <c r="C22" s="246">
        <f>'3. sz. melléklet'!K26</f>
        <v>65611</v>
      </c>
      <c r="D22" s="589">
        <f>'3. sz. melléklet'!L26</f>
        <v>158613</v>
      </c>
      <c r="E22" s="252">
        <f>'3. sz. melléklet'!M26</f>
        <v>149450</v>
      </c>
      <c r="F22" s="197"/>
      <c r="G22" s="228" t="s">
        <v>153</v>
      </c>
      <c r="H22" s="242">
        <f>'4.sz. melléklet'!M16</f>
        <v>80000</v>
      </c>
      <c r="I22" s="242">
        <f>'4.sz. melléklet'!N16</f>
        <v>916</v>
      </c>
      <c r="J22" s="242">
        <f>'4.sz. melléklet'!O16</f>
        <v>916</v>
      </c>
    </row>
    <row r="23" spans="1:10" ht="12.75" customHeight="1" x14ac:dyDescent="0.2">
      <c r="A23" s="223"/>
      <c r="B23" s="227" t="s">
        <v>24</v>
      </c>
      <c r="C23" s="246">
        <f>'3. sz. melléklet'!K27</f>
        <v>35656</v>
      </c>
      <c r="D23" s="589">
        <f>'3. sz. melléklet'!L27</f>
        <v>26243</v>
      </c>
      <c r="E23" s="252">
        <f>'3. sz. melléklet'!M27</f>
        <v>26243</v>
      </c>
      <c r="F23" s="197"/>
      <c r="G23" s="227" t="s">
        <v>25</v>
      </c>
      <c r="H23" s="242">
        <f>'4.sz. melléklet'!M17</f>
        <v>14300</v>
      </c>
      <c r="I23" s="242">
        <f>'4.sz. melléklet'!N17</f>
        <v>0</v>
      </c>
      <c r="J23" s="242">
        <f>'4.sz. melléklet'!O17</f>
        <v>0</v>
      </c>
    </row>
    <row r="24" spans="1:10" ht="14.25" customHeight="1" x14ac:dyDescent="0.2">
      <c r="A24" s="221"/>
      <c r="B24" s="227" t="s">
        <v>26</v>
      </c>
      <c r="C24" s="246">
        <f>'3. sz. melléklet'!K28</f>
        <v>87862</v>
      </c>
      <c r="D24" s="589">
        <f>'3. sz. melléklet'!L28</f>
        <v>87862</v>
      </c>
      <c r="E24" s="252">
        <f>'3. sz. melléklet'!M28</f>
        <v>94592</v>
      </c>
      <c r="F24" s="197"/>
      <c r="G24" s="229"/>
      <c r="H24" s="243"/>
      <c r="I24" s="243"/>
      <c r="J24" s="477"/>
    </row>
    <row r="25" spans="1:10" ht="12.75" customHeight="1" x14ac:dyDescent="0.2">
      <c r="A25" s="223"/>
      <c r="B25" s="227" t="s">
        <v>27</v>
      </c>
      <c r="C25" s="246">
        <f>'3. sz. melléklet'!K29</f>
        <v>83853</v>
      </c>
      <c r="D25" s="589">
        <f>'3. sz. melléklet'!L29</f>
        <v>85109</v>
      </c>
      <c r="E25" s="252">
        <f>'3. sz. melléklet'!M29</f>
        <v>85109</v>
      </c>
      <c r="F25" s="197"/>
      <c r="G25" s="227"/>
      <c r="H25" s="244"/>
      <c r="I25" s="244"/>
      <c r="J25" s="470"/>
    </row>
    <row r="26" spans="1:10" ht="12.75" customHeight="1" x14ac:dyDescent="0.2">
      <c r="A26" s="224"/>
      <c r="B26" s="230" t="s">
        <v>28</v>
      </c>
      <c r="C26" s="246">
        <f>'3. sz. melléklet'!K30</f>
        <v>173801</v>
      </c>
      <c r="D26" s="589">
        <f>'3. sz. melléklet'!L30</f>
        <v>204225</v>
      </c>
      <c r="E26" s="252">
        <f>'3. sz. melléklet'!M30</f>
        <v>207339</v>
      </c>
      <c r="F26" s="196" t="s">
        <v>29</v>
      </c>
      <c r="G26" s="227"/>
      <c r="H26" s="240">
        <f>'4.sz. melléklet'!M18</f>
        <v>291469</v>
      </c>
      <c r="I26" s="240">
        <f>'4.sz. melléklet'!N18</f>
        <v>1467567</v>
      </c>
      <c r="J26" s="240">
        <f>'4.sz. melléklet'!O18</f>
        <v>1646090</v>
      </c>
    </row>
    <row r="27" spans="1:10" ht="12.75" customHeight="1" x14ac:dyDescent="0.2">
      <c r="A27" s="223"/>
      <c r="B27" s="248" t="s">
        <v>30</v>
      </c>
      <c r="C27" s="246">
        <f>'3. sz. melléklet'!K31</f>
        <v>15735</v>
      </c>
      <c r="D27" s="589">
        <f>'3. sz. melléklet'!L31</f>
        <v>15744</v>
      </c>
      <c r="E27" s="252">
        <f>'3. sz. melléklet'!M31</f>
        <v>15744</v>
      </c>
      <c r="F27" s="197"/>
      <c r="G27" s="229"/>
      <c r="H27" s="243"/>
      <c r="I27" s="243"/>
      <c r="J27" s="477"/>
    </row>
    <row r="28" spans="1:10" ht="12.75" customHeight="1" x14ac:dyDescent="0.2">
      <c r="A28" s="223"/>
      <c r="B28" s="227" t="s">
        <v>217</v>
      </c>
      <c r="C28" s="246"/>
      <c r="D28" s="589">
        <f>'3. sz. melléklet'!L32</f>
        <v>241</v>
      </c>
      <c r="E28" s="252">
        <f>'3. sz. melléklet'!M32</f>
        <v>1024</v>
      </c>
      <c r="F28" s="196" t="s">
        <v>31</v>
      </c>
      <c r="G28" s="227"/>
      <c r="H28" s="239">
        <f>'4.sz. melléklet'!M19</f>
        <v>256799</v>
      </c>
      <c r="I28" s="239">
        <f>'4.sz. melléklet'!N19</f>
        <v>327641</v>
      </c>
      <c r="J28" s="239">
        <f>'4.sz. melléklet'!O19</f>
        <v>319622</v>
      </c>
    </row>
    <row r="29" spans="1:10" ht="12.75" customHeight="1" x14ac:dyDescent="0.2">
      <c r="A29" s="225" t="s">
        <v>32</v>
      </c>
      <c r="B29" s="230"/>
      <c r="C29" s="245">
        <f>SUM(C30:C31)</f>
        <v>3400</v>
      </c>
      <c r="D29" s="588">
        <f>'3. sz. melléklet'!L33</f>
        <v>3481</v>
      </c>
      <c r="E29" s="251">
        <f>'3. sz. melléklet'!M33</f>
        <v>6769</v>
      </c>
      <c r="F29" s="198"/>
      <c r="G29" s="227"/>
      <c r="H29" s="242"/>
      <c r="I29" s="242"/>
      <c r="J29" s="476"/>
    </row>
    <row r="30" spans="1:10" ht="12.75" customHeight="1" x14ac:dyDescent="0.2">
      <c r="A30" s="225"/>
      <c r="B30" s="227" t="s">
        <v>171</v>
      </c>
      <c r="C30" s="246">
        <f>'3. sz. melléklet'!K35</f>
        <v>2000</v>
      </c>
      <c r="D30" s="589">
        <f>'3. sz. melléklet'!L35</f>
        <v>2070</v>
      </c>
      <c r="E30" s="252">
        <f>'3. sz. melléklet'!M35</f>
        <v>4108</v>
      </c>
      <c r="F30" s="196" t="s">
        <v>33</v>
      </c>
      <c r="G30" s="227"/>
      <c r="H30" s="240">
        <f>'4.sz. melléklet'!M20</f>
        <v>71814</v>
      </c>
      <c r="I30" s="240">
        <f>'4.sz. melléklet'!N20</f>
        <v>49899</v>
      </c>
      <c r="J30" s="240">
        <f>'4.sz. melléklet'!O20</f>
        <v>41584</v>
      </c>
    </row>
    <row r="31" spans="1:10" ht="12.75" customHeight="1" x14ac:dyDescent="0.2">
      <c r="A31" s="225"/>
      <c r="B31" s="249" t="s">
        <v>144</v>
      </c>
      <c r="C31" s="246">
        <f>'3. sz. melléklet'!K34</f>
        <v>1400</v>
      </c>
      <c r="D31" s="589">
        <f>'3. sz. melléklet'!L34</f>
        <v>1411</v>
      </c>
      <c r="E31" s="252">
        <f>'3. sz. melléklet'!M34</f>
        <v>2661</v>
      </c>
      <c r="F31" s="196"/>
      <c r="G31" s="227" t="s">
        <v>17</v>
      </c>
      <c r="H31" s="244">
        <f>'4.sz. melléklet'!M21</f>
        <v>1200</v>
      </c>
      <c r="I31" s="244">
        <f>'4.sz. melléklet'!N21</f>
        <v>2700</v>
      </c>
      <c r="J31" s="244">
        <f>'4.sz. melléklet'!O21</f>
        <v>2700</v>
      </c>
    </row>
    <row r="32" spans="1:10" ht="12.75" customHeight="1" x14ac:dyDescent="0.2">
      <c r="A32" s="225" t="s">
        <v>34</v>
      </c>
      <c r="B32" s="227"/>
      <c r="C32" s="245">
        <f>SUM(C33)</f>
        <v>73119</v>
      </c>
      <c r="D32" s="588">
        <f>'3. sz. melléklet'!L36</f>
        <v>129449</v>
      </c>
      <c r="E32" s="251">
        <f>'3. sz. melléklet'!M36</f>
        <v>128199</v>
      </c>
      <c r="F32" s="196"/>
      <c r="G32" s="227" t="s">
        <v>35</v>
      </c>
      <c r="H32" s="242">
        <f>'4.sz. melléklet'!M22</f>
        <v>15614</v>
      </c>
      <c r="I32" s="242">
        <f>'4.sz. melléklet'!N22</f>
        <v>12199</v>
      </c>
      <c r="J32" s="242">
        <f>'4.sz. melléklet'!O22</f>
        <v>13884</v>
      </c>
    </row>
    <row r="33" spans="1:10" ht="12.75" customHeight="1" x14ac:dyDescent="0.2">
      <c r="A33" s="225"/>
      <c r="B33" s="227" t="s">
        <v>17</v>
      </c>
      <c r="C33" s="246">
        <f>'3. sz. melléklet'!K37</f>
        <v>73119</v>
      </c>
      <c r="D33" s="589">
        <f>'3. sz. melléklet'!L37</f>
        <v>126449</v>
      </c>
      <c r="E33" s="252">
        <f>'3. sz. melléklet'!M37</f>
        <v>125199</v>
      </c>
      <c r="F33" s="196"/>
      <c r="G33" s="230" t="s">
        <v>36</v>
      </c>
      <c r="H33" s="242">
        <f>'4.sz. melléklet'!M23</f>
        <v>55000</v>
      </c>
      <c r="I33" s="242">
        <f>'4.sz. melléklet'!N23</f>
        <v>35000</v>
      </c>
      <c r="J33" s="242">
        <f>'4.sz. melléklet'!O23</f>
        <v>25000</v>
      </c>
    </row>
    <row r="34" spans="1:10" ht="12.75" customHeight="1" x14ac:dyDescent="0.2">
      <c r="A34" s="225"/>
      <c r="B34" s="230" t="s">
        <v>146</v>
      </c>
      <c r="C34" s="246"/>
      <c r="D34" s="589">
        <v>3000</v>
      </c>
      <c r="E34" s="470">
        <f>'3. sz. melléklet'!M38</f>
        <v>3000</v>
      </c>
      <c r="F34" s="196"/>
      <c r="G34" s="231" t="s">
        <v>239</v>
      </c>
      <c r="H34" s="242">
        <f>'4.sz. melléklet'!M24</f>
        <v>50000</v>
      </c>
      <c r="I34" s="242">
        <f>'4.sz. melléklet'!N24</f>
        <v>30000</v>
      </c>
      <c r="J34" s="242">
        <f>'4.sz. melléklet'!O24</f>
        <v>25000</v>
      </c>
    </row>
    <row r="35" spans="1:10" ht="13.5" customHeight="1" x14ac:dyDescent="0.2">
      <c r="A35" s="225"/>
      <c r="B35" s="230"/>
      <c r="C35" s="246"/>
      <c r="D35" s="588"/>
      <c r="E35" s="469"/>
      <c r="F35" s="197"/>
      <c r="G35" s="231" t="s">
        <v>172</v>
      </c>
      <c r="H35" s="242">
        <f>'4.sz. melléklet'!M25</f>
        <v>5000</v>
      </c>
      <c r="I35" s="242">
        <f>'4.sz. melléklet'!N25</f>
        <v>5000</v>
      </c>
      <c r="J35" s="242">
        <f>'4.sz. melléklet'!O25</f>
        <v>0</v>
      </c>
    </row>
    <row r="36" spans="1:10" ht="12.75" customHeight="1" x14ac:dyDescent="0.2">
      <c r="A36" s="1408" t="s">
        <v>85</v>
      </c>
      <c r="B36" s="1410"/>
      <c r="C36" s="245">
        <f>SUM(C37:C38)</f>
        <v>20130</v>
      </c>
      <c r="D36" s="588">
        <f>'3. sz. melléklet'!L39</f>
        <v>21030</v>
      </c>
      <c r="E36" s="251">
        <f>'3. sz. melléklet'!M39</f>
        <v>21030</v>
      </c>
      <c r="F36" s="197"/>
      <c r="G36" s="227"/>
      <c r="H36" s="243"/>
      <c r="I36" s="243"/>
      <c r="J36" s="477"/>
    </row>
    <row r="37" spans="1:10" ht="12.75" customHeight="1" x14ac:dyDescent="0.2">
      <c r="A37" s="223"/>
      <c r="B37" s="227" t="s">
        <v>17</v>
      </c>
      <c r="C37" s="246">
        <f>'3. sz. melléklet'!K40</f>
        <v>1496</v>
      </c>
      <c r="D37" s="589">
        <f>'3. sz. melléklet'!L40</f>
        <v>1596</v>
      </c>
      <c r="E37" s="252">
        <f>'3. sz. melléklet'!M40</f>
        <v>1596</v>
      </c>
      <c r="F37" s="196"/>
      <c r="G37" s="227"/>
      <c r="H37" s="240"/>
      <c r="I37" s="240"/>
      <c r="J37" s="469"/>
    </row>
    <row r="38" spans="1:10" ht="12.75" customHeight="1" thickBot="1" x14ac:dyDescent="0.25">
      <c r="A38" s="261"/>
      <c r="B38" s="256" t="s">
        <v>146</v>
      </c>
      <c r="C38" s="254">
        <f>'3. sz. melléklet'!K41</f>
        <v>18634</v>
      </c>
      <c r="D38" s="591">
        <f>'3. sz. melléklet'!L41</f>
        <v>19434</v>
      </c>
      <c r="E38" s="262">
        <f>'3. sz. melléklet'!M41</f>
        <v>19434</v>
      </c>
      <c r="F38" s="263"/>
      <c r="G38" s="256"/>
      <c r="H38" s="264"/>
      <c r="I38" s="264"/>
      <c r="J38" s="472"/>
    </row>
    <row r="39" spans="1:10" ht="16.5" customHeight="1" thickBot="1" x14ac:dyDescent="0.3">
      <c r="A39" s="272" t="s">
        <v>37</v>
      </c>
      <c r="B39" s="273"/>
      <c r="C39" s="257">
        <f>(C70+C8+C10+C13+C20+C29+C32+C36+C6)</f>
        <v>4376660</v>
      </c>
      <c r="D39" s="592">
        <f>'3. sz. melléklet'!L42</f>
        <v>6047333</v>
      </c>
      <c r="E39" s="258">
        <f>'3. sz. melléklet'!M42</f>
        <v>6320743</v>
      </c>
      <c r="F39" s="274" t="s">
        <v>38</v>
      </c>
      <c r="G39" s="275"/>
      <c r="H39" s="237">
        <f>(H6+H9+H13+H15+H16+H26+H28+H30)</f>
        <v>4470111</v>
      </c>
      <c r="I39" s="237">
        <f>'4.sz. melléklet'!N26</f>
        <v>5941784</v>
      </c>
      <c r="J39" s="237">
        <f>'4.sz. melléklet'!O26</f>
        <v>6215194</v>
      </c>
    </row>
    <row r="40" spans="1:10" ht="12.75" customHeight="1" x14ac:dyDescent="0.2">
      <c r="A40" s="266"/>
      <c r="B40" s="267"/>
      <c r="C40" s="268"/>
      <c r="D40" s="587"/>
      <c r="E40" s="471"/>
      <c r="F40" s="77"/>
      <c r="G40" s="270"/>
      <c r="H40" s="271"/>
      <c r="I40" s="271"/>
      <c r="J40" s="478"/>
    </row>
    <row r="41" spans="1:10" ht="13.5" customHeight="1" x14ac:dyDescent="0.2">
      <c r="A41" s="226" t="s">
        <v>39</v>
      </c>
      <c r="B41" s="235"/>
      <c r="C41" s="245">
        <f>C39-H39</f>
        <v>-93451</v>
      </c>
      <c r="D41" s="588">
        <f>D39-I39</f>
        <v>105549</v>
      </c>
      <c r="E41" s="588">
        <f>E39-J39</f>
        <v>105549</v>
      </c>
      <c r="F41" s="1413" t="s">
        <v>40</v>
      </c>
      <c r="G41" s="1410"/>
      <c r="H41" s="240">
        <f>'4.sz. melléklet'!M27</f>
        <v>106549</v>
      </c>
      <c r="I41" s="240">
        <f>'4.sz. melléklet'!N27</f>
        <v>687942</v>
      </c>
      <c r="J41" s="240">
        <f>'4.sz. melléklet'!O27</f>
        <v>687942</v>
      </c>
    </row>
    <row r="42" spans="1:10" ht="13.5" customHeight="1" x14ac:dyDescent="0.2">
      <c r="A42" s="226"/>
      <c r="B42" s="235"/>
      <c r="C42" s="245"/>
      <c r="D42" s="588"/>
      <c r="E42" s="469"/>
      <c r="F42" s="1413" t="s">
        <v>142</v>
      </c>
      <c r="G42" s="1410"/>
      <c r="H42" s="240">
        <f>'4.sz. melléklet'!M28</f>
        <v>25000</v>
      </c>
      <c r="I42" s="240">
        <f>'4.sz. melléklet'!N28</f>
        <v>40010</v>
      </c>
      <c r="J42" s="240">
        <f>'4.sz. melléklet'!O28</f>
        <v>40010</v>
      </c>
    </row>
    <row r="43" spans="1:10" ht="22.5" customHeight="1" x14ac:dyDescent="0.2">
      <c r="A43" s="1422" t="s">
        <v>231</v>
      </c>
      <c r="B43" s="1423"/>
      <c r="C43" s="246"/>
      <c r="D43" s="588">
        <v>572581</v>
      </c>
      <c r="E43" s="588">
        <v>572581</v>
      </c>
      <c r="F43" s="197"/>
      <c r="G43" s="233" t="s">
        <v>41</v>
      </c>
      <c r="H43" s="243"/>
      <c r="I43" s="243"/>
      <c r="J43" s="477"/>
    </row>
    <row r="44" spans="1:10" ht="12.75" customHeight="1" x14ac:dyDescent="0.2">
      <c r="A44" s="1414" t="s">
        <v>180</v>
      </c>
      <c r="B44" s="1415"/>
      <c r="C44" s="245">
        <f>'3. sz. melléklet'!K44</f>
        <v>25000</v>
      </c>
      <c r="D44" s="588">
        <f>'3. sz. melléklet'!L44</f>
        <v>40010</v>
      </c>
      <c r="E44" s="251">
        <f>'3. sz. melléklet'!M44</f>
        <v>40010</v>
      </c>
      <c r="F44" s="196"/>
      <c r="G44" s="232"/>
      <c r="H44" s="239"/>
      <c r="I44" s="239"/>
      <c r="J44" s="474"/>
    </row>
    <row r="45" spans="1:10" ht="12.75" customHeight="1" x14ac:dyDescent="0.25">
      <c r="A45" s="1414" t="s">
        <v>183</v>
      </c>
      <c r="B45" s="1415"/>
      <c r="C45" s="245">
        <f>'3. sz. melléklet'!K45</f>
        <v>200000</v>
      </c>
      <c r="D45" s="588">
        <f>'3. sz. melléklet'!L45</f>
        <v>9812</v>
      </c>
      <c r="E45" s="251">
        <f>'3. sz. melléklet'!M45</f>
        <v>9812</v>
      </c>
      <c r="F45" s="199"/>
      <c r="G45" s="232"/>
      <c r="H45" s="239"/>
      <c r="I45" s="239"/>
      <c r="J45" s="474"/>
    </row>
    <row r="46" spans="1:10" ht="12.75" customHeight="1" x14ac:dyDescent="0.2">
      <c r="A46" s="225"/>
      <c r="B46" s="227"/>
      <c r="C46" s="245"/>
      <c r="D46" s="588"/>
      <c r="E46" s="469"/>
      <c r="F46" s="196"/>
      <c r="G46" s="234"/>
      <c r="H46" s="240"/>
      <c r="I46" s="240"/>
      <c r="J46" s="469"/>
    </row>
    <row r="47" spans="1:10" ht="12.75" customHeight="1" x14ac:dyDescent="0.2">
      <c r="A47" s="1416" t="s">
        <v>43</v>
      </c>
      <c r="B47" s="1417"/>
      <c r="C47" s="245">
        <f>'3. sz. melléklet'!K46</f>
        <v>1525601</v>
      </c>
      <c r="D47" s="588">
        <f>'3. sz. melléklet'!L46</f>
        <v>1591204</v>
      </c>
      <c r="E47" s="251">
        <f>'3. sz. melléklet'!M46</f>
        <v>1608165</v>
      </c>
      <c r="F47" s="196" t="s">
        <v>44</v>
      </c>
      <c r="G47" s="232"/>
      <c r="H47" s="239">
        <f>'4.sz. melléklet'!M29</f>
        <v>1525601</v>
      </c>
      <c r="I47" s="239">
        <f>'4.sz. melléklet'!N29</f>
        <v>1591204</v>
      </c>
      <c r="J47" s="239">
        <f>'4.sz. melléklet'!O29</f>
        <v>1608165</v>
      </c>
    </row>
    <row r="48" spans="1:10" ht="12.75" customHeight="1" x14ac:dyDescent="0.2">
      <c r="A48" s="1416" t="s">
        <v>224</v>
      </c>
      <c r="B48" s="1417"/>
      <c r="C48" s="245"/>
      <c r="D48" s="588">
        <f>'3. sz. melléklet'!L47</f>
        <v>2388559</v>
      </c>
      <c r="E48" s="251">
        <f>'3. sz. melléklet'!M47</f>
        <v>2388559</v>
      </c>
      <c r="F48" s="1413" t="s">
        <v>222</v>
      </c>
      <c r="G48" s="1410"/>
      <c r="H48" s="239"/>
      <c r="I48" s="239">
        <f>'4.sz. melléklet'!N30</f>
        <v>2388559</v>
      </c>
      <c r="J48" s="239">
        <f>'4.sz. melléklet'!O30</f>
        <v>2388559</v>
      </c>
    </row>
    <row r="49" spans="1:10" ht="12.75" customHeight="1" thickBot="1" x14ac:dyDescent="0.25">
      <c r="A49" s="1420" t="s">
        <v>220</v>
      </c>
      <c r="B49" s="1421"/>
      <c r="C49" s="265"/>
      <c r="D49" s="593">
        <f>'3. sz. melléklet'!L48</f>
        <v>80000</v>
      </c>
      <c r="E49" s="255">
        <f>'3. sz. melléklet'!M48</f>
        <v>80000</v>
      </c>
      <c r="F49" s="276" t="s">
        <v>219</v>
      </c>
      <c r="G49" s="277"/>
      <c r="H49" s="278"/>
      <c r="I49" s="278">
        <f>'4.sz. melléklet'!N31</f>
        <v>80000</v>
      </c>
      <c r="J49" s="278">
        <f>'4.sz. melléklet'!O31</f>
        <v>80000</v>
      </c>
    </row>
    <row r="50" spans="1:10" ht="15.75" customHeight="1" thickBot="1" x14ac:dyDescent="0.25">
      <c r="A50" s="1418" t="s">
        <v>45</v>
      </c>
      <c r="B50" s="1419"/>
      <c r="C50" s="257">
        <f>SUM(C44:C49)</f>
        <v>1750601</v>
      </c>
      <c r="D50" s="592">
        <f>SUM(D43:D49)</f>
        <v>4682166</v>
      </c>
      <c r="E50" s="258">
        <f>SUM(E43:E49)</f>
        <v>4699127</v>
      </c>
      <c r="F50" s="274" t="s">
        <v>46</v>
      </c>
      <c r="G50" s="283"/>
      <c r="H50" s="238">
        <f>'4.sz. melléklet'!M32</f>
        <v>1657150</v>
      </c>
      <c r="I50" s="238">
        <f>'4.sz. melléklet'!N32</f>
        <v>4787715</v>
      </c>
      <c r="J50" s="238">
        <f>'4.sz. melléklet'!O32</f>
        <v>4804676</v>
      </c>
    </row>
    <row r="51" spans="1:10" ht="12.75" customHeight="1" thickBot="1" x14ac:dyDescent="0.25">
      <c r="A51" s="1411"/>
      <c r="B51" s="1412"/>
      <c r="C51" s="279"/>
      <c r="D51" s="594"/>
      <c r="E51" s="473"/>
      <c r="F51" s="280"/>
      <c r="G51" s="281"/>
      <c r="H51" s="282"/>
      <c r="I51" s="282"/>
      <c r="J51" s="479"/>
    </row>
    <row r="52" spans="1:10" ht="15" customHeight="1" thickBot="1" x14ac:dyDescent="0.25">
      <c r="A52" s="463" t="s">
        <v>47</v>
      </c>
      <c r="B52" s="464"/>
      <c r="C52" s="257">
        <f>'3. sz. melléklet'!K50</f>
        <v>6127261</v>
      </c>
      <c r="D52" s="592">
        <f>'3. sz. melléklet'!L50</f>
        <v>10729499</v>
      </c>
      <c r="E52" s="258">
        <f>'3. sz. melléklet'!M50</f>
        <v>11019870</v>
      </c>
      <c r="F52" s="259" t="s">
        <v>48</v>
      </c>
      <c r="G52" s="260"/>
      <c r="H52" s="238">
        <f>'4.sz. melléklet'!M33</f>
        <v>6127261</v>
      </c>
      <c r="I52" s="238">
        <f>'4.sz. melléklet'!N33</f>
        <v>10729499</v>
      </c>
      <c r="J52" s="238">
        <f>'4.sz. melléklet'!O33</f>
        <v>11019870</v>
      </c>
    </row>
    <row r="54" spans="1:10" s="67" customFormat="1" ht="12.75" customHeight="1" x14ac:dyDescent="0.2">
      <c r="C54" s="68"/>
      <c r="D54" s="68"/>
      <c r="E54" s="68"/>
      <c r="H54" s="68"/>
    </row>
    <row r="57" spans="1:10" ht="13.5" customHeight="1" x14ac:dyDescent="0.2"/>
    <row r="63" spans="1:10" ht="15" customHeight="1" x14ac:dyDescent="0.2"/>
    <row r="64" spans="1:10" ht="15" customHeight="1" x14ac:dyDescent="0.2"/>
    <row r="66" ht="19.5" customHeight="1" x14ac:dyDescent="0.2"/>
    <row r="67" ht="15" customHeight="1" x14ac:dyDescent="0.2"/>
    <row r="68" ht="15" customHeight="1" x14ac:dyDescent="0.2"/>
    <row r="69" ht="15" customHeight="1" x14ac:dyDescent="0.2"/>
    <row r="70" ht="27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sheetProtection selectLockedCells="1" selectUnlockedCells="1"/>
  <mergeCells count="20">
    <mergeCell ref="A10:B10"/>
    <mergeCell ref="A8:B8"/>
    <mergeCell ref="A51:B51"/>
    <mergeCell ref="A36:B36"/>
    <mergeCell ref="F41:G41"/>
    <mergeCell ref="A44:B44"/>
    <mergeCell ref="A45:B45"/>
    <mergeCell ref="A47:B47"/>
    <mergeCell ref="A50:B50"/>
    <mergeCell ref="F42:G42"/>
    <mergeCell ref="F48:G48"/>
    <mergeCell ref="A48:B48"/>
    <mergeCell ref="A49:B49"/>
    <mergeCell ref="A43:B43"/>
    <mergeCell ref="F5:G5"/>
    <mergeCell ref="A4:E4"/>
    <mergeCell ref="F4:J4"/>
    <mergeCell ref="A7:B7"/>
    <mergeCell ref="A2:J2"/>
    <mergeCell ref="A5:B5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59" firstPageNumber="0" fitToHeight="0" orientation="landscape" r:id="rId1"/>
  <headerFooter alignWithMargins="0">
    <oddHeader xml:space="preserve">&amp;L1. melléklet a 28/2017.(XII.21.) önkormányzati rendelethez
1. melléklet a 24/2016.(XII.16.) önkormányzati rendelethez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D32"/>
  <sheetViews>
    <sheetView zoomScale="79" zoomScaleNormal="79" zoomScaleSheetLayoutView="90" workbookViewId="0">
      <selection activeCell="G38" sqref="G38"/>
    </sheetView>
  </sheetViews>
  <sheetFormatPr defaultRowHeight="12.75" x14ac:dyDescent="0.2"/>
  <cols>
    <col min="1" max="1" width="78.7109375" customWidth="1"/>
    <col min="2" max="2" width="13.85546875" customWidth="1"/>
    <col min="3" max="3" width="13.42578125" customWidth="1"/>
    <col min="4" max="4" width="15.5703125" customWidth="1"/>
  </cols>
  <sheetData>
    <row r="3" spans="1:4" ht="36" customHeight="1" x14ac:dyDescent="0.25">
      <c r="A3" s="1501" t="s">
        <v>757</v>
      </c>
      <c r="B3" s="1501"/>
      <c r="C3" s="1501"/>
    </row>
    <row r="4" spans="1:4" ht="16.5" customHeight="1" thickBot="1" x14ac:dyDescent="0.3">
      <c r="A4" s="1119"/>
      <c r="B4" s="1119"/>
    </row>
    <row r="5" spans="1:4" ht="18" customHeight="1" thickBot="1" x14ac:dyDescent="0.25">
      <c r="A5" s="1118" t="s">
        <v>2</v>
      </c>
      <c r="B5" s="1117" t="s">
        <v>3</v>
      </c>
      <c r="C5" s="1116" t="s">
        <v>225</v>
      </c>
      <c r="D5" s="1115" t="s">
        <v>235</v>
      </c>
    </row>
    <row r="6" spans="1:4" ht="15.75" x14ac:dyDescent="0.25">
      <c r="A6" s="1114" t="s">
        <v>756</v>
      </c>
      <c r="B6" s="1113">
        <v>300</v>
      </c>
      <c r="C6" s="1112">
        <v>300</v>
      </c>
      <c r="D6" s="1106">
        <v>300</v>
      </c>
    </row>
    <row r="7" spans="1:4" ht="15.75" x14ac:dyDescent="0.2">
      <c r="A7" s="1111" t="s">
        <v>755</v>
      </c>
      <c r="B7" s="1104">
        <v>17000</v>
      </c>
      <c r="C7" s="1103">
        <v>14736</v>
      </c>
      <c r="D7" s="1107">
        <v>14736</v>
      </c>
    </row>
    <row r="8" spans="1:4" ht="15.75" x14ac:dyDescent="0.25">
      <c r="A8" s="1111" t="s">
        <v>754</v>
      </c>
      <c r="B8" s="1104"/>
      <c r="C8" s="1103"/>
      <c r="D8" s="1106">
        <v>13000</v>
      </c>
    </row>
    <row r="9" spans="1:4" ht="15.75" x14ac:dyDescent="0.2">
      <c r="A9" s="1111" t="s">
        <v>753</v>
      </c>
      <c r="B9" s="1104">
        <v>3000</v>
      </c>
      <c r="C9" s="1103">
        <v>1500</v>
      </c>
      <c r="D9" s="1107">
        <v>1500</v>
      </c>
    </row>
    <row r="10" spans="1:4" ht="15.75" x14ac:dyDescent="0.2">
      <c r="A10" s="1105" t="s">
        <v>752</v>
      </c>
      <c r="B10" s="1104">
        <v>125</v>
      </c>
      <c r="C10" s="1103">
        <v>125</v>
      </c>
      <c r="D10" s="1107">
        <v>125</v>
      </c>
    </row>
    <row r="11" spans="1:4" ht="31.5" x14ac:dyDescent="0.2">
      <c r="A11" s="1105" t="s">
        <v>751</v>
      </c>
      <c r="B11" s="1104">
        <v>2500</v>
      </c>
      <c r="C11" s="1103">
        <v>2500</v>
      </c>
      <c r="D11" s="1107">
        <v>2500</v>
      </c>
    </row>
    <row r="12" spans="1:4" ht="15.75" x14ac:dyDescent="0.2">
      <c r="A12" s="1105" t="s">
        <v>750</v>
      </c>
      <c r="B12" s="1104">
        <v>3400</v>
      </c>
      <c r="C12" s="1103">
        <v>3400</v>
      </c>
      <c r="D12" s="1107">
        <v>3400</v>
      </c>
    </row>
    <row r="13" spans="1:4" ht="31.5" x14ac:dyDescent="0.25">
      <c r="A13" s="1105" t="s">
        <v>749</v>
      </c>
      <c r="B13" s="1104">
        <v>13000</v>
      </c>
      <c r="C13" s="1103">
        <v>13000</v>
      </c>
      <c r="D13" s="1106">
        <v>0</v>
      </c>
    </row>
    <row r="14" spans="1:4" ht="15.75" x14ac:dyDescent="0.2">
      <c r="A14" s="1101" t="s">
        <v>748</v>
      </c>
      <c r="B14" s="1100">
        <f>SUM(B6:B13)</f>
        <v>39325</v>
      </c>
      <c r="C14" s="1099">
        <f>SUM(C6:C13)</f>
        <v>35561</v>
      </c>
      <c r="D14" s="1098">
        <f>SUM(D6:D13)</f>
        <v>35561</v>
      </c>
    </row>
    <row r="15" spans="1:4" ht="15.75" x14ac:dyDescent="0.25">
      <c r="A15" s="1110"/>
      <c r="B15" s="1109"/>
      <c r="C15" s="1108"/>
      <c r="D15" s="1106"/>
    </row>
    <row r="16" spans="1:4" ht="15.75" x14ac:dyDescent="0.2">
      <c r="A16" s="1105" t="s">
        <v>747</v>
      </c>
      <c r="B16" s="1104">
        <v>1500</v>
      </c>
      <c r="C16" s="1103">
        <v>1500</v>
      </c>
      <c r="D16" s="1107">
        <v>1500</v>
      </c>
    </row>
    <row r="17" spans="1:4" ht="15.75" x14ac:dyDescent="0.2">
      <c r="A17" s="1105" t="s">
        <v>746</v>
      </c>
      <c r="B17" s="1104">
        <v>2000</v>
      </c>
      <c r="C17" s="1103">
        <v>2000</v>
      </c>
      <c r="D17" s="1107">
        <v>2000</v>
      </c>
    </row>
    <row r="18" spans="1:4" s="1085" customFormat="1" ht="16.5" customHeight="1" x14ac:dyDescent="0.2">
      <c r="A18" s="1105" t="s">
        <v>745</v>
      </c>
      <c r="B18" s="1104">
        <v>29000</v>
      </c>
      <c r="C18" s="1103">
        <v>29000</v>
      </c>
      <c r="D18" s="1107">
        <v>29000</v>
      </c>
    </row>
    <row r="19" spans="1:4" ht="15.75" x14ac:dyDescent="0.25">
      <c r="A19" s="1105" t="s">
        <v>744</v>
      </c>
      <c r="B19" s="1104">
        <v>6000</v>
      </c>
      <c r="C19" s="1103"/>
      <c r="D19" s="1106"/>
    </row>
    <row r="20" spans="1:4" ht="15.75" x14ac:dyDescent="0.25">
      <c r="A20" s="1105" t="s">
        <v>743</v>
      </c>
      <c r="B20" s="1104"/>
      <c r="C20" s="1103"/>
      <c r="D20" s="1102">
        <v>2254</v>
      </c>
    </row>
    <row r="21" spans="1:4" ht="15.75" x14ac:dyDescent="0.2">
      <c r="A21" s="1101" t="s">
        <v>742</v>
      </c>
      <c r="B21" s="1100">
        <f>SUM(B16:B19)</f>
        <v>38500</v>
      </c>
      <c r="C21" s="1099">
        <f>SUM(C16:C19)</f>
        <v>32500</v>
      </c>
      <c r="D21" s="1098">
        <f>SUM(D16:D20)</f>
        <v>34754</v>
      </c>
    </row>
    <row r="22" spans="1:4" ht="16.5" thickBot="1" x14ac:dyDescent="0.3">
      <c r="A22" s="1097"/>
      <c r="B22" s="1096"/>
      <c r="C22" s="1095"/>
      <c r="D22" s="1094"/>
    </row>
    <row r="23" spans="1:4" ht="16.5" thickBot="1" x14ac:dyDescent="0.25">
      <c r="A23" s="1093" t="s">
        <v>741</v>
      </c>
      <c r="B23" s="1092">
        <f>B14+B21</f>
        <v>77825</v>
      </c>
      <c r="C23" s="1091">
        <f>C14+C21</f>
        <v>68061</v>
      </c>
      <c r="D23" s="1090">
        <f>D14+D21</f>
        <v>70315</v>
      </c>
    </row>
    <row r="24" spans="1:4" ht="15.75" customHeight="1" x14ac:dyDescent="0.25">
      <c r="A24" s="1089"/>
      <c r="B24" s="1088"/>
    </row>
    <row r="25" spans="1:4" s="1085" customFormat="1" ht="15.75" x14ac:dyDescent="0.25">
      <c r="A25" s="1087"/>
      <c r="B25" s="1086"/>
    </row>
    <row r="26" spans="1:4" ht="15.75" customHeight="1" x14ac:dyDescent="0.2"/>
    <row r="27" spans="1:4" s="1085" customFormat="1" x14ac:dyDescent="0.2"/>
    <row r="30" spans="1:4" ht="14.25" customHeight="1" x14ac:dyDescent="0.2"/>
    <row r="31" spans="1:4" ht="37.5" customHeight="1" x14ac:dyDescent="0.2"/>
    <row r="32" spans="1:4" ht="16.5" customHeight="1" x14ac:dyDescent="0.2"/>
  </sheetData>
  <sheetProtection selectLockedCells="1" selectUnlockedCells="1"/>
  <mergeCells count="1">
    <mergeCell ref="A3:C3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70" firstPageNumber="0" orientation="portrait" horizontalDpi="300" verticalDpi="300" r:id="rId1"/>
  <headerFooter alignWithMargins="0">
    <oddHeader xml:space="preserve">&amp;L9. melléklet a 28/2017.(XII.21.)önkormányzati rendelethez
9. melléklet a 24/2016.(XII.16.)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5601"/>
  <sheetViews>
    <sheetView topLeftCell="B82" zoomScale="79" zoomScaleNormal="79" zoomScaleSheetLayoutView="100" workbookViewId="0">
      <selection activeCell="B65" sqref="A65:XFD65"/>
    </sheetView>
  </sheetViews>
  <sheetFormatPr defaultRowHeight="12.75" zeroHeight="1" x14ac:dyDescent="0.2"/>
  <cols>
    <col min="1" max="1" width="0" style="1123" hidden="1" customWidth="1"/>
    <col min="2" max="2" width="97.140625" style="1122" customWidth="1"/>
    <col min="3" max="3" width="12.28515625" style="1121" customWidth="1"/>
    <col min="4" max="4" width="0.140625" style="1120" customWidth="1"/>
    <col min="5" max="5" width="13.42578125" style="1120" customWidth="1"/>
    <col min="6" max="6" width="14" style="1120" customWidth="1"/>
    <col min="7" max="8" width="9.140625" style="1120"/>
    <col min="9" max="9" width="24.28515625" style="1120" customWidth="1"/>
    <col min="10" max="16384" width="9.140625" style="1120"/>
  </cols>
  <sheetData>
    <row r="1" spans="1:34" ht="28.5" customHeight="1" x14ac:dyDescent="0.2">
      <c r="B1" s="1502" t="s">
        <v>862</v>
      </c>
      <c r="C1" s="1502"/>
      <c r="D1" s="1502"/>
      <c r="E1" s="1502"/>
      <c r="F1" s="1503"/>
    </row>
    <row r="2" spans="1:34" ht="15" customHeight="1" thickBot="1" x14ac:dyDescent="0.25">
      <c r="B2" s="1226"/>
      <c r="C2" s="1226"/>
      <c r="D2" s="1225"/>
    </row>
    <row r="3" spans="1:34" ht="13.5" customHeight="1" thickBot="1" x14ac:dyDescent="0.25">
      <c r="A3" s="1125"/>
      <c r="B3" s="1176" t="s">
        <v>861</v>
      </c>
      <c r="C3" s="1224" t="s">
        <v>3</v>
      </c>
      <c r="D3" s="1223" t="s">
        <v>673</v>
      </c>
      <c r="E3" s="1165" t="s">
        <v>225</v>
      </c>
      <c r="F3" s="1222" t="s">
        <v>235</v>
      </c>
    </row>
    <row r="4" spans="1:34" ht="17.25" customHeight="1" x14ac:dyDescent="0.2">
      <c r="B4" s="1221" t="s">
        <v>2</v>
      </c>
      <c r="C4" s="1220"/>
      <c r="D4" s="1219"/>
      <c r="E4" s="1218"/>
      <c r="F4" s="1217"/>
      <c r="I4" s="1504"/>
      <c r="J4" s="1504"/>
      <c r="L4" s="1505"/>
      <c r="M4" s="1505"/>
    </row>
    <row r="5" spans="1:34" ht="15" x14ac:dyDescent="0.2">
      <c r="B5" s="1194"/>
      <c r="C5" s="1193"/>
      <c r="D5" s="1192"/>
      <c r="E5" s="1191"/>
      <c r="F5" s="1216"/>
    </row>
    <row r="6" spans="1:34" ht="12" customHeight="1" x14ac:dyDescent="0.2">
      <c r="B6" s="1190" t="s">
        <v>860</v>
      </c>
      <c r="C6" s="1189">
        <f>SUM(C7:C10)</f>
        <v>343135</v>
      </c>
      <c r="D6" s="1188">
        <f>SUM(D7:D10)</f>
        <v>14719</v>
      </c>
      <c r="E6" s="1187">
        <f>SUM(E7:E12)</f>
        <v>378452</v>
      </c>
      <c r="F6" s="1195">
        <f>SUM(F7:F14)</f>
        <v>413677</v>
      </c>
    </row>
    <row r="7" spans="1:34" s="1129" customFormat="1" ht="15" x14ac:dyDescent="0.25">
      <c r="A7" s="1124"/>
      <c r="B7" s="1194" t="s">
        <v>859</v>
      </c>
      <c r="C7" s="1193">
        <v>334135</v>
      </c>
      <c r="D7" s="1192">
        <f>829+11225-87+3153</f>
        <v>15120</v>
      </c>
      <c r="E7" s="1191">
        <v>369003</v>
      </c>
      <c r="F7" s="1146">
        <v>400103</v>
      </c>
      <c r="H7" s="1131"/>
      <c r="I7" s="1131"/>
    </row>
    <row r="8" spans="1:34" s="1131" customFormat="1" ht="15" x14ac:dyDescent="0.25">
      <c r="A8" s="1125" t="s">
        <v>352</v>
      </c>
      <c r="B8" s="1194" t="s">
        <v>858</v>
      </c>
      <c r="C8" s="1193">
        <v>4000</v>
      </c>
      <c r="D8" s="1192">
        <v>-440</v>
      </c>
      <c r="E8" s="1191">
        <v>3560</v>
      </c>
      <c r="F8" s="1146">
        <v>3124</v>
      </c>
    </row>
    <row r="9" spans="1:34" ht="15" x14ac:dyDescent="0.25">
      <c r="A9" s="1125" t="s">
        <v>767</v>
      </c>
      <c r="B9" s="1204" t="s">
        <v>857</v>
      </c>
      <c r="C9" s="1193">
        <v>5000</v>
      </c>
      <c r="D9" s="1192">
        <v>-1000</v>
      </c>
      <c r="E9" s="1191">
        <v>4000</v>
      </c>
      <c r="F9" s="1146">
        <v>4000</v>
      </c>
    </row>
    <row r="10" spans="1:34" ht="30" x14ac:dyDescent="0.2">
      <c r="A10" s="1125" t="s">
        <v>766</v>
      </c>
      <c r="B10" s="1204" t="s">
        <v>856</v>
      </c>
      <c r="C10" s="1193"/>
      <c r="D10" s="1192">
        <v>1039</v>
      </c>
      <c r="E10" s="1191">
        <v>1039</v>
      </c>
      <c r="F10" s="1215">
        <v>0</v>
      </c>
    </row>
    <row r="11" spans="1:34" ht="15" x14ac:dyDescent="0.25">
      <c r="A11" s="1125"/>
      <c r="B11" s="1204" t="s">
        <v>844</v>
      </c>
      <c r="C11" s="1193"/>
      <c r="D11" s="1192"/>
      <c r="E11" s="1191">
        <v>400</v>
      </c>
      <c r="F11" s="1146">
        <v>400</v>
      </c>
    </row>
    <row r="12" spans="1:34" ht="15" x14ac:dyDescent="0.25">
      <c r="A12" s="1125"/>
      <c r="B12" s="1194" t="s">
        <v>843</v>
      </c>
      <c r="C12" s="1193"/>
      <c r="D12" s="1192"/>
      <c r="E12" s="1191">
        <v>450</v>
      </c>
      <c r="F12" s="1146">
        <v>450</v>
      </c>
    </row>
    <row r="13" spans="1:34" ht="15" x14ac:dyDescent="0.25">
      <c r="A13" s="1125"/>
      <c r="B13" s="1204" t="s">
        <v>807</v>
      </c>
      <c r="C13" s="1193"/>
      <c r="D13" s="1192"/>
      <c r="E13" s="1191"/>
      <c r="F13" s="1146">
        <v>5600</v>
      </c>
    </row>
    <row r="14" spans="1:34" ht="12.75" customHeight="1" x14ac:dyDescent="0.25">
      <c r="B14" s="1194"/>
      <c r="C14" s="1193"/>
      <c r="D14" s="1192"/>
      <c r="E14" s="1191"/>
      <c r="F14" s="927"/>
      <c r="G14" s="1213"/>
      <c r="H14" s="1213"/>
      <c r="I14" s="1213"/>
      <c r="J14" s="1213"/>
      <c r="K14" s="1213"/>
      <c r="L14" s="1213"/>
      <c r="M14" s="1213"/>
      <c r="N14" s="1213"/>
      <c r="O14" s="1213"/>
      <c r="P14" s="1213"/>
      <c r="Q14" s="1213"/>
      <c r="R14" s="1213"/>
      <c r="S14" s="1213"/>
      <c r="T14" s="1213"/>
      <c r="U14" s="1213"/>
      <c r="V14" s="1213"/>
      <c r="W14" s="1213"/>
      <c r="X14" s="1213"/>
      <c r="Y14" s="1213"/>
      <c r="Z14" s="1213"/>
      <c r="AA14" s="1213"/>
      <c r="AB14" s="1213"/>
      <c r="AC14" s="1213"/>
      <c r="AD14" s="1213"/>
      <c r="AE14" s="1213"/>
      <c r="AF14" s="1213"/>
      <c r="AG14" s="1213"/>
      <c r="AH14" s="1213"/>
    </row>
    <row r="15" spans="1:34" ht="12.75" customHeight="1" x14ac:dyDescent="0.2">
      <c r="B15" s="1190" t="s">
        <v>855</v>
      </c>
      <c r="C15" s="1189">
        <f>SUM(C16:C60)</f>
        <v>574030</v>
      </c>
      <c r="D15" s="1188">
        <f>SUM(D16:D60)</f>
        <v>-10362</v>
      </c>
      <c r="E15" s="1187">
        <f>SUM(E16:E72)</f>
        <v>587830</v>
      </c>
      <c r="F15" s="1195">
        <f>SUM(F16:F74)</f>
        <v>572564</v>
      </c>
      <c r="G15" s="1213"/>
      <c r="H15" s="1213"/>
      <c r="I15" s="1213"/>
      <c r="J15" s="1213"/>
      <c r="K15" s="1213"/>
      <c r="L15" s="1213"/>
      <c r="M15" s="1213"/>
      <c r="N15" s="1213"/>
      <c r="O15" s="1213"/>
      <c r="P15" s="1213"/>
      <c r="Q15" s="1213"/>
      <c r="R15" s="1213"/>
      <c r="S15" s="1213"/>
      <c r="T15" s="1213"/>
      <c r="U15" s="1213"/>
      <c r="V15" s="1213"/>
      <c r="W15" s="1213"/>
      <c r="X15" s="1213"/>
      <c r="Y15" s="1213"/>
      <c r="Z15" s="1213"/>
      <c r="AA15" s="1213"/>
      <c r="AB15" s="1213"/>
      <c r="AC15" s="1213"/>
      <c r="AD15" s="1213"/>
      <c r="AE15" s="1213"/>
      <c r="AF15" s="1213"/>
      <c r="AG15" s="1213"/>
      <c r="AH15" s="1213"/>
    </row>
    <row r="16" spans="1:34" ht="12.75" customHeight="1" x14ac:dyDescent="0.25">
      <c r="B16" s="1204" t="s">
        <v>854</v>
      </c>
      <c r="C16" s="1193">
        <v>15000</v>
      </c>
      <c r="D16" s="1192"/>
      <c r="E16" s="1191">
        <v>15000</v>
      </c>
      <c r="F16" s="927">
        <v>15000</v>
      </c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13"/>
      <c r="AC16" s="1213"/>
      <c r="AD16" s="1213"/>
      <c r="AE16" s="1213"/>
      <c r="AF16" s="1213"/>
      <c r="AG16" s="1213"/>
      <c r="AH16" s="1213"/>
    </row>
    <row r="17" spans="1:34" ht="12.75" customHeight="1" x14ac:dyDescent="0.25">
      <c r="B17" s="1194" t="s">
        <v>853</v>
      </c>
      <c r="C17" s="1193">
        <v>7000</v>
      </c>
      <c r="D17" s="1192"/>
      <c r="E17" s="1191">
        <v>7000</v>
      </c>
      <c r="F17" s="927">
        <v>7000</v>
      </c>
      <c r="G17" s="1213"/>
      <c r="H17" s="1213"/>
      <c r="I17" s="1213"/>
      <c r="J17" s="1213"/>
      <c r="K17" s="1213"/>
      <c r="L17" s="1213"/>
      <c r="M17" s="1213"/>
      <c r="N17" s="1213"/>
      <c r="O17" s="1213"/>
      <c r="P17" s="1213"/>
      <c r="Q17" s="1213"/>
      <c r="R17" s="1213"/>
      <c r="S17" s="1213"/>
      <c r="T17" s="1213"/>
      <c r="U17" s="1213"/>
      <c r="V17" s="1213"/>
      <c r="W17" s="1213"/>
      <c r="X17" s="1213"/>
      <c r="Y17" s="1213"/>
      <c r="Z17" s="1213"/>
      <c r="AA17" s="1213"/>
      <c r="AB17" s="1213"/>
      <c r="AC17" s="1213"/>
      <c r="AD17" s="1213"/>
      <c r="AE17" s="1213"/>
      <c r="AF17" s="1213"/>
      <c r="AG17" s="1213"/>
      <c r="AH17" s="1213"/>
    </row>
    <row r="18" spans="1:34" ht="12" customHeight="1" x14ac:dyDescent="0.25">
      <c r="B18" s="1194" t="s">
        <v>852</v>
      </c>
      <c r="C18" s="1193">
        <v>186620</v>
      </c>
      <c r="D18" s="1192"/>
      <c r="E18" s="1191">
        <v>187620</v>
      </c>
      <c r="F18" s="927">
        <v>187620</v>
      </c>
      <c r="G18" s="1213"/>
      <c r="H18" s="1213"/>
      <c r="I18" s="1213"/>
      <c r="J18" s="1213"/>
      <c r="K18" s="1213"/>
      <c r="L18" s="1213"/>
      <c r="M18" s="1213"/>
      <c r="N18" s="1213"/>
      <c r="O18" s="1213"/>
      <c r="P18" s="1213"/>
      <c r="Q18" s="1213"/>
      <c r="R18" s="1213"/>
      <c r="S18" s="1213"/>
      <c r="T18" s="1213"/>
      <c r="U18" s="1213"/>
      <c r="V18" s="1213"/>
      <c r="W18" s="1213"/>
      <c r="X18" s="1213"/>
      <c r="Y18" s="1213"/>
      <c r="Z18" s="1213"/>
      <c r="AA18" s="1213"/>
      <c r="AB18" s="1213"/>
      <c r="AC18" s="1213"/>
      <c r="AD18" s="1213"/>
      <c r="AE18" s="1213"/>
      <c r="AF18" s="1213"/>
      <c r="AG18" s="1213"/>
      <c r="AH18" s="1213"/>
    </row>
    <row r="19" spans="1:34" ht="12.75" customHeight="1" x14ac:dyDescent="0.25">
      <c r="B19" s="1194" t="s">
        <v>851</v>
      </c>
      <c r="C19" s="1193">
        <v>68750</v>
      </c>
      <c r="D19" s="1192"/>
      <c r="E19" s="1191">
        <v>86150</v>
      </c>
      <c r="F19" s="927">
        <v>73150</v>
      </c>
      <c r="G19" s="1213"/>
      <c r="H19" s="1213"/>
      <c r="I19" s="1213"/>
      <c r="J19" s="1213"/>
      <c r="K19" s="1213"/>
      <c r="L19" s="1213"/>
      <c r="M19" s="1213"/>
      <c r="N19" s="1213"/>
      <c r="O19" s="1213"/>
      <c r="P19" s="1213"/>
      <c r="Q19" s="1213"/>
      <c r="R19" s="1213"/>
      <c r="S19" s="1213"/>
      <c r="T19" s="1213"/>
      <c r="U19" s="1213"/>
      <c r="V19" s="1213"/>
      <c r="W19" s="1213"/>
      <c r="X19" s="1213"/>
      <c r="Y19" s="1213"/>
      <c r="Z19" s="1213"/>
      <c r="AA19" s="1213"/>
      <c r="AB19" s="1213"/>
      <c r="AC19" s="1213"/>
      <c r="AD19" s="1213"/>
      <c r="AE19" s="1213"/>
      <c r="AF19" s="1213"/>
      <c r="AG19" s="1213"/>
      <c r="AH19" s="1213"/>
    </row>
    <row r="20" spans="1:34" s="1129" customFormat="1" ht="15" x14ac:dyDescent="0.25">
      <c r="A20" s="1124"/>
      <c r="B20" s="1194" t="s">
        <v>850</v>
      </c>
      <c r="C20" s="1193">
        <v>36250</v>
      </c>
      <c r="D20" s="1192"/>
      <c r="E20" s="1191">
        <v>36250</v>
      </c>
      <c r="F20" s="927">
        <v>36250</v>
      </c>
      <c r="G20" s="1214"/>
      <c r="H20" s="1214"/>
      <c r="I20" s="1214"/>
      <c r="J20" s="1214"/>
      <c r="K20" s="1214"/>
      <c r="L20" s="1214"/>
      <c r="M20" s="1214"/>
      <c r="N20" s="1214"/>
      <c r="O20" s="1214"/>
      <c r="P20" s="1214"/>
      <c r="Q20" s="1214"/>
      <c r="R20" s="1214"/>
      <c r="S20" s="1214"/>
      <c r="T20" s="1214"/>
      <c r="U20" s="1214"/>
      <c r="V20" s="1214"/>
      <c r="W20" s="1214"/>
      <c r="X20" s="1214"/>
      <c r="Y20" s="1214"/>
      <c r="Z20" s="1214"/>
      <c r="AA20" s="1214"/>
      <c r="AB20" s="1214"/>
      <c r="AC20" s="1214"/>
      <c r="AD20" s="1214"/>
      <c r="AE20" s="1214"/>
      <c r="AF20" s="1214"/>
      <c r="AG20" s="1214"/>
      <c r="AH20" s="1214"/>
    </row>
    <row r="21" spans="1:34" s="1139" customFormat="1" ht="15" x14ac:dyDescent="0.25">
      <c r="A21" s="1145" t="s">
        <v>759</v>
      </c>
      <c r="B21" s="1194" t="s">
        <v>849</v>
      </c>
      <c r="C21" s="1193">
        <v>660</v>
      </c>
      <c r="D21" s="1192"/>
      <c r="E21" s="1191">
        <v>660</v>
      </c>
      <c r="F21" s="927">
        <v>660</v>
      </c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213"/>
      <c r="AC21" s="1213"/>
      <c r="AD21" s="1213"/>
      <c r="AE21" s="1213"/>
      <c r="AF21" s="1213"/>
      <c r="AG21" s="1213"/>
      <c r="AH21" s="1213"/>
    </row>
    <row r="22" spans="1:34" ht="15" x14ac:dyDescent="0.25">
      <c r="A22" s="1125" t="s">
        <v>759</v>
      </c>
      <c r="B22" s="1194" t="s">
        <v>848</v>
      </c>
      <c r="C22" s="1193">
        <v>19500</v>
      </c>
      <c r="D22" s="1192"/>
      <c r="E22" s="1191">
        <v>19500</v>
      </c>
      <c r="F22" s="927">
        <v>19500</v>
      </c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213"/>
      <c r="AC22" s="1213"/>
      <c r="AD22" s="1213"/>
      <c r="AE22" s="1213"/>
      <c r="AF22" s="1213"/>
      <c r="AG22" s="1213"/>
      <c r="AH22" s="1213"/>
    </row>
    <row r="23" spans="1:34" ht="15" x14ac:dyDescent="0.25">
      <c r="A23" s="1125" t="s">
        <v>362</v>
      </c>
      <c r="B23" s="1194" t="s">
        <v>847</v>
      </c>
      <c r="C23" s="1193">
        <v>15150</v>
      </c>
      <c r="D23" s="1192"/>
      <c r="E23" s="1191">
        <v>15150</v>
      </c>
      <c r="F23" s="927">
        <v>15150</v>
      </c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213"/>
      <c r="AC23" s="1213"/>
      <c r="AD23" s="1213"/>
      <c r="AE23" s="1213"/>
      <c r="AF23" s="1213"/>
      <c r="AG23" s="1213"/>
      <c r="AH23" s="1213"/>
    </row>
    <row r="24" spans="1:34" ht="15" x14ac:dyDescent="0.25">
      <c r="A24" s="1125" t="s">
        <v>765</v>
      </c>
      <c r="B24" s="1204" t="s">
        <v>846</v>
      </c>
      <c r="C24" s="1193">
        <v>64000</v>
      </c>
      <c r="D24" s="1192"/>
      <c r="E24" s="1191">
        <v>64500</v>
      </c>
      <c r="F24" s="927">
        <v>64500</v>
      </c>
      <c r="G24" s="1213"/>
      <c r="H24" s="1213"/>
      <c r="I24" s="1213"/>
      <c r="J24" s="1213"/>
      <c r="K24" s="1213"/>
      <c r="L24" s="1213"/>
      <c r="M24" s="1213"/>
      <c r="N24" s="1213"/>
      <c r="O24" s="1213"/>
      <c r="P24" s="1213"/>
      <c r="Q24" s="1213"/>
      <c r="R24" s="1213"/>
      <c r="S24" s="1213"/>
      <c r="T24" s="1213"/>
      <c r="U24" s="1213"/>
      <c r="V24" s="1213"/>
      <c r="W24" s="1213"/>
      <c r="X24" s="1213"/>
      <c r="Y24" s="1213"/>
      <c r="Z24" s="1213"/>
      <c r="AA24" s="1213"/>
      <c r="AB24" s="1213"/>
      <c r="AC24" s="1213"/>
      <c r="AD24" s="1213"/>
      <c r="AE24" s="1213"/>
      <c r="AF24" s="1213"/>
      <c r="AG24" s="1213"/>
      <c r="AH24" s="1213"/>
    </row>
    <row r="25" spans="1:34" ht="15" x14ac:dyDescent="0.25">
      <c r="A25" s="1125" t="s">
        <v>765</v>
      </c>
      <c r="B25" s="1204" t="s">
        <v>845</v>
      </c>
      <c r="C25" s="1193">
        <v>45000</v>
      </c>
      <c r="D25" s="1192">
        <v>-3778</v>
      </c>
      <c r="E25" s="1191">
        <v>41222</v>
      </c>
      <c r="F25" s="927">
        <v>41222</v>
      </c>
      <c r="G25" s="1213"/>
      <c r="H25" s="1213"/>
      <c r="I25" s="1213"/>
      <c r="J25" s="1213"/>
      <c r="K25" s="1213"/>
      <c r="L25" s="1213"/>
      <c r="M25" s="1213"/>
      <c r="N25" s="1213"/>
      <c r="O25" s="1213"/>
      <c r="P25" s="1213"/>
      <c r="Q25" s="1213"/>
      <c r="R25" s="1213"/>
      <c r="S25" s="1213"/>
      <c r="T25" s="1213"/>
      <c r="U25" s="1213"/>
      <c r="V25" s="1213"/>
      <c r="W25" s="1213"/>
      <c r="X25" s="1213"/>
      <c r="Y25" s="1213"/>
      <c r="Z25" s="1213"/>
      <c r="AA25" s="1213"/>
      <c r="AB25" s="1213"/>
      <c r="AC25" s="1213"/>
      <c r="AD25" s="1213"/>
      <c r="AE25" s="1213"/>
      <c r="AF25" s="1213"/>
      <c r="AG25" s="1213"/>
      <c r="AH25" s="1213"/>
    </row>
    <row r="26" spans="1:34" ht="15" x14ac:dyDescent="0.25">
      <c r="A26" s="1125" t="s">
        <v>765</v>
      </c>
      <c r="B26" s="1204" t="s">
        <v>844</v>
      </c>
      <c r="C26" s="1193">
        <v>3000</v>
      </c>
      <c r="D26" s="1192"/>
      <c r="E26" s="1191">
        <v>2000</v>
      </c>
      <c r="F26" s="927">
        <v>2000</v>
      </c>
      <c r="G26" s="1213"/>
      <c r="H26" s="1213"/>
      <c r="I26" s="1213"/>
      <c r="J26" s="1213"/>
      <c r="K26" s="1213"/>
      <c r="L26" s="1213"/>
      <c r="M26" s="1213"/>
      <c r="N26" s="1213"/>
      <c r="O26" s="1213"/>
      <c r="P26" s="1213"/>
      <c r="Q26" s="1213"/>
      <c r="R26" s="1213"/>
      <c r="S26" s="1213"/>
      <c r="T26" s="1213"/>
      <c r="U26" s="1213"/>
      <c r="V26" s="1213"/>
      <c r="W26" s="1213"/>
      <c r="X26" s="1213"/>
      <c r="Y26" s="1213"/>
      <c r="Z26" s="1213"/>
      <c r="AA26" s="1213"/>
      <c r="AB26" s="1213"/>
      <c r="AC26" s="1213"/>
      <c r="AD26" s="1213"/>
      <c r="AE26" s="1213"/>
      <c r="AF26" s="1213"/>
      <c r="AG26" s="1213"/>
      <c r="AH26" s="1213"/>
    </row>
    <row r="27" spans="1:34" s="1139" customFormat="1" ht="14.25" customHeight="1" x14ac:dyDescent="0.25">
      <c r="A27" s="1145" t="s">
        <v>759</v>
      </c>
      <c r="B27" s="1194" t="s">
        <v>843</v>
      </c>
      <c r="C27" s="1193">
        <v>5500</v>
      </c>
      <c r="D27" s="1192"/>
      <c r="E27" s="1191">
        <v>4850</v>
      </c>
      <c r="F27" s="927">
        <v>3800</v>
      </c>
      <c r="G27" s="1213"/>
      <c r="H27" s="1213"/>
      <c r="I27" s="1213"/>
      <c r="J27" s="1213"/>
      <c r="K27" s="1213"/>
      <c r="L27" s="1213"/>
      <c r="M27" s="1213"/>
      <c r="N27" s="1213"/>
      <c r="O27" s="1213"/>
      <c r="P27" s="1213"/>
      <c r="Q27" s="1213"/>
      <c r="R27" s="1213"/>
      <c r="S27" s="1213"/>
      <c r="T27" s="1213"/>
      <c r="U27" s="1213"/>
      <c r="V27" s="1213"/>
      <c r="W27" s="1213"/>
      <c r="X27" s="1213"/>
      <c r="Y27" s="1213"/>
      <c r="Z27" s="1213"/>
      <c r="AA27" s="1213"/>
      <c r="AB27" s="1213"/>
      <c r="AC27" s="1213"/>
      <c r="AD27" s="1213"/>
      <c r="AE27" s="1213"/>
      <c r="AF27" s="1213"/>
      <c r="AG27" s="1213"/>
      <c r="AH27" s="1213"/>
    </row>
    <row r="28" spans="1:34" s="1139" customFormat="1" ht="15" x14ac:dyDescent="0.25">
      <c r="A28" s="1145" t="s">
        <v>759</v>
      </c>
      <c r="B28" s="1204" t="s">
        <v>842</v>
      </c>
      <c r="C28" s="1193">
        <v>4000</v>
      </c>
      <c r="D28" s="1192"/>
      <c r="E28" s="1191">
        <v>2107</v>
      </c>
      <c r="F28" s="927">
        <v>2107</v>
      </c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13"/>
      <c r="AC28" s="1213"/>
      <c r="AD28" s="1213"/>
      <c r="AE28" s="1213"/>
      <c r="AF28" s="1213"/>
      <c r="AG28" s="1213"/>
      <c r="AH28" s="1213"/>
    </row>
    <row r="29" spans="1:34" ht="15" x14ac:dyDescent="0.25">
      <c r="A29" s="1125" t="s">
        <v>759</v>
      </c>
      <c r="B29" s="1194" t="s">
        <v>841</v>
      </c>
      <c r="C29" s="1193">
        <v>1975</v>
      </c>
      <c r="D29" s="1192"/>
      <c r="E29" s="1191">
        <v>1975</v>
      </c>
      <c r="F29" s="927">
        <v>1975</v>
      </c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13"/>
      <c r="AC29" s="1213"/>
      <c r="AD29" s="1213"/>
      <c r="AE29" s="1213"/>
      <c r="AF29" s="1213"/>
      <c r="AG29" s="1213"/>
      <c r="AH29" s="1213"/>
    </row>
    <row r="30" spans="1:34" s="1139" customFormat="1" ht="15" x14ac:dyDescent="0.25">
      <c r="A30" s="1145" t="s">
        <v>764</v>
      </c>
      <c r="B30" s="1194" t="s">
        <v>840</v>
      </c>
      <c r="C30" s="1193">
        <v>8400</v>
      </c>
      <c r="D30" s="1192">
        <v>-700</v>
      </c>
      <c r="E30" s="1191">
        <v>7700</v>
      </c>
      <c r="F30" s="927">
        <v>7700</v>
      </c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3"/>
      <c r="AC30" s="1213"/>
      <c r="AD30" s="1213"/>
      <c r="AE30" s="1213"/>
      <c r="AF30" s="1213"/>
      <c r="AG30" s="1213"/>
      <c r="AH30" s="1213"/>
    </row>
    <row r="31" spans="1:34" ht="15" x14ac:dyDescent="0.25">
      <c r="A31" s="1125" t="s">
        <v>759</v>
      </c>
      <c r="B31" s="1194" t="s">
        <v>839</v>
      </c>
      <c r="C31" s="1193">
        <v>5500</v>
      </c>
      <c r="D31" s="1192"/>
      <c r="E31" s="1191">
        <v>5500</v>
      </c>
      <c r="F31" s="927">
        <v>5500</v>
      </c>
      <c r="G31" s="1213"/>
      <c r="H31" s="1213"/>
      <c r="I31" s="1213"/>
      <c r="J31" s="1213"/>
      <c r="K31" s="1213"/>
      <c r="L31" s="1213"/>
      <c r="M31" s="1213"/>
      <c r="N31" s="1213"/>
      <c r="O31" s="1213"/>
      <c r="P31" s="1213"/>
      <c r="Q31" s="1213"/>
      <c r="R31" s="1213"/>
      <c r="S31" s="1213"/>
      <c r="T31" s="1213"/>
      <c r="U31" s="1213"/>
      <c r="V31" s="1213"/>
      <c r="W31" s="1213"/>
      <c r="X31" s="1213"/>
      <c r="Y31" s="1213"/>
      <c r="Z31" s="1213"/>
      <c r="AA31" s="1213"/>
      <c r="AB31" s="1213"/>
      <c r="AC31" s="1213"/>
      <c r="AD31" s="1213"/>
      <c r="AE31" s="1213"/>
      <c r="AF31" s="1213"/>
      <c r="AG31" s="1213"/>
      <c r="AH31" s="1213"/>
    </row>
    <row r="32" spans="1:34" ht="15" x14ac:dyDescent="0.25">
      <c r="A32" s="1125" t="s">
        <v>759</v>
      </c>
      <c r="B32" s="1194" t="s">
        <v>838</v>
      </c>
      <c r="C32" s="1193">
        <v>3000</v>
      </c>
      <c r="D32" s="1192"/>
      <c r="E32" s="1191">
        <v>3000</v>
      </c>
      <c r="F32" s="927">
        <v>3000</v>
      </c>
      <c r="G32" s="1213"/>
      <c r="H32" s="1213"/>
      <c r="I32" s="1213"/>
      <c r="J32" s="1213"/>
      <c r="K32" s="1213"/>
      <c r="L32" s="1213"/>
      <c r="M32" s="1213"/>
      <c r="N32" s="1213"/>
      <c r="O32" s="1213"/>
      <c r="P32" s="1213"/>
      <c r="Q32" s="1213"/>
      <c r="R32" s="1213"/>
      <c r="S32" s="1213"/>
      <c r="T32" s="1213"/>
      <c r="U32" s="1213"/>
      <c r="V32" s="1213"/>
      <c r="W32" s="1213"/>
      <c r="X32" s="1213"/>
      <c r="Y32" s="1213"/>
      <c r="Z32" s="1213"/>
      <c r="AA32" s="1213"/>
      <c r="AB32" s="1213"/>
      <c r="AC32" s="1213"/>
      <c r="AD32" s="1213"/>
      <c r="AE32" s="1213"/>
      <c r="AF32" s="1213"/>
      <c r="AG32" s="1213"/>
      <c r="AH32" s="1213"/>
    </row>
    <row r="33" spans="1:6" ht="13.5" customHeight="1" x14ac:dyDescent="0.25">
      <c r="A33" s="1125" t="s">
        <v>763</v>
      </c>
      <c r="B33" s="1194" t="s">
        <v>837</v>
      </c>
      <c r="C33" s="1193">
        <v>1000</v>
      </c>
      <c r="D33" s="1192"/>
      <c r="E33" s="1191">
        <v>1000</v>
      </c>
      <c r="F33" s="1146">
        <v>1000</v>
      </c>
    </row>
    <row r="34" spans="1:6" ht="15" x14ac:dyDescent="0.25">
      <c r="A34" s="1125"/>
      <c r="B34" s="1194" t="s">
        <v>836</v>
      </c>
      <c r="C34" s="1193">
        <v>500</v>
      </c>
      <c r="D34" s="1192"/>
      <c r="E34" s="1191">
        <v>500</v>
      </c>
      <c r="F34" s="1146">
        <v>500</v>
      </c>
    </row>
    <row r="35" spans="1:6" ht="14.25" customHeight="1" x14ac:dyDescent="0.25">
      <c r="A35" s="1125" t="s">
        <v>759</v>
      </c>
      <c r="B35" s="1194" t="s">
        <v>835</v>
      </c>
      <c r="C35" s="1193">
        <v>8385</v>
      </c>
      <c r="D35" s="1192"/>
      <c r="E35" s="1191">
        <v>8385</v>
      </c>
      <c r="F35" s="1146">
        <v>8385</v>
      </c>
    </row>
    <row r="36" spans="1:6" ht="15" x14ac:dyDescent="0.25">
      <c r="A36" s="1125" t="s">
        <v>759</v>
      </c>
      <c r="B36" s="1194" t="s">
        <v>834</v>
      </c>
      <c r="C36" s="1193">
        <v>1000</v>
      </c>
      <c r="D36" s="1192"/>
      <c r="E36" s="1191">
        <v>1000</v>
      </c>
      <c r="F36" s="1146">
        <v>1000</v>
      </c>
    </row>
    <row r="37" spans="1:6" ht="15" x14ac:dyDescent="0.25">
      <c r="A37" s="1125" t="s">
        <v>759</v>
      </c>
      <c r="B37" s="1194" t="s">
        <v>833</v>
      </c>
      <c r="C37" s="1193">
        <v>300</v>
      </c>
      <c r="D37" s="1192"/>
      <c r="E37" s="1191">
        <v>300</v>
      </c>
      <c r="F37" s="1146">
        <v>300</v>
      </c>
    </row>
    <row r="38" spans="1:6" ht="15" x14ac:dyDescent="0.25">
      <c r="A38" s="1125" t="s">
        <v>759</v>
      </c>
      <c r="B38" s="1194" t="s">
        <v>832</v>
      </c>
      <c r="C38" s="1193">
        <v>300</v>
      </c>
      <c r="D38" s="1192"/>
      <c r="E38" s="1191">
        <v>300</v>
      </c>
      <c r="F38" s="1146">
        <v>300</v>
      </c>
    </row>
    <row r="39" spans="1:6" ht="15" x14ac:dyDescent="0.25">
      <c r="A39" s="1125" t="s">
        <v>759</v>
      </c>
      <c r="B39" s="1194" t="s">
        <v>831</v>
      </c>
      <c r="C39" s="1193">
        <v>500</v>
      </c>
      <c r="D39" s="1192"/>
      <c r="E39" s="1191">
        <v>500</v>
      </c>
      <c r="F39" s="1146">
        <v>500</v>
      </c>
    </row>
    <row r="40" spans="1:6" ht="15" x14ac:dyDescent="0.25">
      <c r="A40" s="1125" t="s">
        <v>759</v>
      </c>
      <c r="B40" s="1194" t="s">
        <v>830</v>
      </c>
      <c r="C40" s="1193">
        <v>500</v>
      </c>
      <c r="D40" s="1192"/>
      <c r="E40" s="1191">
        <v>500</v>
      </c>
      <c r="F40" s="1146">
        <v>500</v>
      </c>
    </row>
    <row r="41" spans="1:6" ht="15" x14ac:dyDescent="0.25">
      <c r="A41" s="1125" t="s">
        <v>759</v>
      </c>
      <c r="B41" s="1194" t="s">
        <v>829</v>
      </c>
      <c r="C41" s="1193">
        <v>2500</v>
      </c>
      <c r="D41" s="1192"/>
      <c r="E41" s="1191">
        <v>2500</v>
      </c>
      <c r="F41" s="1146">
        <v>2500</v>
      </c>
    </row>
    <row r="42" spans="1:6" ht="15" x14ac:dyDescent="0.25">
      <c r="A42" s="1125" t="s">
        <v>759</v>
      </c>
      <c r="B42" s="1194" t="s">
        <v>828</v>
      </c>
      <c r="C42" s="1193">
        <v>660</v>
      </c>
      <c r="D42" s="1192"/>
      <c r="E42" s="1191">
        <v>660</v>
      </c>
      <c r="F42" s="1146">
        <v>660</v>
      </c>
    </row>
    <row r="43" spans="1:6" ht="15" x14ac:dyDescent="0.25">
      <c r="A43" s="1125" t="s">
        <v>759</v>
      </c>
      <c r="B43" s="1194" t="s">
        <v>827</v>
      </c>
      <c r="C43" s="1193">
        <v>300</v>
      </c>
      <c r="D43" s="1192"/>
      <c r="E43" s="1191">
        <v>300</v>
      </c>
      <c r="F43" s="1146">
        <v>300</v>
      </c>
    </row>
    <row r="44" spans="1:6" ht="15" x14ac:dyDescent="0.25">
      <c r="A44" s="1125" t="s">
        <v>759</v>
      </c>
      <c r="B44" s="1194" t="s">
        <v>826</v>
      </c>
      <c r="C44" s="1193">
        <v>14000</v>
      </c>
      <c r="D44" s="1192"/>
      <c r="E44" s="1191">
        <v>14000</v>
      </c>
      <c r="F44" s="1146">
        <v>18344</v>
      </c>
    </row>
    <row r="45" spans="1:6" ht="15" x14ac:dyDescent="0.25">
      <c r="A45" s="1125" t="s">
        <v>759</v>
      </c>
      <c r="B45" s="1194" t="s">
        <v>825</v>
      </c>
      <c r="C45" s="1193">
        <v>14000</v>
      </c>
      <c r="D45" s="1192">
        <v>-5045</v>
      </c>
      <c r="E45" s="1191">
        <v>8955</v>
      </c>
      <c r="F45" s="1146">
        <v>8955</v>
      </c>
    </row>
    <row r="46" spans="1:6" ht="15" x14ac:dyDescent="0.25">
      <c r="A46" s="1125" t="s">
        <v>759</v>
      </c>
      <c r="B46" s="1204" t="s">
        <v>824</v>
      </c>
      <c r="C46" s="1193">
        <v>300</v>
      </c>
      <c r="D46" s="1192">
        <v>2700</v>
      </c>
      <c r="E46" s="1191">
        <v>3000</v>
      </c>
      <c r="F46" s="1146">
        <v>3000</v>
      </c>
    </row>
    <row r="47" spans="1:6" ht="15" x14ac:dyDescent="0.25">
      <c r="A47" s="1125" t="s">
        <v>759</v>
      </c>
      <c r="B47" s="1204" t="s">
        <v>823</v>
      </c>
      <c r="C47" s="1193">
        <v>2500</v>
      </c>
      <c r="D47" s="1192"/>
      <c r="E47" s="1191">
        <v>2500</v>
      </c>
      <c r="F47" s="1146">
        <v>2500</v>
      </c>
    </row>
    <row r="48" spans="1:6" ht="12.75" customHeight="1" x14ac:dyDescent="0.25">
      <c r="A48" s="1125" t="s">
        <v>763</v>
      </c>
      <c r="B48" s="1204" t="s">
        <v>822</v>
      </c>
      <c r="C48" s="1193">
        <v>500</v>
      </c>
      <c r="D48" s="1192"/>
      <c r="E48" s="1191">
        <v>500</v>
      </c>
      <c r="F48" s="1146">
        <v>500</v>
      </c>
    </row>
    <row r="49" spans="1:33" ht="15" x14ac:dyDescent="0.25">
      <c r="A49" s="1125" t="s">
        <v>763</v>
      </c>
      <c r="B49" s="1194" t="s">
        <v>821</v>
      </c>
      <c r="C49" s="1193">
        <v>20000</v>
      </c>
      <c r="D49" s="1192"/>
      <c r="E49" s="1191">
        <v>20000</v>
      </c>
      <c r="F49" s="1146">
        <v>20000</v>
      </c>
    </row>
    <row r="50" spans="1:33" ht="15" x14ac:dyDescent="0.25">
      <c r="A50" s="1125" t="s">
        <v>763</v>
      </c>
      <c r="B50" s="1194" t="s">
        <v>820</v>
      </c>
      <c r="C50" s="1193">
        <v>600</v>
      </c>
      <c r="D50" s="1192"/>
      <c r="E50" s="1191">
        <v>600</v>
      </c>
      <c r="F50" s="1146">
        <v>600</v>
      </c>
    </row>
    <row r="51" spans="1:33" s="1212" customFormat="1" ht="15" x14ac:dyDescent="0.25">
      <c r="A51" s="1145" t="s">
        <v>759</v>
      </c>
      <c r="B51" s="1204" t="s">
        <v>819</v>
      </c>
      <c r="C51" s="1193">
        <v>2380</v>
      </c>
      <c r="D51" s="1192"/>
      <c r="E51" s="1191">
        <v>2380</v>
      </c>
      <c r="F51" s="1205">
        <v>2380</v>
      </c>
      <c r="G51" s="1139"/>
      <c r="H51" s="1139"/>
      <c r="I51" s="1139"/>
      <c r="J51" s="1139"/>
      <c r="K51" s="1139"/>
      <c r="L51" s="1139"/>
      <c r="M51" s="1139"/>
      <c r="N51" s="1139"/>
      <c r="O51" s="1139"/>
      <c r="P51" s="1139"/>
      <c r="Q51" s="1139"/>
      <c r="R51" s="1139"/>
      <c r="S51" s="1139"/>
      <c r="T51" s="1139"/>
      <c r="U51" s="1139"/>
      <c r="V51" s="1139"/>
      <c r="W51" s="1139"/>
      <c r="X51" s="1139"/>
      <c r="Y51" s="1139"/>
      <c r="Z51" s="1139"/>
      <c r="AA51" s="1139"/>
      <c r="AB51" s="1139"/>
      <c r="AC51" s="1139"/>
      <c r="AD51" s="1139"/>
      <c r="AE51" s="1139"/>
      <c r="AF51" s="1139"/>
      <c r="AG51" s="1139"/>
    </row>
    <row r="52" spans="1:33" s="1212" customFormat="1" ht="15" x14ac:dyDescent="0.25">
      <c r="A52" s="1145" t="s">
        <v>759</v>
      </c>
      <c r="B52" s="1204" t="s">
        <v>818</v>
      </c>
      <c r="C52" s="1193">
        <v>100</v>
      </c>
      <c r="D52" s="1192"/>
      <c r="E52" s="1191">
        <v>100</v>
      </c>
      <c r="F52" s="1205">
        <v>250</v>
      </c>
      <c r="G52" s="1139"/>
      <c r="H52" s="1139"/>
      <c r="I52" s="1139"/>
      <c r="J52" s="1139"/>
      <c r="K52" s="1139"/>
      <c r="L52" s="1139"/>
      <c r="M52" s="1139"/>
      <c r="N52" s="1139"/>
      <c r="O52" s="1139"/>
      <c r="P52" s="1139"/>
      <c r="Q52" s="1139"/>
      <c r="R52" s="1139"/>
      <c r="S52" s="1139"/>
      <c r="T52" s="1139"/>
      <c r="U52" s="1139"/>
      <c r="V52" s="1139"/>
      <c r="W52" s="1139"/>
      <c r="X52" s="1139"/>
      <c r="Y52" s="1139"/>
      <c r="Z52" s="1139"/>
      <c r="AA52" s="1139"/>
      <c r="AB52" s="1139"/>
      <c r="AC52" s="1139"/>
      <c r="AD52" s="1139"/>
      <c r="AE52" s="1139"/>
      <c r="AF52" s="1139"/>
      <c r="AG52" s="1139"/>
    </row>
    <row r="53" spans="1:33" ht="15" x14ac:dyDescent="0.25">
      <c r="A53" s="1125" t="s">
        <v>759</v>
      </c>
      <c r="B53" s="1204" t="s">
        <v>817</v>
      </c>
      <c r="C53" s="1193">
        <v>100</v>
      </c>
      <c r="D53" s="1192"/>
      <c r="E53" s="1191">
        <v>100</v>
      </c>
      <c r="F53" s="1146">
        <v>100</v>
      </c>
    </row>
    <row r="54" spans="1:33" ht="15" x14ac:dyDescent="0.25">
      <c r="A54" s="1125" t="s">
        <v>759</v>
      </c>
      <c r="B54" s="1204" t="s">
        <v>816</v>
      </c>
      <c r="C54" s="1193">
        <v>100</v>
      </c>
      <c r="D54" s="1192"/>
      <c r="E54" s="1191">
        <v>100</v>
      </c>
      <c r="F54" s="1146">
        <v>100</v>
      </c>
    </row>
    <row r="55" spans="1:33" ht="15" x14ac:dyDescent="0.25">
      <c r="A55" s="1125"/>
      <c r="B55" s="1204" t="s">
        <v>815</v>
      </c>
      <c r="C55" s="1193">
        <v>1000</v>
      </c>
      <c r="D55" s="1192"/>
      <c r="E55" s="1191">
        <v>1000</v>
      </c>
      <c r="F55" s="1146">
        <v>0</v>
      </c>
    </row>
    <row r="56" spans="1:33" ht="15" x14ac:dyDescent="0.25">
      <c r="A56" s="1125"/>
      <c r="B56" s="1204" t="s">
        <v>814</v>
      </c>
      <c r="C56" s="1193">
        <v>200</v>
      </c>
      <c r="D56" s="1192"/>
      <c r="E56" s="1191">
        <v>200</v>
      </c>
      <c r="F56" s="1146">
        <v>200</v>
      </c>
    </row>
    <row r="57" spans="1:33" s="1139" customFormat="1" ht="15" x14ac:dyDescent="0.25">
      <c r="A57" s="1145" t="s">
        <v>766</v>
      </c>
      <c r="B57" s="1204" t="s">
        <v>813</v>
      </c>
      <c r="C57" s="1193">
        <v>7000</v>
      </c>
      <c r="D57" s="1192">
        <f>-2700-1039-1000</f>
        <v>-4739</v>
      </c>
      <c r="E57" s="1191">
        <v>2261</v>
      </c>
      <c r="F57" s="1205">
        <v>2261</v>
      </c>
    </row>
    <row r="58" spans="1:33" s="1139" customFormat="1" ht="15" x14ac:dyDescent="0.25">
      <c r="A58" s="1145"/>
      <c r="B58" s="1204" t="s">
        <v>812</v>
      </c>
      <c r="C58" s="1193">
        <v>6000</v>
      </c>
      <c r="D58" s="1192"/>
      <c r="E58" s="1191">
        <v>6000</v>
      </c>
      <c r="F58" s="1205">
        <v>6000</v>
      </c>
    </row>
    <row r="59" spans="1:33" s="1139" customFormat="1" ht="15" x14ac:dyDescent="0.25">
      <c r="A59" s="1145"/>
      <c r="B59" s="1204" t="s">
        <v>811</v>
      </c>
      <c r="C59" s="1193"/>
      <c r="D59" s="1192">
        <v>1000</v>
      </c>
      <c r="E59" s="1191">
        <v>1000</v>
      </c>
      <c r="F59" s="1205">
        <v>1900</v>
      </c>
    </row>
    <row r="60" spans="1:33" s="1139" customFormat="1" ht="15" x14ac:dyDescent="0.25">
      <c r="A60" s="1145"/>
      <c r="B60" s="1204" t="s">
        <v>810</v>
      </c>
      <c r="C60" s="1193"/>
      <c r="D60" s="1192">
        <v>200</v>
      </c>
      <c r="E60" s="1191">
        <v>200</v>
      </c>
      <c r="F60" s="1205">
        <v>200</v>
      </c>
    </row>
    <row r="61" spans="1:33" s="1139" customFormat="1" ht="15" x14ac:dyDescent="0.25">
      <c r="A61" s="1145"/>
      <c r="B61" s="1204" t="s">
        <v>809</v>
      </c>
      <c r="C61" s="1193"/>
      <c r="D61" s="1192"/>
      <c r="E61" s="1191">
        <v>251</v>
      </c>
      <c r="F61" s="1205">
        <v>251</v>
      </c>
    </row>
    <row r="62" spans="1:33" s="1139" customFormat="1" ht="15" x14ac:dyDescent="0.25">
      <c r="A62" s="1145"/>
      <c r="B62" s="1204" t="s">
        <v>808</v>
      </c>
      <c r="C62" s="1193"/>
      <c r="D62" s="1192"/>
      <c r="E62" s="1191">
        <v>220</v>
      </c>
      <c r="F62" s="1205">
        <v>220</v>
      </c>
    </row>
    <row r="63" spans="1:33" s="1139" customFormat="1" ht="15" x14ac:dyDescent="0.25">
      <c r="A63" s="1145"/>
      <c r="B63" s="1204" t="s">
        <v>807</v>
      </c>
      <c r="C63" s="1193"/>
      <c r="D63" s="1192"/>
      <c r="E63" s="1191">
        <v>5600</v>
      </c>
      <c r="F63" s="1205">
        <v>0</v>
      </c>
    </row>
    <row r="64" spans="1:33" s="1139" customFormat="1" ht="15" x14ac:dyDescent="0.25">
      <c r="A64" s="1145"/>
      <c r="B64" s="1204" t="s">
        <v>806</v>
      </c>
      <c r="C64" s="1193"/>
      <c r="D64" s="1192"/>
      <c r="E64" s="1191">
        <v>1000</v>
      </c>
      <c r="F64" s="1205">
        <v>1000</v>
      </c>
    </row>
    <row r="65" spans="1:6" s="1384" customFormat="1" ht="15" x14ac:dyDescent="0.25">
      <c r="A65" s="1389"/>
      <c r="B65" s="1391"/>
      <c r="C65" s="1392"/>
      <c r="D65" s="1392"/>
      <c r="E65" s="1392"/>
      <c r="F65" s="1393"/>
    </row>
    <row r="66" spans="1:6" s="1139" customFormat="1" ht="15" x14ac:dyDescent="0.25">
      <c r="A66" s="1145"/>
      <c r="B66" s="1390" t="s">
        <v>782</v>
      </c>
      <c r="C66" s="1385"/>
      <c r="D66" s="1386"/>
      <c r="E66" s="1387"/>
      <c r="F66" s="1388"/>
    </row>
    <row r="67" spans="1:6" s="1139" customFormat="1" ht="15" x14ac:dyDescent="0.25">
      <c r="A67" s="1145"/>
      <c r="B67" s="1204" t="s">
        <v>805</v>
      </c>
      <c r="C67" s="1193"/>
      <c r="D67" s="1192"/>
      <c r="E67" s="1191">
        <v>250</v>
      </c>
      <c r="F67" s="1205">
        <v>250</v>
      </c>
    </row>
    <row r="68" spans="1:6" s="1139" customFormat="1" ht="15" x14ac:dyDescent="0.25">
      <c r="A68" s="1145"/>
      <c r="B68" s="1204" t="s">
        <v>804</v>
      </c>
      <c r="C68" s="1193"/>
      <c r="D68" s="1192"/>
      <c r="E68" s="1191">
        <v>250</v>
      </c>
      <c r="F68" s="1205">
        <v>250</v>
      </c>
    </row>
    <row r="69" spans="1:6" s="1139" customFormat="1" ht="15" x14ac:dyDescent="0.25">
      <c r="A69" s="1145"/>
      <c r="B69" s="1204" t="s">
        <v>803</v>
      </c>
      <c r="C69" s="1193"/>
      <c r="D69" s="1192"/>
      <c r="E69" s="1191">
        <v>424</v>
      </c>
      <c r="F69" s="1205">
        <v>424</v>
      </c>
    </row>
    <row r="70" spans="1:6" s="1139" customFormat="1" ht="15" x14ac:dyDescent="0.25">
      <c r="A70" s="1145"/>
      <c r="B70" s="1204" t="s">
        <v>802</v>
      </c>
      <c r="C70" s="1193"/>
      <c r="D70" s="1192"/>
      <c r="E70" s="1191">
        <v>200</v>
      </c>
      <c r="F70" s="1205">
        <v>200</v>
      </c>
    </row>
    <row r="71" spans="1:6" s="1139" customFormat="1" ht="15" x14ac:dyDescent="0.25">
      <c r="A71" s="1145"/>
      <c r="B71" s="1194" t="s">
        <v>801</v>
      </c>
      <c r="C71" s="1193"/>
      <c r="D71" s="1192"/>
      <c r="E71" s="1191">
        <v>110</v>
      </c>
      <c r="F71" s="1205">
        <v>0</v>
      </c>
    </row>
    <row r="72" spans="1:6" s="1139" customFormat="1" ht="15" x14ac:dyDescent="0.25">
      <c r="A72" s="1145"/>
      <c r="B72" s="1194" t="s">
        <v>800</v>
      </c>
      <c r="C72" s="1193"/>
      <c r="D72" s="1192"/>
      <c r="E72" s="1191">
        <v>500</v>
      </c>
      <c r="F72" s="1205">
        <v>500</v>
      </c>
    </row>
    <row r="73" spans="1:6" s="1139" customFormat="1" ht="15" x14ac:dyDescent="0.25">
      <c r="A73" s="1145"/>
      <c r="B73" s="1211" t="s">
        <v>799</v>
      </c>
      <c r="C73" s="1193"/>
      <c r="D73" s="1192"/>
      <c r="E73" s="1191"/>
      <c r="F73" s="1210">
        <v>100</v>
      </c>
    </row>
    <row r="74" spans="1:6" s="1139" customFormat="1" ht="15" x14ac:dyDescent="0.25">
      <c r="A74" s="1145"/>
      <c r="B74" s="1211"/>
      <c r="C74" s="1193"/>
      <c r="D74" s="1192"/>
      <c r="E74" s="1191"/>
      <c r="F74" s="1210"/>
    </row>
    <row r="75" spans="1:6" s="1139" customFormat="1" ht="13.5" customHeight="1" x14ac:dyDescent="0.2">
      <c r="A75" s="1145"/>
      <c r="B75" s="1200" t="s">
        <v>798</v>
      </c>
      <c r="C75" s="1199">
        <f>C6+C15</f>
        <v>917165</v>
      </c>
      <c r="D75" s="1198">
        <f>D6+D15</f>
        <v>4357</v>
      </c>
      <c r="E75" s="1197">
        <f>E6+E15</f>
        <v>966282</v>
      </c>
      <c r="F75" s="1201">
        <f>F6+F15</f>
        <v>986241</v>
      </c>
    </row>
    <row r="76" spans="1:6" s="1139" customFormat="1" ht="15" customHeight="1" x14ac:dyDescent="0.25">
      <c r="A76" s="1145"/>
      <c r="B76" s="1194"/>
      <c r="C76" s="1193"/>
      <c r="D76" s="1192"/>
      <c r="E76" s="1191"/>
      <c r="F76" s="1205"/>
    </row>
    <row r="77" spans="1:6" s="1139" customFormat="1" ht="14.25" x14ac:dyDescent="0.2">
      <c r="A77" s="1145"/>
      <c r="B77" s="1190" t="s">
        <v>797</v>
      </c>
      <c r="C77" s="1189">
        <f>SUM(C78:C79)</f>
        <v>32000</v>
      </c>
      <c r="D77" s="1188">
        <f>SUM(D78:D79)</f>
        <v>0</v>
      </c>
      <c r="E77" s="1187">
        <f>SUM(E78:E80)</f>
        <v>48160</v>
      </c>
      <c r="F77" s="1195">
        <f>SUM(F78:F81)</f>
        <v>48160</v>
      </c>
    </row>
    <row r="78" spans="1:6" s="1139" customFormat="1" ht="15" x14ac:dyDescent="0.25">
      <c r="A78" s="1145"/>
      <c r="B78" s="1194" t="s">
        <v>796</v>
      </c>
      <c r="C78" s="1193">
        <v>2000</v>
      </c>
      <c r="D78" s="1192"/>
      <c r="E78" s="1191">
        <v>2000</v>
      </c>
      <c r="F78" s="1205">
        <v>2000</v>
      </c>
    </row>
    <row r="79" spans="1:6" s="1139" customFormat="1" ht="15" x14ac:dyDescent="0.25">
      <c r="A79" s="1145"/>
      <c r="B79" s="1194" t="s">
        <v>795</v>
      </c>
      <c r="C79" s="1193">
        <v>30000</v>
      </c>
      <c r="D79" s="1192"/>
      <c r="E79" s="1191">
        <v>30000</v>
      </c>
      <c r="F79" s="1205">
        <v>30000</v>
      </c>
    </row>
    <row r="80" spans="1:6" s="1139" customFormat="1" ht="15" x14ac:dyDescent="0.25">
      <c r="A80" s="1145"/>
      <c r="B80" s="1194" t="s">
        <v>794</v>
      </c>
      <c r="C80" s="1193"/>
      <c r="D80" s="1192"/>
      <c r="E80" s="1191">
        <v>16160</v>
      </c>
      <c r="F80" s="1205">
        <v>16160</v>
      </c>
    </row>
    <row r="81" spans="1:6" s="1139" customFormat="1" ht="15" x14ac:dyDescent="0.25">
      <c r="A81" s="1145"/>
      <c r="B81" s="1194"/>
      <c r="C81" s="1193"/>
      <c r="D81" s="1192"/>
      <c r="E81" s="1191"/>
      <c r="F81" s="1205"/>
    </row>
    <row r="82" spans="1:6" s="1139" customFormat="1" ht="15" x14ac:dyDescent="0.2">
      <c r="A82" s="1145"/>
      <c r="B82" s="1200" t="s">
        <v>793</v>
      </c>
      <c r="C82" s="1199">
        <f>C77</f>
        <v>32000</v>
      </c>
      <c r="D82" s="1198">
        <f>D77</f>
        <v>0</v>
      </c>
      <c r="E82" s="1197">
        <f>E77</f>
        <v>48160</v>
      </c>
      <c r="F82" s="1201">
        <f>F77</f>
        <v>48160</v>
      </c>
    </row>
    <row r="83" spans="1:6" s="1139" customFormat="1" ht="15" x14ac:dyDescent="0.25">
      <c r="A83" s="1145"/>
      <c r="B83" s="1194"/>
      <c r="C83" s="1193"/>
      <c r="D83" s="1192"/>
      <c r="E83" s="1191"/>
      <c r="F83" s="1205"/>
    </row>
    <row r="84" spans="1:6" s="1139" customFormat="1" ht="14.25" x14ac:dyDescent="0.2">
      <c r="A84" s="1145"/>
      <c r="B84" s="1186" t="s">
        <v>792</v>
      </c>
      <c r="C84" s="1185">
        <f>C75+C82</f>
        <v>949165</v>
      </c>
      <c r="D84" s="1184">
        <f>D75+D82</f>
        <v>4357</v>
      </c>
      <c r="E84" s="1183">
        <f>E75+E82</f>
        <v>1014442</v>
      </c>
      <c r="F84" s="1182">
        <f>F75+F82</f>
        <v>1034401</v>
      </c>
    </row>
    <row r="85" spans="1:6" s="1139" customFormat="1" ht="14.25" x14ac:dyDescent="0.2">
      <c r="A85" s="1145"/>
      <c r="B85" s="1186"/>
      <c r="C85" s="1185"/>
      <c r="D85" s="1184"/>
      <c r="E85" s="1183"/>
      <c r="F85" s="1209"/>
    </row>
    <row r="86" spans="1:6" s="1139" customFormat="1" ht="14.25" x14ac:dyDescent="0.2">
      <c r="A86" s="1145"/>
      <c r="B86" s="1190" t="s">
        <v>791</v>
      </c>
      <c r="C86" s="1185"/>
      <c r="D86" s="1184"/>
      <c r="E86" s="1183"/>
      <c r="F86" s="1208">
        <f>SUM(F87:F88)</f>
        <v>1039</v>
      </c>
    </row>
    <row r="87" spans="1:6" s="1139" customFormat="1" ht="15" x14ac:dyDescent="0.2">
      <c r="A87" s="1145"/>
      <c r="B87" s="1207" t="s">
        <v>790</v>
      </c>
      <c r="C87" s="1185"/>
      <c r="D87" s="1184"/>
      <c r="E87" s="1183"/>
      <c r="F87" s="1206">
        <v>1039</v>
      </c>
    </row>
    <row r="88" spans="1:6" s="1139" customFormat="1" ht="15" x14ac:dyDescent="0.25">
      <c r="A88" s="1145"/>
      <c r="B88" s="1194"/>
      <c r="C88" s="1193"/>
      <c r="D88" s="1192"/>
      <c r="E88" s="1191"/>
      <c r="F88" s="1205"/>
    </row>
    <row r="89" spans="1:6" ht="15.75" customHeight="1" x14ac:dyDescent="0.2">
      <c r="A89" s="1125"/>
      <c r="B89" s="1190" t="s">
        <v>789</v>
      </c>
      <c r="C89" s="1189">
        <f>SUM(C90:C95)</f>
        <v>15614</v>
      </c>
      <c r="D89" s="1188">
        <f>SUM(D90:D95)</f>
        <v>-3515</v>
      </c>
      <c r="E89" s="1187">
        <f>SUM(E90:E97)</f>
        <v>12199</v>
      </c>
      <c r="F89" s="1177">
        <f>SUM(F90:F99)</f>
        <v>12845</v>
      </c>
    </row>
    <row r="90" spans="1:6" s="1132" customFormat="1" ht="15" x14ac:dyDescent="0.25">
      <c r="A90" s="1133"/>
      <c r="B90" s="1194" t="s">
        <v>788</v>
      </c>
      <c r="C90" s="1193">
        <v>2500</v>
      </c>
      <c r="D90" s="1192"/>
      <c r="E90" s="1191">
        <v>2500</v>
      </c>
      <c r="F90" s="1146">
        <v>2500</v>
      </c>
    </row>
    <row r="91" spans="1:6" ht="16.5" customHeight="1" x14ac:dyDescent="0.25">
      <c r="B91" s="1194" t="s">
        <v>787</v>
      </c>
      <c r="C91" s="1193">
        <v>2314</v>
      </c>
      <c r="D91" s="1192"/>
      <c r="E91" s="1191">
        <v>2314</v>
      </c>
      <c r="F91" s="1146">
        <v>2314</v>
      </c>
    </row>
    <row r="92" spans="1:6" ht="15" x14ac:dyDescent="0.25">
      <c r="B92" s="1194" t="s">
        <v>786</v>
      </c>
      <c r="C92" s="1193">
        <v>3500</v>
      </c>
      <c r="D92" s="1192"/>
      <c r="E92" s="1191">
        <v>3500</v>
      </c>
      <c r="F92" s="1146">
        <v>3500</v>
      </c>
    </row>
    <row r="93" spans="1:6" s="1131" customFormat="1" ht="15" x14ac:dyDescent="0.25">
      <c r="A93" s="1125"/>
      <c r="B93" s="1204" t="s">
        <v>785</v>
      </c>
      <c r="C93" s="1193">
        <v>6000</v>
      </c>
      <c r="D93" s="1192">
        <v>-3515</v>
      </c>
      <c r="E93" s="1191">
        <v>2485</v>
      </c>
      <c r="F93" s="1146">
        <v>2485</v>
      </c>
    </row>
    <row r="94" spans="1:6" ht="14.25" customHeight="1" x14ac:dyDescent="0.25">
      <c r="B94" s="1194" t="s">
        <v>784</v>
      </c>
      <c r="C94" s="1193">
        <v>300</v>
      </c>
      <c r="D94" s="1192"/>
      <c r="E94" s="1191">
        <v>300</v>
      </c>
      <c r="F94" s="1146">
        <v>300</v>
      </c>
    </row>
    <row r="95" spans="1:6" s="1129" customFormat="1" ht="15" x14ac:dyDescent="0.25">
      <c r="A95" s="1124"/>
      <c r="B95" s="1194" t="s">
        <v>783</v>
      </c>
      <c r="C95" s="1193">
        <v>1000</v>
      </c>
      <c r="D95" s="1192"/>
      <c r="E95" s="1191">
        <v>1000</v>
      </c>
      <c r="F95" s="1146">
        <v>1000</v>
      </c>
    </row>
    <row r="96" spans="1:6" s="1129" customFormat="1" ht="15" x14ac:dyDescent="0.2">
      <c r="A96" s="1124"/>
      <c r="B96" s="1203" t="s">
        <v>782</v>
      </c>
      <c r="C96" s="1193"/>
      <c r="D96" s="1192"/>
      <c r="E96" s="1191"/>
      <c r="F96" s="1177"/>
    </row>
    <row r="97" spans="1:6" s="1129" customFormat="1" ht="15" x14ac:dyDescent="0.25">
      <c r="A97" s="1124"/>
      <c r="B97" s="1194" t="s">
        <v>781</v>
      </c>
      <c r="C97" s="1193"/>
      <c r="D97" s="1192"/>
      <c r="E97" s="1191">
        <v>100</v>
      </c>
      <c r="F97" s="1146">
        <v>100</v>
      </c>
    </row>
    <row r="98" spans="1:6" ht="30" x14ac:dyDescent="0.25">
      <c r="A98" s="1125" t="s">
        <v>759</v>
      </c>
      <c r="B98" s="1194" t="s">
        <v>780</v>
      </c>
      <c r="C98" s="1193"/>
      <c r="D98" s="1192"/>
      <c r="E98" s="1191"/>
      <c r="F98" s="1146">
        <v>560</v>
      </c>
    </row>
    <row r="99" spans="1:6" ht="30" x14ac:dyDescent="0.25">
      <c r="A99" s="1125"/>
      <c r="B99" s="1194" t="s">
        <v>779</v>
      </c>
      <c r="C99" s="1193"/>
      <c r="D99" s="1192"/>
      <c r="E99" s="1191"/>
      <c r="F99" s="1202">
        <v>86</v>
      </c>
    </row>
    <row r="100" spans="1:6" ht="15" x14ac:dyDescent="0.25">
      <c r="A100" s="1125"/>
      <c r="B100" s="1194"/>
      <c r="C100" s="1193"/>
      <c r="D100" s="1192"/>
      <c r="E100" s="1191"/>
      <c r="F100" s="1202"/>
    </row>
    <row r="101" spans="1:6" ht="15" customHeight="1" x14ac:dyDescent="0.2">
      <c r="B101" s="1200" t="s">
        <v>778</v>
      </c>
      <c r="C101" s="1199">
        <f>C89</f>
        <v>15614</v>
      </c>
      <c r="D101" s="1198">
        <f>D89</f>
        <v>-3515</v>
      </c>
      <c r="E101" s="1197">
        <f>E89</f>
        <v>12199</v>
      </c>
      <c r="F101" s="1201">
        <f>F86+F89</f>
        <v>13884</v>
      </c>
    </row>
    <row r="102" spans="1:6" s="1132" customFormat="1" ht="15" x14ac:dyDescent="0.25">
      <c r="A102" s="1133"/>
      <c r="B102" s="1200"/>
      <c r="C102" s="1199"/>
      <c r="D102" s="1198"/>
      <c r="E102" s="1197"/>
      <c r="F102" s="1196"/>
    </row>
    <row r="103" spans="1:6" ht="12.75" customHeight="1" x14ac:dyDescent="0.2">
      <c r="B103" s="1190" t="s">
        <v>777</v>
      </c>
      <c r="C103" s="1189">
        <f>SUM(C104)</f>
        <v>0</v>
      </c>
      <c r="D103" s="1188">
        <f>SUM(D104)</f>
        <v>1500</v>
      </c>
      <c r="E103" s="1187">
        <f>SUM(E104)</f>
        <v>1500</v>
      </c>
      <c r="F103" s="1195">
        <f>SUM(F104:F105)</f>
        <v>1500</v>
      </c>
    </row>
    <row r="104" spans="1:6" s="1130" customFormat="1" ht="15" x14ac:dyDescent="0.25">
      <c r="A104" s="1126"/>
      <c r="B104" s="1194" t="s">
        <v>776</v>
      </c>
      <c r="C104" s="1193"/>
      <c r="D104" s="1192">
        <v>1500</v>
      </c>
      <c r="E104" s="1191">
        <v>1500</v>
      </c>
      <c r="F104" s="1146">
        <v>1500</v>
      </c>
    </row>
    <row r="105" spans="1:6" ht="14.25" customHeight="1" x14ac:dyDescent="0.25">
      <c r="B105" s="1190"/>
      <c r="C105" s="1189"/>
      <c r="D105" s="1188"/>
      <c r="E105" s="1187"/>
      <c r="F105" s="1146"/>
    </row>
    <row r="106" spans="1:6" s="1129" customFormat="1" ht="14.25" x14ac:dyDescent="0.2">
      <c r="A106" s="1124"/>
      <c r="B106" s="1186" t="s">
        <v>775</v>
      </c>
      <c r="C106" s="1185">
        <f>C101+C103</f>
        <v>15614</v>
      </c>
      <c r="D106" s="1184">
        <f>D101+D103</f>
        <v>-2015</v>
      </c>
      <c r="E106" s="1183">
        <f>E101+E103</f>
        <v>13699</v>
      </c>
      <c r="F106" s="1182">
        <f>F101+F103</f>
        <v>15384</v>
      </c>
    </row>
    <row r="107" spans="1:6" s="1129" customFormat="1" ht="15" thickBot="1" x14ac:dyDescent="0.25">
      <c r="A107" s="1124"/>
      <c r="B107" s="1181"/>
      <c r="C107" s="1180"/>
      <c r="D107" s="1179"/>
      <c r="E107" s="1178"/>
      <c r="F107" s="1177"/>
    </row>
    <row r="108" spans="1:6" s="1129" customFormat="1" ht="29.25" thickBot="1" x14ac:dyDescent="0.25">
      <c r="A108" s="1124"/>
      <c r="B108" s="1176" t="s">
        <v>774</v>
      </c>
      <c r="C108" s="1175">
        <f>C84+C106</f>
        <v>964779</v>
      </c>
      <c r="D108" s="1174">
        <f>D84+D106</f>
        <v>2342</v>
      </c>
      <c r="E108" s="1173">
        <f>E84+E106</f>
        <v>1028141</v>
      </c>
      <c r="F108" s="1172">
        <f>F84+F106</f>
        <v>1049785</v>
      </c>
    </row>
    <row r="109" spans="1:6" ht="15" x14ac:dyDescent="0.25">
      <c r="A109" s="1125"/>
      <c r="B109" s="1170"/>
      <c r="C109" s="1169"/>
      <c r="D109" s="1169"/>
      <c r="E109" s="1169"/>
      <c r="F109" s="1171"/>
    </row>
    <row r="110" spans="1:6" ht="13.5" customHeight="1" x14ac:dyDescent="0.25">
      <c r="B110" s="1170"/>
      <c r="C110" s="1169"/>
      <c r="D110" s="1169"/>
      <c r="E110" s="1169"/>
      <c r="F110" s="1171"/>
    </row>
    <row r="111" spans="1:6" s="1129" customFormat="1" ht="12" customHeight="1" thickBot="1" x14ac:dyDescent="0.25">
      <c r="A111" s="1124"/>
      <c r="B111" s="1170"/>
      <c r="C111" s="1169"/>
      <c r="D111" s="1169"/>
      <c r="E111" s="1169"/>
      <c r="F111" s="1168"/>
    </row>
    <row r="112" spans="1:6" ht="15" thickBot="1" x14ac:dyDescent="0.25">
      <c r="A112" s="1125" t="s">
        <v>759</v>
      </c>
      <c r="B112" s="1138" t="s">
        <v>773</v>
      </c>
      <c r="C112" s="1167" t="s">
        <v>3</v>
      </c>
      <c r="D112" s="1166" t="s">
        <v>673</v>
      </c>
      <c r="E112" s="1165" t="s">
        <v>225</v>
      </c>
      <c r="F112" s="1164" t="s">
        <v>772</v>
      </c>
    </row>
    <row r="113" spans="1:6" ht="15" x14ac:dyDescent="0.25">
      <c r="A113" s="1125" t="s">
        <v>759</v>
      </c>
      <c r="B113" s="1163" t="s">
        <v>2</v>
      </c>
      <c r="C113" s="1162"/>
      <c r="D113" s="1161"/>
      <c r="E113" s="1160"/>
      <c r="F113" s="1159"/>
    </row>
    <row r="114" spans="1:6" ht="15" x14ac:dyDescent="0.25">
      <c r="A114" s="1125" t="s">
        <v>759</v>
      </c>
      <c r="B114" s="1155"/>
      <c r="C114" s="1158"/>
      <c r="D114" s="1157"/>
      <c r="E114" s="1156"/>
      <c r="F114" s="1146"/>
    </row>
    <row r="115" spans="1:6" ht="14.25" x14ac:dyDescent="0.2">
      <c r="A115" s="1125" t="s">
        <v>759</v>
      </c>
      <c r="B115" s="1155" t="s">
        <v>771</v>
      </c>
      <c r="C115" s="1154">
        <f>SUM(C116:C117)</f>
        <v>1200</v>
      </c>
      <c r="D115" s="1153">
        <f>SUM(D116:D117)</f>
        <v>0</v>
      </c>
      <c r="E115" s="1152">
        <f>SUM(E116:E117)</f>
        <v>1200</v>
      </c>
      <c r="F115" s="1151">
        <f>SUM(F116:F117)</f>
        <v>1200</v>
      </c>
    </row>
    <row r="116" spans="1:6" ht="15" x14ac:dyDescent="0.25">
      <c r="A116" s="1125" t="s">
        <v>759</v>
      </c>
      <c r="B116" s="1150" t="s">
        <v>770</v>
      </c>
      <c r="C116" s="1149">
        <v>1200</v>
      </c>
      <c r="D116" s="1148"/>
      <c r="E116" s="1147">
        <v>1200</v>
      </c>
      <c r="F116" s="1146">
        <v>1200</v>
      </c>
    </row>
    <row r="117" spans="1:6" s="1139" customFormat="1" ht="14.25" customHeight="1" thickBot="1" x14ac:dyDescent="0.3">
      <c r="A117" s="1145" t="s">
        <v>362</v>
      </c>
      <c r="B117" s="1144"/>
      <c r="C117" s="1143"/>
      <c r="D117" s="1142"/>
      <c r="E117" s="1141"/>
      <c r="F117" s="1140"/>
    </row>
    <row r="118" spans="1:6" ht="29.25" thickBot="1" x14ac:dyDescent="0.25">
      <c r="A118" s="1125" t="s">
        <v>759</v>
      </c>
      <c r="B118" s="1138" t="s">
        <v>769</v>
      </c>
      <c r="C118" s="1137">
        <f>SUM(C115)</f>
        <v>1200</v>
      </c>
      <c r="D118" s="1136">
        <f>SUM(D115)</f>
        <v>0</v>
      </c>
      <c r="E118" s="1135">
        <f>SUM(E115)</f>
        <v>1200</v>
      </c>
      <c r="F118" s="1134">
        <f>SUM(F115)</f>
        <v>1200</v>
      </c>
    </row>
    <row r="119" spans="1:6" x14ac:dyDescent="0.2">
      <c r="A119" s="1125" t="s">
        <v>759</v>
      </c>
    </row>
    <row r="120" spans="1:6" x14ac:dyDescent="0.2">
      <c r="A120" s="1125" t="s">
        <v>759</v>
      </c>
    </row>
    <row r="121" spans="1:6" x14ac:dyDescent="0.2">
      <c r="A121" s="1125" t="s">
        <v>759</v>
      </c>
    </row>
    <row r="122" spans="1:6" x14ac:dyDescent="0.2">
      <c r="A122" s="1125"/>
    </row>
    <row r="123" spans="1:6" x14ac:dyDescent="0.2">
      <c r="A123" s="1125"/>
    </row>
    <row r="124" spans="1:6" x14ac:dyDescent="0.2"/>
    <row r="125" spans="1:6" x14ac:dyDescent="0.2"/>
    <row r="126" spans="1:6" x14ac:dyDescent="0.2"/>
    <row r="127" spans="1:6" x14ac:dyDescent="0.2"/>
    <row r="128" spans="1:6" s="1132" customFormat="1" x14ac:dyDescent="0.2">
      <c r="A128" s="1133"/>
    </row>
    <row r="129" spans="1:1" s="1129" customFormat="1" x14ac:dyDescent="0.2">
      <c r="A129" s="1124"/>
    </row>
    <row r="130" spans="1:1" s="1129" customFormat="1" x14ac:dyDescent="0.2">
      <c r="A130" s="1124"/>
    </row>
    <row r="131" spans="1:1" s="1131" customFormat="1" x14ac:dyDescent="0.2">
      <c r="A131" s="1125"/>
    </row>
    <row r="132" spans="1:1" s="1130" customFormat="1" x14ac:dyDescent="0.2">
      <c r="A132" s="1126"/>
    </row>
    <row r="133" spans="1:1" s="1129" customFormat="1" ht="33.75" customHeight="1" x14ac:dyDescent="0.2">
      <c r="A133" s="1124"/>
    </row>
    <row r="134" spans="1:1" s="1127" customFormat="1" ht="36.75" customHeight="1" x14ac:dyDescent="0.2">
      <c r="A134" s="1128"/>
    </row>
    <row r="135" spans="1:1" ht="15.75" customHeight="1" x14ac:dyDescent="0.2"/>
    <row r="136" spans="1:1" x14ac:dyDescent="0.2"/>
    <row r="137" spans="1:1" x14ac:dyDescent="0.2"/>
    <row r="138" spans="1:1" x14ac:dyDescent="0.2"/>
    <row r="139" spans="1:1" x14ac:dyDescent="0.2"/>
    <row r="140" spans="1:1" x14ac:dyDescent="0.2"/>
    <row r="141" spans="1:1" ht="30.75" customHeight="1" x14ac:dyDescent="0.2"/>
    <row r="142" spans="1:1" ht="30.75" hidden="1" customHeight="1" x14ac:dyDescent="0.2"/>
    <row r="143" spans="1:1" ht="10.5" hidden="1" customHeight="1" x14ac:dyDescent="0.2">
      <c r="A143" s="1126"/>
    </row>
    <row r="144" spans="1:1" hidden="1" x14ac:dyDescent="0.2">
      <c r="A144" s="1125"/>
    </row>
    <row r="145" spans="1:1" hidden="1" x14ac:dyDescent="0.2">
      <c r="A145" s="1125"/>
    </row>
    <row r="146" spans="1:1" hidden="1" x14ac:dyDescent="0.2">
      <c r="A146" s="1125"/>
    </row>
    <row r="147" spans="1:1" hidden="1" x14ac:dyDescent="0.2">
      <c r="A147" s="1125"/>
    </row>
    <row r="148" spans="1:1" hidden="1" x14ac:dyDescent="0.2">
      <c r="A148" s="1125"/>
    </row>
    <row r="149" spans="1:1" hidden="1" x14ac:dyDescent="0.2">
      <c r="A149" s="1125"/>
    </row>
    <row r="150" spans="1:1" hidden="1" x14ac:dyDescent="0.2">
      <c r="A150" s="1125"/>
    </row>
    <row r="151" spans="1:1" hidden="1" x14ac:dyDescent="0.2">
      <c r="A151" s="1125"/>
    </row>
    <row r="152" spans="1:1" hidden="1" x14ac:dyDescent="0.2">
      <c r="A152" s="1125"/>
    </row>
    <row r="153" spans="1:1" hidden="1" x14ac:dyDescent="0.2"/>
    <row r="154" spans="1:1" hidden="1" x14ac:dyDescent="0.2"/>
    <row r="155" spans="1:1" hidden="1" x14ac:dyDescent="0.2">
      <c r="A155" s="1126"/>
    </row>
    <row r="156" spans="1:1" hidden="1" x14ac:dyDescent="0.2">
      <c r="A156" s="1125"/>
    </row>
    <row r="157" spans="1:1" hidden="1" x14ac:dyDescent="0.2">
      <c r="A157" s="1125"/>
    </row>
    <row r="158" spans="1:1" hidden="1" x14ac:dyDescent="0.2">
      <c r="A158" s="1125"/>
    </row>
    <row r="159" spans="1:1" hidden="1" x14ac:dyDescent="0.2">
      <c r="A159" s="1125"/>
    </row>
    <row r="160" spans="1:1" hidden="1" x14ac:dyDescent="0.2"/>
    <row r="161" spans="1:1" hidden="1" x14ac:dyDescent="0.2"/>
    <row r="162" spans="1:1" hidden="1" x14ac:dyDescent="0.2">
      <c r="A162" s="1124" t="s">
        <v>768</v>
      </c>
    </row>
    <row r="163" spans="1:1" hidden="1" x14ac:dyDescent="0.2">
      <c r="A163" s="1123" t="s">
        <v>352</v>
      </c>
    </row>
    <row r="164" spans="1:1" hidden="1" x14ac:dyDescent="0.2">
      <c r="A164" s="1123" t="s">
        <v>767</v>
      </c>
    </row>
    <row r="165" spans="1:1" hidden="1" x14ac:dyDescent="0.2">
      <c r="A165" s="1123" t="s">
        <v>766</v>
      </c>
    </row>
    <row r="166" spans="1:1" hidden="1" x14ac:dyDescent="0.2">
      <c r="A166" s="1123" t="s">
        <v>368</v>
      </c>
    </row>
    <row r="167" spans="1:1" hidden="1" x14ac:dyDescent="0.2">
      <c r="A167" s="1123" t="s">
        <v>759</v>
      </c>
    </row>
    <row r="168" spans="1:1" hidden="1" x14ac:dyDescent="0.2">
      <c r="A168" s="1123" t="s">
        <v>362</v>
      </c>
    </row>
    <row r="169" spans="1:1" hidden="1" x14ac:dyDescent="0.2">
      <c r="A169" s="1123" t="s">
        <v>765</v>
      </c>
    </row>
    <row r="170" spans="1:1" hidden="1" x14ac:dyDescent="0.2">
      <c r="A170" s="1123" t="s">
        <v>764</v>
      </c>
    </row>
    <row r="171" spans="1:1" hidden="1" x14ac:dyDescent="0.2">
      <c r="A171" s="1123" t="s">
        <v>763</v>
      </c>
    </row>
    <row r="172" spans="1:1" hidden="1" x14ac:dyDescent="0.2">
      <c r="A172" s="1124" t="s">
        <v>762</v>
      </c>
    </row>
    <row r="173" spans="1:1" hidden="1" x14ac:dyDescent="0.2"/>
    <row r="174" spans="1:1" hidden="1" x14ac:dyDescent="0.2">
      <c r="A174" s="1124" t="s">
        <v>761</v>
      </c>
    </row>
    <row r="175" spans="1:1" hidden="1" x14ac:dyDescent="0.2">
      <c r="A175" s="1123" t="s">
        <v>759</v>
      </c>
    </row>
    <row r="176" spans="1:1" hidden="1" x14ac:dyDescent="0.2"/>
    <row r="177" spans="1:1" hidden="1" x14ac:dyDescent="0.2">
      <c r="A177" s="1124" t="s">
        <v>760</v>
      </c>
    </row>
    <row r="178" spans="1:1" hidden="1" x14ac:dyDescent="0.2">
      <c r="A178" s="1123" t="s">
        <v>759</v>
      </c>
    </row>
    <row r="179" spans="1:1" hidden="1" x14ac:dyDescent="0.2">
      <c r="A179" s="1123" t="s">
        <v>362</v>
      </c>
    </row>
    <row r="180" spans="1:1" hidden="1" x14ac:dyDescent="0.2">
      <c r="A180" s="1124" t="s">
        <v>758</v>
      </c>
    </row>
    <row r="181" spans="1:1" hidden="1" x14ac:dyDescent="0.2"/>
    <row r="182" spans="1:1" hidden="1" x14ac:dyDescent="0.2"/>
    <row r="183" spans="1:1" x14ac:dyDescent="0.2"/>
    <row r="184" spans="1:1" x14ac:dyDescent="0.2"/>
    <row r="185" spans="1:1" x14ac:dyDescent="0.2"/>
    <row r="186" spans="1:1" x14ac:dyDescent="0.2"/>
    <row r="187" spans="1:1" x14ac:dyDescent="0.2"/>
    <row r="188" spans="1:1" x14ac:dyDescent="0.2"/>
    <row r="189" spans="1:1" x14ac:dyDescent="0.2"/>
    <row r="190" spans="1:1" x14ac:dyDescent="0.2"/>
    <row r="191" spans="1:1" x14ac:dyDescent="0.2"/>
    <row r="192" spans="1:1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  <row r="65567" x14ac:dyDescent="0.2"/>
    <row r="65568" x14ac:dyDescent="0.2"/>
    <row r="65569" x14ac:dyDescent="0.2"/>
    <row r="65570" x14ac:dyDescent="0.2"/>
    <row r="65571" x14ac:dyDescent="0.2"/>
    <row r="65572" x14ac:dyDescent="0.2"/>
    <row r="65573" x14ac:dyDescent="0.2"/>
    <row r="65574" x14ac:dyDescent="0.2"/>
    <row r="65575" x14ac:dyDescent="0.2"/>
    <row r="65576" x14ac:dyDescent="0.2"/>
    <row r="65577" x14ac:dyDescent="0.2"/>
    <row r="65578" x14ac:dyDescent="0.2"/>
    <row r="65579" x14ac:dyDescent="0.2"/>
    <row r="65580" x14ac:dyDescent="0.2"/>
    <row r="65581" x14ac:dyDescent="0.2"/>
    <row r="65582" x14ac:dyDescent="0.2"/>
    <row r="65583" x14ac:dyDescent="0.2"/>
    <row r="65584" x14ac:dyDescent="0.2"/>
    <row r="65585" x14ac:dyDescent="0.2"/>
    <row r="65586" x14ac:dyDescent="0.2"/>
    <row r="65587" x14ac:dyDescent="0.2"/>
    <row r="65588" x14ac:dyDescent="0.2"/>
    <row r="65589" x14ac:dyDescent="0.2"/>
    <row r="65590" x14ac:dyDescent="0.2"/>
    <row r="65591" x14ac:dyDescent="0.2"/>
    <row r="65592" x14ac:dyDescent="0.2"/>
    <row r="65593" x14ac:dyDescent="0.2"/>
    <row r="65594" x14ac:dyDescent="0.2"/>
    <row r="65595" x14ac:dyDescent="0.2"/>
    <row r="65596" x14ac:dyDescent="0.2"/>
    <row r="65597" x14ac:dyDescent="0.2"/>
    <row r="65598" x14ac:dyDescent="0.2"/>
    <row r="65599" x14ac:dyDescent="0.2"/>
    <row r="65600" x14ac:dyDescent="0.2"/>
    <row r="65601" x14ac:dyDescent="0.2"/>
  </sheetData>
  <mergeCells count="3">
    <mergeCell ref="B1:F1"/>
    <mergeCell ref="I4:J4"/>
    <mergeCell ref="L4:M4"/>
  </mergeCells>
  <printOptions horizontalCentered="1"/>
  <pageMargins left="0.47244094488188981" right="0.47244094488188981" top="1.1417322834645669" bottom="0.78740157480314965" header="0.51181102362204722" footer="0.51181102362204722"/>
  <pageSetup paperSize="9" scale="60" firstPageNumber="0" fitToHeight="7" orientation="portrait" horizontalDpi="300" verticalDpi="300" r:id="rId1"/>
  <headerFooter alignWithMargins="0">
    <oddHeader xml:space="preserve">&amp;L&amp;12 10. melléklet a 28/2017.(XII.21.)önkormányzati rendelethez
10. melléklet a 24/2016.(XII.16.)önkormányzati rendelethez
</oddHeader>
  </headerFooter>
  <rowBreaks count="1" manualBreakCount="1">
    <brk id="6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D117"/>
  <sheetViews>
    <sheetView topLeftCell="A79" zoomScale="79" zoomScaleNormal="79" zoomScaleSheetLayoutView="79" workbookViewId="0">
      <selection activeCell="G102" sqref="G102"/>
    </sheetView>
  </sheetViews>
  <sheetFormatPr defaultRowHeight="12.75" x14ac:dyDescent="0.2"/>
  <cols>
    <col min="1" max="1" width="80" style="1122" customWidth="1"/>
    <col min="2" max="2" width="13.7109375" style="1227" customWidth="1"/>
    <col min="3" max="4" width="13.140625" style="1120" customWidth="1"/>
    <col min="5" max="16384" width="9.140625" style="1120"/>
  </cols>
  <sheetData>
    <row r="1" spans="1:4" ht="14.25" customHeight="1" x14ac:dyDescent="0.2">
      <c r="A1" s="1506" t="s">
        <v>923</v>
      </c>
      <c r="B1" s="1506"/>
      <c r="C1" s="1506"/>
      <c r="D1" s="1503"/>
    </row>
    <row r="2" spans="1:4" ht="14.25" customHeight="1" x14ac:dyDescent="0.2">
      <c r="A2" s="1506"/>
      <c r="B2" s="1506"/>
      <c r="C2" s="1506"/>
      <c r="D2" s="1503"/>
    </row>
    <row r="3" spans="1:4" ht="14.25" customHeight="1" thickBot="1" x14ac:dyDescent="0.25">
      <c r="A3" s="1260"/>
      <c r="B3" s="1260"/>
    </row>
    <row r="4" spans="1:4" ht="15" thickBot="1" x14ac:dyDescent="0.25">
      <c r="A4" s="1314" t="s">
        <v>861</v>
      </c>
      <c r="B4" s="1315" t="s">
        <v>3</v>
      </c>
      <c r="C4" s="1223" t="s">
        <v>225</v>
      </c>
      <c r="D4" s="1316" t="s">
        <v>235</v>
      </c>
    </row>
    <row r="5" spans="1:4" ht="14.25" x14ac:dyDescent="0.2">
      <c r="A5" s="1311" t="s">
        <v>2</v>
      </c>
      <c r="B5" s="1312"/>
      <c r="C5" s="1312"/>
      <c r="D5" s="1313"/>
    </row>
    <row r="6" spans="1:4" ht="15" x14ac:dyDescent="0.2">
      <c r="A6" s="1295"/>
      <c r="B6" s="1296"/>
      <c r="C6" s="1296"/>
      <c r="D6" s="1297"/>
    </row>
    <row r="7" spans="1:4" ht="14.25" x14ac:dyDescent="0.2">
      <c r="A7" s="1293" t="s">
        <v>867</v>
      </c>
      <c r="B7" s="1294">
        <f>SUM(B8:B22)</f>
        <v>150251</v>
      </c>
      <c r="C7" s="1294">
        <f>SUM(C8:C28)</f>
        <v>500488</v>
      </c>
      <c r="D7" s="1298">
        <f>SUM(D8:D32)</f>
        <v>551714</v>
      </c>
    </row>
    <row r="8" spans="1:4" ht="30" x14ac:dyDescent="0.2">
      <c r="A8" s="1295" t="s">
        <v>922</v>
      </c>
      <c r="B8" s="1296">
        <v>9881</v>
      </c>
      <c r="C8" s="1296">
        <v>9881</v>
      </c>
      <c r="D8" s="1297">
        <v>9881</v>
      </c>
    </row>
    <row r="9" spans="1:4" s="1129" customFormat="1" ht="15" x14ac:dyDescent="0.2">
      <c r="A9" s="1295" t="s">
        <v>921</v>
      </c>
      <c r="B9" s="1296">
        <v>128050</v>
      </c>
      <c r="C9" s="1296">
        <v>128050</v>
      </c>
      <c r="D9" s="1297">
        <v>128050</v>
      </c>
    </row>
    <row r="10" spans="1:4" s="1131" customFormat="1" ht="15" x14ac:dyDescent="0.2">
      <c r="A10" s="1295" t="s">
        <v>840</v>
      </c>
      <c r="B10" s="1296">
        <v>7000</v>
      </c>
      <c r="C10" s="1296">
        <v>7000</v>
      </c>
      <c r="D10" s="1297">
        <v>7000</v>
      </c>
    </row>
    <row r="11" spans="1:4" s="1131" customFormat="1" ht="15" hidden="1" x14ac:dyDescent="0.2">
      <c r="A11" s="1295" t="s">
        <v>895</v>
      </c>
      <c r="B11" s="1296">
        <v>0</v>
      </c>
      <c r="C11" s="1296"/>
      <c r="D11" s="1297"/>
    </row>
    <row r="12" spans="1:4" ht="36.75" hidden="1" customHeight="1" x14ac:dyDescent="0.2">
      <c r="A12" s="1295" t="s">
        <v>902</v>
      </c>
      <c r="B12" s="1296">
        <v>0</v>
      </c>
      <c r="C12" s="1296"/>
      <c r="D12" s="1297"/>
    </row>
    <row r="13" spans="1:4" ht="15" hidden="1" x14ac:dyDescent="0.2">
      <c r="A13" s="1295" t="s">
        <v>891</v>
      </c>
      <c r="B13" s="1296">
        <v>0</v>
      </c>
      <c r="C13" s="1296"/>
      <c r="D13" s="1297"/>
    </row>
    <row r="14" spans="1:4" ht="30" hidden="1" x14ac:dyDescent="0.2">
      <c r="A14" s="1295" t="s">
        <v>889</v>
      </c>
      <c r="B14" s="1296">
        <v>0</v>
      </c>
      <c r="C14" s="1296"/>
      <c r="D14" s="1297"/>
    </row>
    <row r="15" spans="1:4" ht="30" hidden="1" x14ac:dyDescent="0.2">
      <c r="A15" s="1295" t="s">
        <v>901</v>
      </c>
      <c r="B15" s="1296">
        <v>0</v>
      </c>
      <c r="C15" s="1296"/>
      <c r="D15" s="1297"/>
    </row>
    <row r="16" spans="1:4" ht="15" hidden="1" x14ac:dyDescent="0.2">
      <c r="A16" s="1295" t="s">
        <v>893</v>
      </c>
      <c r="B16" s="1296">
        <v>0</v>
      </c>
      <c r="C16" s="1296"/>
      <c r="D16" s="1297"/>
    </row>
    <row r="17" spans="1:4" ht="15" hidden="1" x14ac:dyDescent="0.2">
      <c r="A17" s="1295" t="s">
        <v>900</v>
      </c>
      <c r="B17" s="1296">
        <v>0</v>
      </c>
      <c r="C17" s="1296"/>
      <c r="D17" s="1297"/>
    </row>
    <row r="18" spans="1:4" ht="15" hidden="1" x14ac:dyDescent="0.2">
      <c r="A18" s="1295" t="s">
        <v>896</v>
      </c>
      <c r="B18" s="1296">
        <v>0</v>
      </c>
      <c r="C18" s="1296"/>
      <c r="D18" s="1297"/>
    </row>
    <row r="19" spans="1:4" ht="15" x14ac:dyDescent="0.2">
      <c r="A19" s="1295" t="s">
        <v>920</v>
      </c>
      <c r="B19" s="1296">
        <v>5320</v>
      </c>
      <c r="C19" s="1296">
        <v>5320</v>
      </c>
      <c r="D19" s="1297">
        <v>5320</v>
      </c>
    </row>
    <row r="20" spans="1:4" ht="15" hidden="1" x14ac:dyDescent="0.2">
      <c r="A20" s="1295" t="s">
        <v>898</v>
      </c>
      <c r="B20" s="1296">
        <v>0</v>
      </c>
      <c r="C20" s="1296"/>
      <c r="D20" s="1297"/>
    </row>
    <row r="21" spans="1:4" ht="15" hidden="1" x14ac:dyDescent="0.2">
      <c r="A21" s="1295" t="s">
        <v>897</v>
      </c>
      <c r="B21" s="1296">
        <v>0</v>
      </c>
      <c r="C21" s="1296"/>
      <c r="D21" s="1297"/>
    </row>
    <row r="22" spans="1:4" ht="15" hidden="1" x14ac:dyDescent="0.2">
      <c r="A22" s="1295" t="s">
        <v>894</v>
      </c>
      <c r="B22" s="1296">
        <v>0</v>
      </c>
      <c r="C22" s="1296"/>
      <c r="D22" s="1297"/>
    </row>
    <row r="23" spans="1:4" ht="30" x14ac:dyDescent="0.2">
      <c r="A23" s="1295" t="s">
        <v>892</v>
      </c>
      <c r="B23" s="1296"/>
      <c r="C23" s="1296">
        <v>135795</v>
      </c>
      <c r="D23" s="1297">
        <v>135795</v>
      </c>
    </row>
    <row r="24" spans="1:4" ht="15" x14ac:dyDescent="0.2">
      <c r="A24" s="1295" t="s">
        <v>891</v>
      </c>
      <c r="B24" s="1296"/>
      <c r="C24" s="1296">
        <v>43075</v>
      </c>
      <c r="D24" s="1297">
        <v>43075</v>
      </c>
    </row>
    <row r="25" spans="1:4" ht="45" x14ac:dyDescent="0.2">
      <c r="A25" s="1295" t="s">
        <v>890</v>
      </c>
      <c r="B25" s="1296"/>
      <c r="C25" s="1296">
        <v>101465</v>
      </c>
      <c r="D25" s="1297">
        <v>101465</v>
      </c>
    </row>
    <row r="26" spans="1:4" ht="30" x14ac:dyDescent="0.2">
      <c r="A26" s="1295" t="s">
        <v>889</v>
      </c>
      <c r="B26" s="1296"/>
      <c r="C26" s="1296">
        <v>62197</v>
      </c>
      <c r="D26" s="1297">
        <v>62197</v>
      </c>
    </row>
    <row r="27" spans="1:4" ht="15" x14ac:dyDescent="0.2">
      <c r="A27" s="1295" t="s">
        <v>919</v>
      </c>
      <c r="B27" s="1296"/>
      <c r="C27" s="1296">
        <v>406</v>
      </c>
      <c r="D27" s="1297">
        <v>406</v>
      </c>
    </row>
    <row r="28" spans="1:4" ht="30" x14ac:dyDescent="0.25">
      <c r="A28" s="847" t="s">
        <v>888</v>
      </c>
      <c r="B28" s="1296"/>
      <c r="C28" s="1296">
        <v>7299</v>
      </c>
      <c r="D28" s="1297">
        <v>7299</v>
      </c>
    </row>
    <row r="29" spans="1:4" ht="15" x14ac:dyDescent="0.25">
      <c r="A29" s="847" t="s">
        <v>918</v>
      </c>
      <c r="B29" s="1296"/>
      <c r="C29" s="1296"/>
      <c r="D29" s="1297">
        <v>2254</v>
      </c>
    </row>
    <row r="30" spans="1:4" ht="15" x14ac:dyDescent="0.25">
      <c r="A30" s="847" t="s">
        <v>917</v>
      </c>
      <c r="B30" s="1296"/>
      <c r="C30" s="1296"/>
      <c r="D30" s="1297">
        <v>1550</v>
      </c>
    </row>
    <row r="31" spans="1:4" ht="15" x14ac:dyDescent="0.25">
      <c r="A31" s="847" t="s">
        <v>916</v>
      </c>
      <c r="B31" s="1296"/>
      <c r="C31" s="1296"/>
      <c r="D31" s="1297">
        <v>600</v>
      </c>
    </row>
    <row r="32" spans="1:4" ht="30" x14ac:dyDescent="0.25">
      <c r="A32" s="847" t="s">
        <v>886</v>
      </c>
      <c r="B32" s="1296"/>
      <c r="C32" s="1296"/>
      <c r="D32" s="1297">
        <v>46822</v>
      </c>
    </row>
    <row r="33" spans="1:4" ht="15" x14ac:dyDescent="0.25">
      <c r="A33" s="847"/>
      <c r="B33" s="1296"/>
      <c r="C33" s="1296"/>
      <c r="D33" s="1297"/>
    </row>
    <row r="34" spans="1:4" ht="15" x14ac:dyDescent="0.2">
      <c r="A34" s="1299" t="s">
        <v>915</v>
      </c>
      <c r="B34" s="1296"/>
      <c r="C34" s="1296"/>
      <c r="D34" s="1297"/>
    </row>
    <row r="35" spans="1:4" ht="15" x14ac:dyDescent="0.25">
      <c r="A35" s="1300" t="s">
        <v>914</v>
      </c>
      <c r="B35" s="1296"/>
      <c r="C35" s="1296"/>
      <c r="D35" s="1298">
        <v>886</v>
      </c>
    </row>
    <row r="36" spans="1:4" ht="15" x14ac:dyDescent="0.2">
      <c r="A36" s="1299"/>
      <c r="B36" s="1296"/>
      <c r="C36" s="1296"/>
      <c r="D36" s="1297"/>
    </row>
    <row r="37" spans="1:4" ht="30" x14ac:dyDescent="0.2">
      <c r="A37" s="1301" t="s">
        <v>913</v>
      </c>
      <c r="B37" s="1302">
        <f>B7</f>
        <v>150251</v>
      </c>
      <c r="C37" s="1302">
        <f>C7</f>
        <v>500488</v>
      </c>
      <c r="D37" s="1303">
        <f>D7</f>
        <v>551714</v>
      </c>
    </row>
    <row r="38" spans="1:4" s="1129" customFormat="1" ht="15" x14ac:dyDescent="0.2">
      <c r="A38" s="1295"/>
      <c r="B38" s="1294"/>
      <c r="C38" s="1294"/>
      <c r="D38" s="1298"/>
    </row>
    <row r="39" spans="1:4" ht="14.25" x14ac:dyDescent="0.2">
      <c r="A39" s="1304" t="s">
        <v>912</v>
      </c>
      <c r="B39" s="1294">
        <f>SUM(B40:B40)</f>
        <v>0</v>
      </c>
      <c r="C39" s="1294">
        <f>SUM(C40:C40)</f>
        <v>3000</v>
      </c>
      <c r="D39" s="1298">
        <f>SUM(D40:D41)</f>
        <v>3000</v>
      </c>
    </row>
    <row r="40" spans="1:4" ht="45" x14ac:dyDescent="0.2">
      <c r="A40" s="1305" t="s">
        <v>911</v>
      </c>
      <c r="B40" s="1296"/>
      <c r="C40" s="1296">
        <v>3000</v>
      </c>
      <c r="D40" s="1297">
        <v>3000</v>
      </c>
    </row>
    <row r="41" spans="1:4" s="1129" customFormat="1" ht="15" x14ac:dyDescent="0.2">
      <c r="A41" s="1295"/>
      <c r="B41" s="1294"/>
      <c r="C41" s="1294"/>
      <c r="D41" s="1298"/>
    </row>
    <row r="42" spans="1:4" s="1129" customFormat="1" ht="28.5" x14ac:dyDescent="0.2">
      <c r="A42" s="1293" t="s">
        <v>910</v>
      </c>
      <c r="B42" s="1294">
        <f>SUM(B43:B45)</f>
        <v>73119</v>
      </c>
      <c r="C42" s="1294">
        <f>SUM(C43:C47)</f>
        <v>119279</v>
      </c>
      <c r="D42" s="1298">
        <f>SUM(D43:D48)</f>
        <v>119279</v>
      </c>
    </row>
    <row r="43" spans="1:4" s="1129" customFormat="1" ht="15" x14ac:dyDescent="0.2">
      <c r="A43" s="1295" t="s">
        <v>909</v>
      </c>
      <c r="B43" s="1296">
        <v>2000</v>
      </c>
      <c r="C43" s="1296">
        <v>2000</v>
      </c>
      <c r="D43" s="1297">
        <v>2000</v>
      </c>
    </row>
    <row r="44" spans="1:4" s="1129" customFormat="1" ht="15" x14ac:dyDescent="0.2">
      <c r="A44" s="1295" t="s">
        <v>908</v>
      </c>
      <c r="B44" s="1296">
        <v>63989</v>
      </c>
      <c r="C44" s="1296">
        <v>63989</v>
      </c>
      <c r="D44" s="1297">
        <v>63989</v>
      </c>
    </row>
    <row r="45" spans="1:4" ht="27.75" customHeight="1" x14ac:dyDescent="0.2">
      <c r="A45" s="1295" t="s">
        <v>907</v>
      </c>
      <c r="B45" s="1296">
        <v>7130</v>
      </c>
      <c r="C45" s="1296">
        <v>7130</v>
      </c>
      <c r="D45" s="1297">
        <v>7130</v>
      </c>
    </row>
    <row r="46" spans="1:4" ht="15.75" customHeight="1" x14ac:dyDescent="0.2">
      <c r="A46" s="1295" t="s">
        <v>906</v>
      </c>
      <c r="B46" s="1296"/>
      <c r="C46" s="1296">
        <v>16160</v>
      </c>
      <c r="D46" s="1297">
        <v>16160</v>
      </c>
    </row>
    <row r="47" spans="1:4" s="1129" customFormat="1" ht="15" x14ac:dyDescent="0.2">
      <c r="A47" s="1295" t="s">
        <v>905</v>
      </c>
      <c r="B47" s="1296"/>
      <c r="C47" s="1296">
        <v>30000</v>
      </c>
      <c r="D47" s="1297">
        <v>30000</v>
      </c>
    </row>
    <row r="48" spans="1:4" s="1129" customFormat="1" ht="15" x14ac:dyDescent="0.2">
      <c r="A48" s="1295"/>
      <c r="B48" s="1296"/>
      <c r="C48" s="1296"/>
      <c r="D48" s="1297"/>
    </row>
    <row r="49" spans="1:4" s="1129" customFormat="1" ht="30" x14ac:dyDescent="0.2">
      <c r="A49" s="1301" t="s">
        <v>904</v>
      </c>
      <c r="B49" s="1302">
        <f>B42+B39</f>
        <v>73119</v>
      </c>
      <c r="C49" s="1302">
        <f>C42+C39</f>
        <v>122279</v>
      </c>
      <c r="D49" s="1303">
        <f>D39+D42</f>
        <v>122279</v>
      </c>
    </row>
    <row r="50" spans="1:4" s="1129" customFormat="1" ht="15" x14ac:dyDescent="0.2">
      <c r="A50" s="1295"/>
      <c r="B50" s="1296"/>
      <c r="C50" s="1296"/>
      <c r="D50" s="1298"/>
    </row>
    <row r="51" spans="1:4" s="1129" customFormat="1" ht="14.25" x14ac:dyDescent="0.2">
      <c r="A51" s="1293" t="s">
        <v>903</v>
      </c>
      <c r="B51" s="1294">
        <f>SUM(B52:B63)</f>
        <v>100000</v>
      </c>
      <c r="C51" s="1294">
        <f>SUM(C52:C68)</f>
        <v>833234</v>
      </c>
      <c r="D51" s="1298">
        <f>SUM(D57:D71)</f>
        <v>968254</v>
      </c>
    </row>
    <row r="52" spans="1:4" s="1129" customFormat="1" ht="45" hidden="1" x14ac:dyDescent="0.2">
      <c r="A52" s="1295" t="s">
        <v>902</v>
      </c>
      <c r="B52" s="1296">
        <v>0</v>
      </c>
      <c r="C52" s="1296"/>
      <c r="D52" s="1298"/>
    </row>
    <row r="53" spans="1:4" s="1129" customFormat="1" ht="15" hidden="1" x14ac:dyDescent="0.2">
      <c r="A53" s="1295" t="s">
        <v>891</v>
      </c>
      <c r="B53" s="1296">
        <v>0</v>
      </c>
      <c r="C53" s="1296"/>
      <c r="D53" s="1298"/>
    </row>
    <row r="54" spans="1:4" s="1129" customFormat="1" ht="30" hidden="1" x14ac:dyDescent="0.2">
      <c r="A54" s="1295" t="s">
        <v>889</v>
      </c>
      <c r="B54" s="1296">
        <v>0</v>
      </c>
      <c r="C54" s="1296"/>
      <c r="D54" s="1298"/>
    </row>
    <row r="55" spans="1:4" ht="30" hidden="1" x14ac:dyDescent="0.2">
      <c r="A55" s="1295" t="s">
        <v>901</v>
      </c>
      <c r="B55" s="1296">
        <v>0</v>
      </c>
      <c r="C55" s="1296"/>
      <c r="D55" s="1297"/>
    </row>
    <row r="56" spans="1:4" s="1129" customFormat="1" ht="15" hidden="1" x14ac:dyDescent="0.2">
      <c r="A56" s="1295" t="s">
        <v>900</v>
      </c>
      <c r="B56" s="1296">
        <v>0</v>
      </c>
      <c r="C56" s="1296"/>
      <c r="D56" s="1298"/>
    </row>
    <row r="57" spans="1:4" ht="15" x14ac:dyDescent="0.2">
      <c r="A57" s="1295" t="s">
        <v>899</v>
      </c>
      <c r="B57" s="1296">
        <v>100000</v>
      </c>
      <c r="C57" s="1296">
        <v>0</v>
      </c>
      <c r="D57" s="1297">
        <v>0</v>
      </c>
    </row>
    <row r="58" spans="1:4" ht="15" hidden="1" x14ac:dyDescent="0.2">
      <c r="A58" s="1295" t="s">
        <v>898</v>
      </c>
      <c r="B58" s="1296">
        <v>0</v>
      </c>
      <c r="C58" s="1296"/>
      <c r="D58" s="1297"/>
    </row>
    <row r="59" spans="1:4" s="1129" customFormat="1" ht="15" hidden="1" x14ac:dyDescent="0.2">
      <c r="A59" s="1295" t="s">
        <v>897</v>
      </c>
      <c r="B59" s="1296">
        <v>0</v>
      </c>
      <c r="C59" s="1296"/>
      <c r="D59" s="1298"/>
    </row>
    <row r="60" spans="1:4" ht="15" hidden="1" x14ac:dyDescent="0.2">
      <c r="A60" s="1295" t="s">
        <v>896</v>
      </c>
      <c r="B60" s="1296">
        <v>0</v>
      </c>
      <c r="C60" s="1296"/>
      <c r="D60" s="1297"/>
    </row>
    <row r="61" spans="1:4" s="1129" customFormat="1" ht="15" hidden="1" x14ac:dyDescent="0.2">
      <c r="A61" s="1295" t="s">
        <v>895</v>
      </c>
      <c r="B61" s="1296">
        <v>0</v>
      </c>
      <c r="C61" s="1296"/>
      <c r="D61" s="1298"/>
    </row>
    <row r="62" spans="1:4" ht="15" hidden="1" x14ac:dyDescent="0.2">
      <c r="A62" s="1295" t="s">
        <v>894</v>
      </c>
      <c r="B62" s="1296">
        <v>0</v>
      </c>
      <c r="C62" s="1296"/>
      <c r="D62" s="1297"/>
    </row>
    <row r="63" spans="1:4" ht="15" hidden="1" x14ac:dyDescent="0.2">
      <c r="A63" s="1295" t="s">
        <v>893</v>
      </c>
      <c r="B63" s="1296">
        <v>0</v>
      </c>
      <c r="C63" s="1296"/>
      <c r="D63" s="1297"/>
    </row>
    <row r="64" spans="1:4" ht="30" x14ac:dyDescent="0.2">
      <c r="A64" s="1295" t="s">
        <v>892</v>
      </c>
      <c r="B64" s="1296"/>
      <c r="C64" s="1296">
        <v>313150</v>
      </c>
      <c r="D64" s="1297">
        <v>313150</v>
      </c>
    </row>
    <row r="65" spans="1:4" ht="15" x14ac:dyDescent="0.2">
      <c r="A65" s="1295" t="s">
        <v>891</v>
      </c>
      <c r="B65" s="1296"/>
      <c r="C65" s="1296">
        <v>106925</v>
      </c>
      <c r="D65" s="1297">
        <v>106925</v>
      </c>
    </row>
    <row r="66" spans="1:4" ht="45" x14ac:dyDescent="0.2">
      <c r="A66" s="1295" t="s">
        <v>890</v>
      </c>
      <c r="B66" s="1296"/>
      <c r="C66" s="1296">
        <v>248535</v>
      </c>
      <c r="D66" s="1297">
        <v>248535</v>
      </c>
    </row>
    <row r="67" spans="1:4" ht="30" x14ac:dyDescent="0.2">
      <c r="A67" s="1295" t="s">
        <v>889</v>
      </c>
      <c r="B67" s="1296"/>
      <c r="C67" s="1296">
        <v>162923</v>
      </c>
      <c r="D67" s="1297">
        <v>162923</v>
      </c>
    </row>
    <row r="68" spans="1:4" ht="30" x14ac:dyDescent="0.25">
      <c r="A68" s="847" t="s">
        <v>888</v>
      </c>
      <c r="B68" s="1296"/>
      <c r="C68" s="1296">
        <v>1701</v>
      </c>
      <c r="D68" s="1297">
        <v>1701</v>
      </c>
    </row>
    <row r="69" spans="1:4" ht="15" x14ac:dyDescent="0.25">
      <c r="A69" s="847" t="s">
        <v>887</v>
      </c>
      <c r="B69" s="1296"/>
      <c r="C69" s="1296"/>
      <c r="D69" s="1297">
        <v>1615</v>
      </c>
    </row>
    <row r="70" spans="1:4" ht="30" x14ac:dyDescent="0.25">
      <c r="A70" s="847" t="s">
        <v>886</v>
      </c>
      <c r="B70" s="1296"/>
      <c r="C70" s="1296"/>
      <c r="D70" s="1297">
        <v>133405</v>
      </c>
    </row>
    <row r="71" spans="1:4" ht="15" x14ac:dyDescent="0.25">
      <c r="A71" s="847"/>
      <c r="B71" s="1296"/>
      <c r="C71" s="1296"/>
      <c r="D71" s="1297"/>
    </row>
    <row r="72" spans="1:4" s="1131" customFormat="1" ht="30" x14ac:dyDescent="0.2">
      <c r="A72" s="1301" t="s">
        <v>885</v>
      </c>
      <c r="B72" s="1302">
        <f>B51</f>
        <v>100000</v>
      </c>
      <c r="C72" s="1302">
        <f>C51</f>
        <v>833234</v>
      </c>
      <c r="D72" s="1303">
        <f>D51</f>
        <v>968254</v>
      </c>
    </row>
    <row r="73" spans="1:4" s="1129" customFormat="1" ht="15" x14ac:dyDescent="0.2">
      <c r="A73" s="1306"/>
      <c r="B73" s="1307"/>
      <c r="C73" s="1296"/>
      <c r="D73" s="1298"/>
    </row>
    <row r="74" spans="1:4" s="1127" customFormat="1" ht="31.5" customHeight="1" x14ac:dyDescent="0.2">
      <c r="A74" s="1293" t="s">
        <v>884</v>
      </c>
      <c r="B74" s="1294">
        <f>SUM(B75:B75)</f>
        <v>18634</v>
      </c>
      <c r="C74" s="1294">
        <f>SUM(C75:C75)</f>
        <v>18634</v>
      </c>
      <c r="D74" s="1298">
        <f>SUM(D75:D76)</f>
        <v>18634</v>
      </c>
    </row>
    <row r="75" spans="1:4" ht="15" x14ac:dyDescent="0.2">
      <c r="A75" s="1295" t="s">
        <v>883</v>
      </c>
      <c r="B75" s="1296">
        <v>18634</v>
      </c>
      <c r="C75" s="1296">
        <v>18634</v>
      </c>
      <c r="D75" s="1297">
        <v>18634</v>
      </c>
    </row>
    <row r="76" spans="1:4" ht="15" x14ac:dyDescent="0.2">
      <c r="A76" s="1295"/>
      <c r="B76" s="1296"/>
      <c r="C76" s="1296"/>
      <c r="D76" s="1297"/>
    </row>
    <row r="77" spans="1:4" s="1130" customFormat="1" ht="28.5" x14ac:dyDescent="0.2">
      <c r="A77" s="1293" t="s">
        <v>874</v>
      </c>
      <c r="B77" s="1294">
        <f>SUM(B78:B80)</f>
        <v>896</v>
      </c>
      <c r="C77" s="1294">
        <f>SUM(C78:C80)</f>
        <v>996</v>
      </c>
      <c r="D77" s="1298">
        <f>SUM(D78:D81)</f>
        <v>996</v>
      </c>
    </row>
    <row r="78" spans="1:4" ht="15" x14ac:dyDescent="0.2">
      <c r="A78" s="1295" t="s">
        <v>882</v>
      </c>
      <c r="B78" s="1296">
        <v>800</v>
      </c>
      <c r="C78" s="1296">
        <v>800</v>
      </c>
      <c r="D78" s="1297">
        <v>800</v>
      </c>
    </row>
    <row r="79" spans="1:4" ht="15" x14ac:dyDescent="0.2">
      <c r="A79" s="1295" t="s">
        <v>881</v>
      </c>
      <c r="B79" s="1296">
        <v>96</v>
      </c>
      <c r="C79" s="1296">
        <v>96</v>
      </c>
      <c r="D79" s="1297">
        <v>96</v>
      </c>
    </row>
    <row r="80" spans="1:4" ht="15" x14ac:dyDescent="0.2">
      <c r="A80" s="1295" t="s">
        <v>880</v>
      </c>
      <c r="B80" s="1296"/>
      <c r="C80" s="1296">
        <v>100</v>
      </c>
      <c r="D80" s="1297">
        <v>100</v>
      </c>
    </row>
    <row r="81" spans="1:4" ht="15" x14ac:dyDescent="0.2">
      <c r="A81" s="1295"/>
      <c r="B81" s="1296"/>
      <c r="C81" s="1296"/>
      <c r="D81" s="1297"/>
    </row>
    <row r="82" spans="1:4" ht="30" x14ac:dyDescent="0.2">
      <c r="A82" s="1301" t="s">
        <v>879</v>
      </c>
      <c r="B82" s="1302">
        <f>B74+B77</f>
        <v>19530</v>
      </c>
      <c r="C82" s="1302">
        <f>C74+C77</f>
        <v>19630</v>
      </c>
      <c r="D82" s="1303">
        <f>D74+D77</f>
        <v>19630</v>
      </c>
    </row>
    <row r="83" spans="1:4" ht="15" x14ac:dyDescent="0.2">
      <c r="A83" s="1295"/>
      <c r="B83" s="1296"/>
      <c r="C83" s="1296"/>
      <c r="D83" s="1297"/>
    </row>
    <row r="84" spans="1:4" ht="29.25" thickBot="1" x14ac:dyDescent="0.25">
      <c r="A84" s="1308" t="s">
        <v>878</v>
      </c>
      <c r="B84" s="1309">
        <f>B37+B49+B72+B82</f>
        <v>342900</v>
      </c>
      <c r="C84" s="1309">
        <f>SUM(C37+C49+C72+C82)</f>
        <v>1475631</v>
      </c>
      <c r="D84" s="1310">
        <f>D37+D49+D72+D82</f>
        <v>1661877</v>
      </c>
    </row>
    <row r="85" spans="1:4" ht="15" x14ac:dyDescent="0.2">
      <c r="A85" s="1320"/>
      <c r="B85" s="1259"/>
      <c r="C85" s="1317"/>
      <c r="D85" s="1318"/>
    </row>
    <row r="86" spans="1:4" ht="15.75" thickBot="1" x14ac:dyDescent="0.25">
      <c r="A86" s="1321"/>
      <c r="B86" s="1259"/>
      <c r="C86" s="1317"/>
      <c r="D86" s="1319"/>
    </row>
    <row r="87" spans="1:4" ht="15" thickBot="1" x14ac:dyDescent="0.25">
      <c r="A87" s="1231" t="s">
        <v>773</v>
      </c>
      <c r="B87" s="1258" t="s">
        <v>3</v>
      </c>
      <c r="C87" s="1257" t="s">
        <v>225</v>
      </c>
      <c r="D87" s="1228" t="s">
        <v>772</v>
      </c>
    </row>
    <row r="88" spans="1:4" s="1130" customFormat="1" ht="14.25" x14ac:dyDescent="0.2">
      <c r="A88" s="1253" t="s">
        <v>2</v>
      </c>
      <c r="B88" s="1256"/>
      <c r="C88" s="1255"/>
      <c r="D88" s="1254"/>
    </row>
    <row r="89" spans="1:4" s="1130" customFormat="1" ht="14.25" x14ac:dyDescent="0.2">
      <c r="A89" s="1253"/>
      <c r="B89" s="1256"/>
      <c r="C89" s="1255"/>
      <c r="D89" s="1254"/>
    </row>
    <row r="90" spans="1:4" ht="15" x14ac:dyDescent="0.2">
      <c r="A90" s="1242"/>
      <c r="B90" s="1241"/>
      <c r="C90" s="1240"/>
      <c r="D90" s="1215"/>
    </row>
    <row r="91" spans="1:4" ht="14.25" x14ac:dyDescent="0.2">
      <c r="A91" s="1250" t="s">
        <v>374</v>
      </c>
      <c r="B91" s="1249">
        <f>B98</f>
        <v>600</v>
      </c>
      <c r="C91" s="1248">
        <f>C98</f>
        <v>600</v>
      </c>
      <c r="D91" s="1247">
        <f>D93+D98</f>
        <v>3016</v>
      </c>
    </row>
    <row r="92" spans="1:4" ht="15" x14ac:dyDescent="0.2">
      <c r="A92" s="1250"/>
      <c r="B92" s="1249"/>
      <c r="C92" s="1248"/>
      <c r="D92" s="1215"/>
    </row>
    <row r="93" spans="1:4" ht="14.25" x14ac:dyDescent="0.2">
      <c r="A93" s="1253" t="s">
        <v>867</v>
      </c>
      <c r="B93" s="1249"/>
      <c r="C93" s="1248"/>
      <c r="D93" s="1243">
        <f>SUM(D94:D96)</f>
        <v>2416</v>
      </c>
    </row>
    <row r="94" spans="1:4" ht="15" x14ac:dyDescent="0.2">
      <c r="A94" s="1252" t="s">
        <v>877</v>
      </c>
      <c r="B94" s="1249"/>
      <c r="C94" s="1248"/>
      <c r="D94" s="1215">
        <v>1260</v>
      </c>
    </row>
    <row r="95" spans="1:4" ht="15" x14ac:dyDescent="0.2">
      <c r="A95" s="1251" t="s">
        <v>876</v>
      </c>
      <c r="B95" s="1249"/>
      <c r="C95" s="1248"/>
      <c r="D95" s="1215">
        <v>366</v>
      </c>
    </row>
    <row r="96" spans="1:4" ht="15" x14ac:dyDescent="0.2">
      <c r="A96" s="1251" t="s">
        <v>875</v>
      </c>
      <c r="B96" s="1249"/>
      <c r="C96" s="1248"/>
      <c r="D96" s="1215">
        <v>790</v>
      </c>
    </row>
    <row r="97" spans="1:4" ht="15" x14ac:dyDescent="0.2">
      <c r="A97" s="1251"/>
      <c r="B97" s="1249"/>
      <c r="C97" s="1248"/>
      <c r="D97" s="1215"/>
    </row>
    <row r="98" spans="1:4" ht="28.5" x14ac:dyDescent="0.2">
      <c r="A98" s="1246" t="s">
        <v>874</v>
      </c>
      <c r="B98" s="1245">
        <f>SUM(B99:B100)</f>
        <v>600</v>
      </c>
      <c r="C98" s="1244">
        <f>SUM(C99:C100)</f>
        <v>600</v>
      </c>
      <c r="D98" s="1243">
        <f>SUM(D99:D100)</f>
        <v>600</v>
      </c>
    </row>
    <row r="99" spans="1:4" ht="15" x14ac:dyDescent="0.2">
      <c r="A99" s="1242" t="s">
        <v>873</v>
      </c>
      <c r="B99" s="1241">
        <v>600</v>
      </c>
      <c r="C99" s="1240">
        <v>600</v>
      </c>
      <c r="D99" s="1215">
        <v>600</v>
      </c>
    </row>
    <row r="100" spans="1:4" ht="15" x14ac:dyDescent="0.2">
      <c r="A100" s="1242"/>
      <c r="B100" s="1241"/>
      <c r="C100" s="1240"/>
      <c r="D100" s="1215"/>
    </row>
    <row r="101" spans="1:4" ht="14.25" x14ac:dyDescent="0.2">
      <c r="A101" s="1250" t="s">
        <v>872</v>
      </c>
      <c r="B101" s="1249">
        <f>SUM(B102)</f>
        <v>3706</v>
      </c>
      <c r="C101" s="1248">
        <f>SUM(C102)</f>
        <v>3706</v>
      </c>
      <c r="D101" s="1247">
        <f>SUM(D102)</f>
        <v>6205</v>
      </c>
    </row>
    <row r="102" spans="1:4" ht="14.25" x14ac:dyDescent="0.2">
      <c r="A102" s="1246" t="s">
        <v>867</v>
      </c>
      <c r="B102" s="1245">
        <f>SUM(B103)</f>
        <v>3706</v>
      </c>
      <c r="C102" s="1244">
        <f>SUM(C103)</f>
        <v>3706</v>
      </c>
      <c r="D102" s="1243">
        <f>SUM(D103:D104)</f>
        <v>6205</v>
      </c>
    </row>
    <row r="103" spans="1:4" ht="15" x14ac:dyDescent="0.2">
      <c r="A103" s="1242" t="s">
        <v>871</v>
      </c>
      <c r="B103" s="1241">
        <v>3706</v>
      </c>
      <c r="C103" s="1240">
        <v>3706</v>
      </c>
      <c r="D103" s="1215">
        <v>6205</v>
      </c>
    </row>
    <row r="104" spans="1:4" ht="15" x14ac:dyDescent="0.2">
      <c r="A104" s="1242"/>
      <c r="B104" s="1241"/>
      <c r="C104" s="1240"/>
      <c r="D104" s="1215"/>
    </row>
    <row r="105" spans="1:4" s="1130" customFormat="1" ht="14.25" x14ac:dyDescent="0.2">
      <c r="A105" s="1250" t="s">
        <v>870</v>
      </c>
      <c r="B105" s="1249">
        <f>SUM(B106)</f>
        <v>8128</v>
      </c>
      <c r="C105" s="1248">
        <f>SUM(C106)</f>
        <v>9428</v>
      </c>
      <c r="D105" s="1247">
        <f>SUM(D107)</f>
        <v>9428</v>
      </c>
    </row>
    <row r="106" spans="1:4" ht="14.25" x14ac:dyDescent="0.2">
      <c r="A106" s="1246" t="s">
        <v>867</v>
      </c>
      <c r="B106" s="1245">
        <f>SUM(B107)</f>
        <v>8128</v>
      </c>
      <c r="C106" s="1244">
        <f>SUM(C107)</f>
        <v>9428</v>
      </c>
      <c r="D106" s="1243">
        <f>SUM(D107)</f>
        <v>9428</v>
      </c>
    </row>
    <row r="107" spans="1:4" s="1129" customFormat="1" ht="15" x14ac:dyDescent="0.2">
      <c r="A107" s="1242" t="s">
        <v>869</v>
      </c>
      <c r="B107" s="1241">
        <v>8128</v>
      </c>
      <c r="C107" s="1240">
        <v>9428</v>
      </c>
      <c r="D107" s="1215">
        <v>9428</v>
      </c>
    </row>
    <row r="108" spans="1:4" ht="15" x14ac:dyDescent="0.2">
      <c r="A108" s="1242"/>
      <c r="B108" s="1241"/>
      <c r="C108" s="1240"/>
      <c r="D108" s="1215"/>
    </row>
    <row r="109" spans="1:4" ht="14.25" x14ac:dyDescent="0.2">
      <c r="A109" s="1250" t="s">
        <v>868</v>
      </c>
      <c r="B109" s="1249">
        <f>SUM(B110)</f>
        <v>5332</v>
      </c>
      <c r="C109" s="1248">
        <f>SUM(C110)</f>
        <v>7831</v>
      </c>
      <c r="D109" s="1247">
        <f>SUM(D110)</f>
        <v>5982</v>
      </c>
    </row>
    <row r="110" spans="1:4" s="1132" customFormat="1" ht="14.25" x14ac:dyDescent="0.2">
      <c r="A110" s="1246" t="s">
        <v>867</v>
      </c>
      <c r="B110" s="1245">
        <f>SUM(B111)</f>
        <v>5332</v>
      </c>
      <c r="C110" s="1244">
        <f>SUM(C111)</f>
        <v>7831</v>
      </c>
      <c r="D110" s="1243">
        <f>SUM(D111:D112)</f>
        <v>5982</v>
      </c>
    </row>
    <row r="111" spans="1:4" ht="15" x14ac:dyDescent="0.2">
      <c r="A111" s="1242" t="s">
        <v>866</v>
      </c>
      <c r="B111" s="1241">
        <v>5332</v>
      </c>
      <c r="C111" s="1240">
        <v>7831</v>
      </c>
      <c r="D111" s="1215">
        <v>5982</v>
      </c>
    </row>
    <row r="112" spans="1:4" s="1132" customFormat="1" ht="15" x14ac:dyDescent="0.2">
      <c r="A112" s="1242"/>
      <c r="B112" s="1241"/>
      <c r="C112" s="1240"/>
      <c r="D112" s="1236"/>
    </row>
    <row r="113" spans="1:4" ht="15" x14ac:dyDescent="0.2">
      <c r="A113" s="1239" t="s">
        <v>865</v>
      </c>
      <c r="B113" s="1238">
        <f>B101+B105+B109</f>
        <v>17166</v>
      </c>
      <c r="C113" s="1237">
        <f>C101+C105+C109</f>
        <v>20965</v>
      </c>
      <c r="D113" s="1236">
        <f>SUM(D93+D102+D106+D110)</f>
        <v>24031</v>
      </c>
    </row>
    <row r="114" spans="1:4" ht="15.75" customHeight="1" x14ac:dyDescent="0.2">
      <c r="A114" s="1242"/>
      <c r="B114" s="1241"/>
      <c r="C114" s="1240"/>
      <c r="D114" s="1215"/>
    </row>
    <row r="115" spans="1:4" ht="15" x14ac:dyDescent="0.2">
      <c r="A115" s="1239" t="s">
        <v>864</v>
      </c>
      <c r="B115" s="1238">
        <f>B91</f>
        <v>600</v>
      </c>
      <c r="C115" s="1237">
        <f>C91</f>
        <v>600</v>
      </c>
      <c r="D115" s="1236">
        <f>D98</f>
        <v>600</v>
      </c>
    </row>
    <row r="116" spans="1:4" ht="15.75" thickBot="1" x14ac:dyDescent="0.25">
      <c r="A116" s="1235"/>
      <c r="B116" s="1234"/>
      <c r="C116" s="1233"/>
      <c r="D116" s="1232"/>
    </row>
    <row r="117" spans="1:4" ht="43.5" thickBot="1" x14ac:dyDescent="0.25">
      <c r="A117" s="1231" t="s">
        <v>863</v>
      </c>
      <c r="B117" s="1230">
        <f>SUM(B113,B115)</f>
        <v>17766</v>
      </c>
      <c r="C117" s="1229">
        <f>SUM(C113,C115)</f>
        <v>21565</v>
      </c>
      <c r="D117" s="1228">
        <f>D113+D115</f>
        <v>24631</v>
      </c>
    </row>
  </sheetData>
  <mergeCells count="1">
    <mergeCell ref="A1:D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78" firstPageNumber="0" fitToHeight="0" orientation="portrait" r:id="rId1"/>
  <headerFooter alignWithMargins="0">
    <oddHeader xml:space="preserve">&amp;L11. melléklet a 28/2017.(XII.21.) önkormányzati rendelethez
11. melléklet a 24/2016.(XII.16.)  önkormányzati rendelethez
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43"/>
  <sheetViews>
    <sheetView view="pageBreakPreview" topLeftCell="A16" zoomScaleNormal="79" zoomScaleSheetLayoutView="100" workbookViewId="0">
      <selection activeCell="G19" sqref="G19"/>
    </sheetView>
  </sheetViews>
  <sheetFormatPr defaultRowHeight="12.75" x14ac:dyDescent="0.2"/>
  <cols>
    <col min="1" max="1" width="46.85546875" style="34" customWidth="1"/>
    <col min="2" max="2" width="22.5703125" style="34" customWidth="1"/>
    <col min="3" max="3" width="20.85546875" style="34" customWidth="1"/>
    <col min="4" max="4" width="22.5703125" style="34" customWidth="1"/>
    <col min="5" max="16384" width="9.140625" style="34"/>
  </cols>
  <sheetData>
    <row r="1" spans="1:4" ht="17.25" customHeight="1" x14ac:dyDescent="0.2">
      <c r="A1" s="1512" t="s">
        <v>99</v>
      </c>
      <c r="B1" s="1512"/>
      <c r="C1" s="1512"/>
      <c r="D1" s="1512"/>
    </row>
    <row r="2" spans="1:4" ht="14.25" customHeight="1" thickBot="1" x14ac:dyDescent="0.3">
      <c r="A2" s="35"/>
      <c r="B2" s="36"/>
    </row>
    <row r="3" spans="1:4" ht="27.75" customHeight="1" thickBot="1" x14ac:dyDescent="0.25">
      <c r="A3" s="1507" t="s">
        <v>100</v>
      </c>
      <c r="B3" s="1336" t="s">
        <v>101</v>
      </c>
      <c r="C3" s="1337" t="s">
        <v>101</v>
      </c>
      <c r="D3" s="1337" t="s">
        <v>101</v>
      </c>
    </row>
    <row r="4" spans="1:4" ht="15" customHeight="1" thickBot="1" x14ac:dyDescent="0.25">
      <c r="A4" s="1508"/>
      <c r="B4" s="1338" t="s">
        <v>3</v>
      </c>
      <c r="C4" s="1339" t="s">
        <v>225</v>
      </c>
      <c r="D4" s="1339" t="s">
        <v>235</v>
      </c>
    </row>
    <row r="5" spans="1:4" ht="15" customHeight="1" x14ac:dyDescent="0.2">
      <c r="A5" s="1340" t="s">
        <v>102</v>
      </c>
      <c r="B5" s="1324">
        <v>22</v>
      </c>
      <c r="C5" s="1325">
        <v>22</v>
      </c>
      <c r="D5" s="1325">
        <v>22</v>
      </c>
    </row>
    <row r="6" spans="1:4" ht="15" customHeight="1" x14ac:dyDescent="0.2">
      <c r="A6" s="1326" t="s">
        <v>103</v>
      </c>
      <c r="B6" s="1322">
        <v>18.75</v>
      </c>
      <c r="C6" s="365">
        <v>18.75</v>
      </c>
      <c r="D6" s="365">
        <v>18.75</v>
      </c>
    </row>
    <row r="7" spans="1:4" ht="15" customHeight="1" x14ac:dyDescent="0.2">
      <c r="A7" s="1326" t="s">
        <v>104</v>
      </c>
      <c r="B7" s="1322">
        <v>3.5</v>
      </c>
      <c r="C7" s="365">
        <v>3.5</v>
      </c>
      <c r="D7" s="365">
        <v>3.5</v>
      </c>
    </row>
    <row r="8" spans="1:4" s="37" customFormat="1" ht="15" customHeight="1" x14ac:dyDescent="0.2">
      <c r="A8" s="1341" t="s">
        <v>105</v>
      </c>
      <c r="B8" s="1342">
        <f>SUM(B6:B7)</f>
        <v>22.25</v>
      </c>
      <c r="C8" s="366">
        <f>SUM(C6:C7)</f>
        <v>22.25</v>
      </c>
      <c r="D8" s="366">
        <f>SUM(D6:D7)</f>
        <v>22.25</v>
      </c>
    </row>
    <row r="9" spans="1:4" ht="15" customHeight="1" x14ac:dyDescent="0.2">
      <c r="A9" s="1326" t="s">
        <v>106</v>
      </c>
      <c r="B9" s="1322">
        <v>23</v>
      </c>
      <c r="C9" s="365">
        <v>23</v>
      </c>
      <c r="D9" s="365">
        <v>23</v>
      </c>
    </row>
    <row r="10" spans="1:4" ht="15" customHeight="1" x14ac:dyDescent="0.2">
      <c r="A10" s="1326" t="s">
        <v>107</v>
      </c>
      <c r="B10" s="1322">
        <v>13</v>
      </c>
      <c r="C10" s="365">
        <v>13</v>
      </c>
      <c r="D10" s="365">
        <v>13</v>
      </c>
    </row>
    <row r="11" spans="1:4" ht="15" customHeight="1" x14ac:dyDescent="0.2">
      <c r="A11" s="1326" t="s">
        <v>108</v>
      </c>
      <c r="B11" s="1322">
        <v>18</v>
      </c>
      <c r="C11" s="365">
        <v>18</v>
      </c>
      <c r="D11" s="365">
        <v>18</v>
      </c>
    </row>
    <row r="12" spans="1:4" ht="15" customHeight="1" x14ac:dyDescent="0.2">
      <c r="A12" s="1326" t="s">
        <v>109</v>
      </c>
      <c r="B12" s="1322">
        <v>7</v>
      </c>
      <c r="C12" s="365">
        <v>7</v>
      </c>
      <c r="D12" s="365">
        <v>7</v>
      </c>
    </row>
    <row r="13" spans="1:4" s="37" customFormat="1" ht="15" customHeight="1" x14ac:dyDescent="0.2">
      <c r="A13" s="1341" t="s">
        <v>110</v>
      </c>
      <c r="B13" s="1342">
        <f>SUM(B11:B12)</f>
        <v>25</v>
      </c>
      <c r="C13" s="366">
        <f>SUM(C11:C12)</f>
        <v>25</v>
      </c>
      <c r="D13" s="366">
        <f>SUM(D11:D12)</f>
        <v>25</v>
      </c>
    </row>
    <row r="14" spans="1:4" s="37" customFormat="1" ht="15" customHeight="1" x14ac:dyDescent="0.2">
      <c r="A14" s="1341" t="s">
        <v>111</v>
      </c>
      <c r="B14" s="1342">
        <f>SUM(B5,B8,B9,B10,B13)</f>
        <v>105.25</v>
      </c>
      <c r="C14" s="366">
        <f>SUM(C5,C8,C9,C10,C13)</f>
        <v>105.25</v>
      </c>
      <c r="D14" s="366">
        <f>SUM(D5,D8,D9,D10,D13)</f>
        <v>105.25</v>
      </c>
    </row>
    <row r="15" spans="1:4" ht="15" customHeight="1" x14ac:dyDescent="0.2">
      <c r="A15" s="1326" t="s">
        <v>112</v>
      </c>
      <c r="B15" s="1322">
        <v>39.5</v>
      </c>
      <c r="C15" s="365">
        <v>39.5</v>
      </c>
      <c r="D15" s="365">
        <v>39.5</v>
      </c>
    </row>
    <row r="16" spans="1:4" ht="15.75" customHeight="1" x14ac:dyDescent="0.2">
      <c r="A16" s="1326" t="s">
        <v>113</v>
      </c>
      <c r="B16" s="1322">
        <v>9.5</v>
      </c>
      <c r="C16" s="365">
        <v>9.5</v>
      </c>
      <c r="D16" s="365">
        <v>9.5</v>
      </c>
    </row>
    <row r="17" spans="1:4" ht="15" customHeight="1" x14ac:dyDescent="0.2">
      <c r="A17" s="1326" t="s">
        <v>114</v>
      </c>
      <c r="B17" s="1322">
        <v>14.5</v>
      </c>
      <c r="C17" s="365">
        <v>14.5</v>
      </c>
      <c r="D17" s="365">
        <v>14.5</v>
      </c>
    </row>
    <row r="18" spans="1:4" ht="15" customHeight="1" x14ac:dyDescent="0.2">
      <c r="A18" s="1326" t="s">
        <v>115</v>
      </c>
      <c r="B18" s="1322">
        <v>11</v>
      </c>
      <c r="C18" s="365">
        <v>10</v>
      </c>
      <c r="D18" s="365">
        <v>10</v>
      </c>
    </row>
    <row r="19" spans="1:4" ht="15" customHeight="1" x14ac:dyDescent="0.2">
      <c r="A19" s="1343" t="s">
        <v>97</v>
      </c>
      <c r="B19" s="1322">
        <v>42</v>
      </c>
      <c r="C19" s="365">
        <v>42</v>
      </c>
      <c r="D19" s="365">
        <v>42</v>
      </c>
    </row>
    <row r="20" spans="1:4" s="38" customFormat="1" ht="15" customHeight="1" x14ac:dyDescent="0.2">
      <c r="A20" s="1344" t="s">
        <v>116</v>
      </c>
      <c r="B20" s="1345">
        <f>SUM(B14,B15,B16,B17,B18,B19)</f>
        <v>221.75</v>
      </c>
      <c r="C20" s="367">
        <f>SUM(C14,C15,C16,C17,C18,C19)</f>
        <v>220.75</v>
      </c>
      <c r="D20" s="367">
        <f>SUM(D14,D15,D16,D17,D18,D19)</f>
        <v>220.75</v>
      </c>
    </row>
    <row r="21" spans="1:4" ht="15" customHeight="1" thickBot="1" x14ac:dyDescent="0.25">
      <c r="A21" s="1346" t="s">
        <v>117</v>
      </c>
      <c r="B21" s="1347">
        <f>SUM(B20)</f>
        <v>221.75</v>
      </c>
      <c r="C21" s="1348">
        <f>SUM(C20)</f>
        <v>220.75</v>
      </c>
      <c r="D21" s="1348">
        <f>SUM(D20)</f>
        <v>220.75</v>
      </c>
    </row>
    <row r="22" spans="1:4" ht="15" customHeight="1" thickBot="1" x14ac:dyDescent="0.25">
      <c r="A22" s="1334"/>
      <c r="B22" s="1335"/>
      <c r="C22" s="1335"/>
      <c r="D22" s="1335"/>
    </row>
    <row r="23" spans="1:4" ht="15" customHeight="1" x14ac:dyDescent="0.2">
      <c r="A23" s="1323" t="s">
        <v>70</v>
      </c>
      <c r="B23" s="1324"/>
      <c r="C23" s="1325"/>
      <c r="D23" s="1325"/>
    </row>
    <row r="24" spans="1:4" ht="15" customHeight="1" x14ac:dyDescent="0.2">
      <c r="A24" s="1326" t="s">
        <v>118</v>
      </c>
      <c r="B24" s="1327">
        <v>89</v>
      </c>
      <c r="C24" s="369">
        <v>83</v>
      </c>
      <c r="D24" s="369">
        <v>83</v>
      </c>
    </row>
    <row r="25" spans="1:4" ht="15" customHeight="1" x14ac:dyDescent="0.2">
      <c r="A25" s="1328" t="s">
        <v>119</v>
      </c>
      <c r="B25" s="1322">
        <v>5</v>
      </c>
      <c r="C25" s="365">
        <v>5</v>
      </c>
      <c r="D25" s="365">
        <v>5</v>
      </c>
    </row>
    <row r="26" spans="1:4" ht="15" customHeight="1" x14ac:dyDescent="0.2">
      <c r="A26" s="1326" t="s">
        <v>120</v>
      </c>
      <c r="B26" s="1322">
        <v>3</v>
      </c>
      <c r="C26" s="365">
        <v>3</v>
      </c>
      <c r="D26" s="365">
        <v>3</v>
      </c>
    </row>
    <row r="27" spans="1:4" ht="15" customHeight="1" x14ac:dyDescent="0.2">
      <c r="A27" s="1326" t="s">
        <v>121</v>
      </c>
      <c r="B27" s="1322">
        <v>6</v>
      </c>
      <c r="C27" s="365">
        <v>6</v>
      </c>
      <c r="D27" s="365">
        <v>6</v>
      </c>
    </row>
    <row r="28" spans="1:4" ht="15" customHeight="1" x14ac:dyDescent="0.2">
      <c r="A28" s="1329" t="s">
        <v>122</v>
      </c>
      <c r="B28" s="1330">
        <f>SUM(B24:B27)</f>
        <v>103</v>
      </c>
      <c r="C28" s="368">
        <f>SUM(C24:C27)</f>
        <v>97</v>
      </c>
      <c r="D28" s="368">
        <f>SUM(D24:D27)</f>
        <v>97</v>
      </c>
    </row>
    <row r="29" spans="1:4" ht="15" customHeight="1" x14ac:dyDescent="0.2">
      <c r="A29" s="1329"/>
      <c r="B29" s="1322"/>
      <c r="C29" s="365"/>
      <c r="D29" s="365"/>
    </row>
    <row r="30" spans="1:4" ht="15" customHeight="1" x14ac:dyDescent="0.2">
      <c r="A30" s="1329" t="s">
        <v>123</v>
      </c>
      <c r="B30" s="1330">
        <v>2</v>
      </c>
      <c r="C30" s="368">
        <v>2</v>
      </c>
      <c r="D30" s="368">
        <v>2</v>
      </c>
    </row>
    <row r="31" spans="1:4" ht="15" customHeight="1" thickBot="1" x14ac:dyDescent="0.25">
      <c r="A31" s="370"/>
      <c r="B31" s="371"/>
      <c r="C31" s="372"/>
      <c r="D31" s="372"/>
    </row>
    <row r="32" spans="1:4" ht="15" customHeight="1" thickBot="1" x14ac:dyDescent="0.25">
      <c r="A32" s="1331" t="s">
        <v>61</v>
      </c>
      <c r="B32" s="1332">
        <f>SUM(B21+B28+B30)</f>
        <v>326.75</v>
      </c>
      <c r="C32" s="1333">
        <f>SUM(C21+C28+C30)</f>
        <v>319.75</v>
      </c>
      <c r="D32" s="1333">
        <f>SUM(D21+D28+D30)</f>
        <v>319.75</v>
      </c>
    </row>
    <row r="33" spans="1:4" ht="18.75" x14ac:dyDescent="0.3">
      <c r="A33" s="39"/>
      <c r="B33" s="40"/>
    </row>
    <row r="34" spans="1:4" ht="15.75" x14ac:dyDescent="0.25">
      <c r="A34" s="41"/>
    </row>
    <row r="35" spans="1:4" x14ac:dyDescent="0.2">
      <c r="A35" s="1511" t="s">
        <v>124</v>
      </c>
      <c r="B35" s="1511"/>
      <c r="C35" s="1511"/>
      <c r="D35" s="1511"/>
    </row>
    <row r="36" spans="1:4" ht="13.5" thickBot="1" x14ac:dyDescent="0.25"/>
    <row r="37" spans="1:4" ht="13.5" thickBot="1" x14ac:dyDescent="0.25">
      <c r="A37" s="1509" t="s">
        <v>2</v>
      </c>
      <c r="B37" s="360" t="s">
        <v>125</v>
      </c>
      <c r="C37" s="132" t="s">
        <v>214</v>
      </c>
      <c r="D37" s="132" t="s">
        <v>214</v>
      </c>
    </row>
    <row r="38" spans="1:4" ht="15.75" customHeight="1" thickBot="1" x14ac:dyDescent="0.25">
      <c r="A38" s="1510"/>
      <c r="B38" s="361" t="s">
        <v>3</v>
      </c>
      <c r="C38" s="133" t="s">
        <v>225</v>
      </c>
      <c r="D38" s="509" t="s">
        <v>234</v>
      </c>
    </row>
    <row r="39" spans="1:4" x14ac:dyDescent="0.2">
      <c r="A39" s="131" t="s">
        <v>126</v>
      </c>
      <c r="B39" s="362">
        <v>135</v>
      </c>
      <c r="C39" s="364">
        <v>135</v>
      </c>
      <c r="D39" s="364">
        <v>135</v>
      </c>
    </row>
    <row r="40" spans="1:4" s="38" customFormat="1" ht="13.5" thickBot="1" x14ac:dyDescent="0.25">
      <c r="A40" s="130" t="s">
        <v>127</v>
      </c>
      <c r="B40" s="363">
        <f>SUM(B39)</f>
        <v>135</v>
      </c>
      <c r="C40" s="134">
        <f>SUM(C39)</f>
        <v>135</v>
      </c>
      <c r="D40" s="134">
        <f>SUM(D39)</f>
        <v>135</v>
      </c>
    </row>
    <row r="43" spans="1:4" ht="25.5" customHeight="1" x14ac:dyDescent="0.2"/>
  </sheetData>
  <sheetProtection selectLockedCells="1" selectUnlockedCells="1"/>
  <mergeCells count="4">
    <mergeCell ref="A3:A4"/>
    <mergeCell ref="A37:A38"/>
    <mergeCell ref="A35:D35"/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rstPageNumber="0" orientation="portrait" horizontalDpi="300" verticalDpi="300" r:id="rId1"/>
  <headerFooter alignWithMargins="0">
    <oddHeader xml:space="preserve">&amp;L12. melléklet a 28/2017.(XII.21.)önkormányzati rendelethez
12. melléklet a 24/2016.(XII.16.)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zoomScaleNormal="100" workbookViewId="0">
      <pane xSplit="2" topLeftCell="E1" activePane="topRight" state="frozen"/>
      <selection activeCell="L33" sqref="L33"/>
      <selection pane="topRight" activeCell="F37" sqref="F37:F38"/>
    </sheetView>
  </sheetViews>
  <sheetFormatPr defaultRowHeight="12.75" x14ac:dyDescent="0.2"/>
  <cols>
    <col min="2" max="2" width="18.85546875" customWidth="1"/>
    <col min="3" max="5" width="14.28515625" customWidth="1"/>
    <col min="6" max="6" width="15" customWidth="1"/>
    <col min="7" max="11" width="15.42578125" customWidth="1"/>
    <col min="12" max="12" width="14.140625" customWidth="1"/>
    <col min="13" max="13" width="14.5703125" customWidth="1"/>
    <col min="14" max="14" width="12.140625" customWidth="1"/>
  </cols>
  <sheetData>
    <row r="2" spans="1:14" x14ac:dyDescent="0.2">
      <c r="A2" s="1513" t="s">
        <v>154</v>
      </c>
      <c r="B2" s="1513"/>
      <c r="C2" s="1513"/>
      <c r="D2" s="1513"/>
      <c r="E2" s="1513"/>
      <c r="F2" s="1513"/>
      <c r="G2" s="1513"/>
      <c r="H2" s="1513"/>
      <c r="I2" s="1513"/>
      <c r="J2" s="1513"/>
      <c r="K2" s="1513"/>
      <c r="L2" s="1513"/>
      <c r="M2" s="1513"/>
    </row>
    <row r="3" spans="1:14" x14ac:dyDescent="0.2">
      <c r="A3" s="1514" t="s">
        <v>155</v>
      </c>
      <c r="B3" s="1514"/>
      <c r="C3" s="1514"/>
      <c r="D3" s="1514"/>
      <c r="E3" s="1514"/>
      <c r="F3" s="1514"/>
      <c r="G3" s="1514"/>
      <c r="H3" s="1514"/>
      <c r="I3" s="1514"/>
      <c r="J3" s="1514"/>
      <c r="K3" s="1514"/>
      <c r="L3" s="1514"/>
      <c r="M3" s="1514"/>
    </row>
    <row r="4" spans="1:14" ht="13.5" thickBot="1" x14ac:dyDescent="0.25">
      <c r="A4" s="1517"/>
      <c r="B4" s="1518"/>
      <c r="C4" s="1518"/>
      <c r="D4" s="1518"/>
      <c r="E4" s="1518"/>
      <c r="F4" s="1518"/>
      <c r="G4" s="1518"/>
      <c r="H4" s="1518"/>
      <c r="I4" s="1518"/>
      <c r="J4" s="1518"/>
      <c r="K4" s="1518"/>
      <c r="L4" s="1519"/>
      <c r="M4" s="1349"/>
    </row>
    <row r="5" spans="1:14" ht="12.75" customHeight="1" thickBot="1" x14ac:dyDescent="0.25">
      <c r="A5" s="1520" t="s">
        <v>2</v>
      </c>
      <c r="B5" s="1521"/>
      <c r="C5" s="1526" t="s">
        <v>173</v>
      </c>
      <c r="D5" s="1527"/>
      <c r="E5" s="1528"/>
      <c r="F5" s="1526" t="s">
        <v>174</v>
      </c>
      <c r="G5" s="1527"/>
      <c r="H5" s="1528"/>
      <c r="I5" s="1524" t="s">
        <v>233</v>
      </c>
      <c r="J5" s="1525"/>
      <c r="K5" s="1525"/>
      <c r="L5" s="1529" t="s">
        <v>98</v>
      </c>
      <c r="M5" s="1527"/>
      <c r="N5" s="1530"/>
    </row>
    <row r="6" spans="1:14" ht="12.75" customHeight="1" thickBot="1" x14ac:dyDescent="0.25">
      <c r="A6" s="375"/>
      <c r="B6" s="596"/>
      <c r="C6" s="601" t="s">
        <v>3</v>
      </c>
      <c r="D6" s="601" t="s">
        <v>225</v>
      </c>
      <c r="E6" s="519" t="s">
        <v>235</v>
      </c>
      <c r="F6" s="601" t="s">
        <v>3</v>
      </c>
      <c r="G6" s="601" t="s">
        <v>225</v>
      </c>
      <c r="H6" s="519" t="s">
        <v>235</v>
      </c>
      <c r="I6" s="601" t="s">
        <v>3</v>
      </c>
      <c r="J6" s="601" t="s">
        <v>225</v>
      </c>
      <c r="K6" s="519" t="s">
        <v>235</v>
      </c>
      <c r="L6" s="601" t="s">
        <v>3</v>
      </c>
      <c r="M6" s="601" t="s">
        <v>225</v>
      </c>
      <c r="N6" s="607" t="s">
        <v>235</v>
      </c>
    </row>
    <row r="7" spans="1:14" x14ac:dyDescent="0.2">
      <c r="A7" s="1522" t="s">
        <v>156</v>
      </c>
      <c r="B7" s="1523"/>
      <c r="C7" s="602">
        <v>131363</v>
      </c>
      <c r="D7" s="376">
        <v>140121</v>
      </c>
      <c r="E7" s="376">
        <v>140121</v>
      </c>
      <c r="F7" s="602">
        <v>572150</v>
      </c>
      <c r="G7" s="376">
        <v>572581</v>
      </c>
      <c r="H7" s="376">
        <v>572581</v>
      </c>
      <c r="I7" s="376"/>
      <c r="J7" s="376">
        <v>572581</v>
      </c>
      <c r="K7" s="376">
        <v>572581</v>
      </c>
      <c r="L7" s="377">
        <f t="shared" ref="L7:L30" si="0">C7+F7</f>
        <v>703513</v>
      </c>
      <c r="M7" s="608">
        <f t="shared" ref="M7:M30" si="1">SUM(D7+G7+J7)</f>
        <v>1285283</v>
      </c>
      <c r="N7" s="609">
        <f>E7+H7+K7</f>
        <v>1285283</v>
      </c>
    </row>
    <row r="8" spans="1:14" x14ac:dyDescent="0.2">
      <c r="A8" s="373"/>
      <c r="B8" s="597" t="s">
        <v>157</v>
      </c>
      <c r="C8" s="603">
        <v>35030</v>
      </c>
      <c r="D8" s="599">
        <v>43788</v>
      </c>
      <c r="E8" s="599">
        <v>43788</v>
      </c>
      <c r="F8" s="603">
        <v>71519</v>
      </c>
      <c r="G8" s="599">
        <v>572581</v>
      </c>
      <c r="H8" s="599">
        <v>572581</v>
      </c>
      <c r="I8" s="455"/>
      <c r="J8" s="455">
        <v>71573</v>
      </c>
      <c r="K8" s="455">
        <v>71573</v>
      </c>
      <c r="L8" s="378">
        <f t="shared" si="0"/>
        <v>106549</v>
      </c>
      <c r="M8" s="610">
        <f t="shared" si="1"/>
        <v>687942</v>
      </c>
      <c r="N8" s="609">
        <f t="shared" ref="N8:N30" si="2">E8+H8+K8</f>
        <v>687942</v>
      </c>
    </row>
    <row r="9" spans="1:14" x14ac:dyDescent="0.2">
      <c r="A9" s="373"/>
      <c r="B9" s="597" t="s">
        <v>158</v>
      </c>
      <c r="C9" s="603">
        <v>2036</v>
      </c>
      <c r="D9" s="599">
        <v>2256</v>
      </c>
      <c r="E9" s="599">
        <v>2256</v>
      </c>
      <c r="F9" s="603">
        <v>12025</v>
      </c>
      <c r="G9" s="599">
        <v>4376</v>
      </c>
      <c r="H9" s="599">
        <v>4376</v>
      </c>
      <c r="I9" s="455"/>
      <c r="J9" s="455">
        <v>5578</v>
      </c>
      <c r="K9" s="455">
        <v>5578</v>
      </c>
      <c r="L9" s="378">
        <f t="shared" si="0"/>
        <v>14061</v>
      </c>
      <c r="M9" s="610">
        <f t="shared" si="1"/>
        <v>12210</v>
      </c>
      <c r="N9" s="609">
        <f t="shared" si="2"/>
        <v>12210</v>
      </c>
    </row>
    <row r="10" spans="1:14" x14ac:dyDescent="0.2">
      <c r="A10" s="1515" t="s">
        <v>159</v>
      </c>
      <c r="B10" s="1516"/>
      <c r="C10" s="603">
        <f>C7-C8</f>
        <v>96333</v>
      </c>
      <c r="D10" s="599">
        <v>96333</v>
      </c>
      <c r="E10" s="599">
        <v>96333</v>
      </c>
      <c r="F10" s="603">
        <f t="shared" ref="F10" si="3">F7-F8</f>
        <v>500631</v>
      </c>
      <c r="G10" s="599"/>
      <c r="H10" s="510"/>
      <c r="I10" s="455"/>
      <c r="J10" s="455">
        <v>501008</v>
      </c>
      <c r="K10" s="455">
        <v>501008</v>
      </c>
      <c r="L10" s="378">
        <f t="shared" si="0"/>
        <v>596964</v>
      </c>
      <c r="M10" s="610">
        <f t="shared" si="1"/>
        <v>597341</v>
      </c>
      <c r="N10" s="609">
        <f t="shared" si="2"/>
        <v>597341</v>
      </c>
    </row>
    <row r="11" spans="1:14" x14ac:dyDescent="0.2">
      <c r="A11" s="373"/>
      <c r="B11" s="597" t="s">
        <v>157</v>
      </c>
      <c r="C11" s="603">
        <v>35030</v>
      </c>
      <c r="D11" s="599">
        <v>35030</v>
      </c>
      <c r="E11" s="599">
        <v>35030</v>
      </c>
      <c r="F11" s="603">
        <v>71519</v>
      </c>
      <c r="G11" s="599"/>
      <c r="H11" s="510"/>
      <c r="I11" s="455"/>
      <c r="J11" s="455">
        <v>71573</v>
      </c>
      <c r="K11" s="455">
        <v>71573</v>
      </c>
      <c r="L11" s="378">
        <f t="shared" si="0"/>
        <v>106549</v>
      </c>
      <c r="M11" s="610">
        <f t="shared" si="1"/>
        <v>106603</v>
      </c>
      <c r="N11" s="609">
        <f t="shared" si="2"/>
        <v>106603</v>
      </c>
    </row>
    <row r="12" spans="1:14" x14ac:dyDescent="0.2">
      <c r="A12" s="373"/>
      <c r="B12" s="597" t="s">
        <v>158</v>
      </c>
      <c r="C12" s="603">
        <v>1433</v>
      </c>
      <c r="D12" s="599">
        <v>1121</v>
      </c>
      <c r="E12" s="599">
        <v>1121</v>
      </c>
      <c r="F12" s="603">
        <v>10473</v>
      </c>
      <c r="G12" s="599"/>
      <c r="H12" s="510"/>
      <c r="I12" s="455"/>
      <c r="J12" s="455">
        <v>8670</v>
      </c>
      <c r="K12" s="455">
        <v>8670</v>
      </c>
      <c r="L12" s="378">
        <f t="shared" si="0"/>
        <v>11906</v>
      </c>
      <c r="M12" s="610">
        <f t="shared" si="1"/>
        <v>9791</v>
      </c>
      <c r="N12" s="609">
        <f t="shared" si="2"/>
        <v>9791</v>
      </c>
    </row>
    <row r="13" spans="1:14" x14ac:dyDescent="0.2">
      <c r="A13" s="1515" t="s">
        <v>160</v>
      </c>
      <c r="B13" s="1516"/>
      <c r="C13" s="603">
        <f>C10-C11</f>
        <v>61303</v>
      </c>
      <c r="D13" s="599">
        <v>61303</v>
      </c>
      <c r="E13" s="599">
        <v>61303</v>
      </c>
      <c r="F13" s="603">
        <f t="shared" ref="F13" si="4">F10-F11</f>
        <v>429112</v>
      </c>
      <c r="G13" s="599"/>
      <c r="H13" s="510"/>
      <c r="I13" s="455"/>
      <c r="J13" s="455">
        <v>429435</v>
      </c>
      <c r="K13" s="455">
        <v>429435</v>
      </c>
      <c r="L13" s="378">
        <f t="shared" si="0"/>
        <v>490415</v>
      </c>
      <c r="M13" s="610">
        <f t="shared" si="1"/>
        <v>490738</v>
      </c>
      <c r="N13" s="609">
        <f t="shared" si="2"/>
        <v>490738</v>
      </c>
    </row>
    <row r="14" spans="1:14" x14ac:dyDescent="0.2">
      <c r="A14" s="373"/>
      <c r="B14" s="597" t="s">
        <v>157</v>
      </c>
      <c r="C14" s="603">
        <v>35030</v>
      </c>
      <c r="D14" s="599">
        <v>35030</v>
      </c>
      <c r="E14" s="599">
        <v>35030</v>
      </c>
      <c r="F14" s="603">
        <v>71519</v>
      </c>
      <c r="G14" s="599"/>
      <c r="H14" s="510"/>
      <c r="I14" s="455"/>
      <c r="J14" s="455">
        <v>71573</v>
      </c>
      <c r="K14" s="455">
        <v>71573</v>
      </c>
      <c r="L14" s="378">
        <f t="shared" si="0"/>
        <v>106549</v>
      </c>
      <c r="M14" s="610">
        <f t="shared" si="1"/>
        <v>106603</v>
      </c>
      <c r="N14" s="609">
        <f t="shared" si="2"/>
        <v>106603</v>
      </c>
    </row>
    <row r="15" spans="1:14" x14ac:dyDescent="0.2">
      <c r="A15" s="373"/>
      <c r="B15" s="597" t="s">
        <v>158</v>
      </c>
      <c r="C15" s="603">
        <v>829</v>
      </c>
      <c r="D15" s="599">
        <v>648</v>
      </c>
      <c r="E15" s="599">
        <v>648</v>
      </c>
      <c r="F15" s="603">
        <v>8922</v>
      </c>
      <c r="G15" s="599"/>
      <c r="H15" s="510"/>
      <c r="I15" s="455"/>
      <c r="J15" s="455">
        <v>7387</v>
      </c>
      <c r="K15" s="455">
        <v>7387</v>
      </c>
      <c r="L15" s="378">
        <f t="shared" si="0"/>
        <v>9751</v>
      </c>
      <c r="M15" s="610">
        <f t="shared" si="1"/>
        <v>8035</v>
      </c>
      <c r="N15" s="609">
        <f t="shared" si="2"/>
        <v>8035</v>
      </c>
    </row>
    <row r="16" spans="1:14" x14ac:dyDescent="0.2">
      <c r="A16" s="1515" t="s">
        <v>161</v>
      </c>
      <c r="B16" s="1516"/>
      <c r="C16" s="603">
        <f>C13-C14</f>
        <v>26273</v>
      </c>
      <c r="D16" s="599">
        <v>26273</v>
      </c>
      <c r="E16" s="599">
        <v>26273</v>
      </c>
      <c r="F16" s="603">
        <f t="shared" ref="F16" si="5">F13-F14</f>
        <v>357593</v>
      </c>
      <c r="G16" s="599"/>
      <c r="H16" s="510"/>
      <c r="I16" s="455"/>
      <c r="J16" s="455">
        <v>357862</v>
      </c>
      <c r="K16" s="455">
        <v>357862</v>
      </c>
      <c r="L16" s="378">
        <f t="shared" si="0"/>
        <v>383866</v>
      </c>
      <c r="M16" s="610">
        <f t="shared" si="1"/>
        <v>384135</v>
      </c>
      <c r="N16" s="609">
        <f t="shared" si="2"/>
        <v>384135</v>
      </c>
    </row>
    <row r="17" spans="1:14" x14ac:dyDescent="0.2">
      <c r="A17" s="373"/>
      <c r="B17" s="597" t="s">
        <v>157</v>
      </c>
      <c r="C17" s="603">
        <v>26273</v>
      </c>
      <c r="D17" s="599">
        <v>26273</v>
      </c>
      <c r="E17" s="599">
        <v>26273</v>
      </c>
      <c r="F17" s="603">
        <v>71519</v>
      </c>
      <c r="G17" s="599"/>
      <c r="H17" s="510"/>
      <c r="I17" s="455"/>
      <c r="J17" s="455">
        <v>71573</v>
      </c>
      <c r="K17" s="455">
        <v>71573</v>
      </c>
      <c r="L17" s="378">
        <f t="shared" si="0"/>
        <v>97792</v>
      </c>
      <c r="M17" s="610">
        <f t="shared" si="1"/>
        <v>97846</v>
      </c>
      <c r="N17" s="609">
        <f t="shared" si="2"/>
        <v>97846</v>
      </c>
    </row>
    <row r="18" spans="1:14" x14ac:dyDescent="0.2">
      <c r="A18" s="373"/>
      <c r="B18" s="597" t="s">
        <v>158</v>
      </c>
      <c r="C18" s="603">
        <v>220</v>
      </c>
      <c r="D18" s="599">
        <v>172</v>
      </c>
      <c r="E18" s="599">
        <v>172</v>
      </c>
      <c r="F18" s="603">
        <v>7370</v>
      </c>
      <c r="G18" s="599"/>
      <c r="H18" s="510"/>
      <c r="I18" s="455"/>
      <c r="J18" s="455">
        <v>6103</v>
      </c>
      <c r="K18" s="455">
        <v>6103</v>
      </c>
      <c r="L18" s="378">
        <f t="shared" si="0"/>
        <v>7590</v>
      </c>
      <c r="M18" s="610">
        <f t="shared" si="1"/>
        <v>6275</v>
      </c>
      <c r="N18" s="609">
        <f t="shared" si="2"/>
        <v>6275</v>
      </c>
    </row>
    <row r="19" spans="1:14" x14ac:dyDescent="0.2">
      <c r="A19" s="1515" t="s">
        <v>162</v>
      </c>
      <c r="B19" s="1516"/>
      <c r="C19" s="603"/>
      <c r="D19" s="599"/>
      <c r="E19" s="605"/>
      <c r="F19" s="603">
        <f>F16-F17</f>
        <v>286074</v>
      </c>
      <c r="G19" s="599"/>
      <c r="H19" s="510"/>
      <c r="I19" s="455"/>
      <c r="J19" s="455">
        <v>286289</v>
      </c>
      <c r="K19" s="455">
        <v>286289</v>
      </c>
      <c r="L19" s="378">
        <f t="shared" si="0"/>
        <v>286074</v>
      </c>
      <c r="M19" s="610">
        <f t="shared" si="1"/>
        <v>286289</v>
      </c>
      <c r="N19" s="609">
        <f t="shared" si="2"/>
        <v>286289</v>
      </c>
    </row>
    <row r="20" spans="1:14" x14ac:dyDescent="0.2">
      <c r="A20" s="373"/>
      <c r="B20" s="597" t="s">
        <v>157</v>
      </c>
      <c r="C20" s="603"/>
      <c r="D20" s="599"/>
      <c r="E20" s="605"/>
      <c r="F20" s="603">
        <v>71519</v>
      </c>
      <c r="G20" s="599"/>
      <c r="H20" s="510"/>
      <c r="I20" s="455"/>
      <c r="J20" s="455">
        <v>71573</v>
      </c>
      <c r="K20" s="455">
        <v>71573</v>
      </c>
      <c r="L20" s="378">
        <f t="shared" si="0"/>
        <v>71519</v>
      </c>
      <c r="M20" s="610">
        <f t="shared" si="1"/>
        <v>71573</v>
      </c>
      <c r="N20" s="609">
        <f t="shared" si="2"/>
        <v>71573</v>
      </c>
    </row>
    <row r="21" spans="1:14" x14ac:dyDescent="0.2">
      <c r="A21" s="373"/>
      <c r="B21" s="597" t="s">
        <v>158</v>
      </c>
      <c r="C21" s="603"/>
      <c r="D21" s="599"/>
      <c r="E21" s="605"/>
      <c r="F21" s="603">
        <v>5818</v>
      </c>
      <c r="G21" s="599"/>
      <c r="H21" s="510"/>
      <c r="I21" s="455"/>
      <c r="J21" s="455">
        <v>4820</v>
      </c>
      <c r="K21" s="455">
        <v>4820</v>
      </c>
      <c r="L21" s="378">
        <f t="shared" si="0"/>
        <v>5818</v>
      </c>
      <c r="M21" s="610">
        <f t="shared" si="1"/>
        <v>4820</v>
      </c>
      <c r="N21" s="609">
        <f t="shared" si="2"/>
        <v>4820</v>
      </c>
    </row>
    <row r="22" spans="1:14" x14ac:dyDescent="0.2">
      <c r="A22" s="1515" t="s">
        <v>163</v>
      </c>
      <c r="B22" s="1516"/>
      <c r="C22" s="603"/>
      <c r="D22" s="599"/>
      <c r="E22" s="605"/>
      <c r="F22" s="603">
        <f>F19-F20</f>
        <v>214555</v>
      </c>
      <c r="G22" s="599"/>
      <c r="H22" s="510"/>
      <c r="I22" s="455"/>
      <c r="J22" s="455">
        <v>214716</v>
      </c>
      <c r="K22" s="455">
        <v>214716</v>
      </c>
      <c r="L22" s="378">
        <f t="shared" si="0"/>
        <v>214555</v>
      </c>
      <c r="M22" s="610">
        <f t="shared" si="1"/>
        <v>214716</v>
      </c>
      <c r="N22" s="609">
        <f t="shared" si="2"/>
        <v>214716</v>
      </c>
    </row>
    <row r="23" spans="1:14" x14ac:dyDescent="0.2">
      <c r="A23" s="373"/>
      <c r="B23" s="597" t="s">
        <v>157</v>
      </c>
      <c r="C23" s="603"/>
      <c r="D23" s="599"/>
      <c r="E23" s="605"/>
      <c r="F23" s="603">
        <v>71519</v>
      </c>
      <c r="G23" s="599"/>
      <c r="H23" s="510"/>
      <c r="I23" s="455"/>
      <c r="J23" s="455">
        <v>71573</v>
      </c>
      <c r="K23" s="455">
        <v>71573</v>
      </c>
      <c r="L23" s="378">
        <f t="shared" si="0"/>
        <v>71519</v>
      </c>
      <c r="M23" s="610">
        <f t="shared" si="1"/>
        <v>71573</v>
      </c>
      <c r="N23" s="609">
        <f t="shared" si="2"/>
        <v>71573</v>
      </c>
    </row>
    <row r="24" spans="1:14" x14ac:dyDescent="0.2">
      <c r="A24" s="373"/>
      <c r="B24" s="597" t="s">
        <v>158</v>
      </c>
      <c r="C24" s="603"/>
      <c r="D24" s="599"/>
      <c r="E24" s="605"/>
      <c r="F24" s="603">
        <v>4266</v>
      </c>
      <c r="G24" s="599"/>
      <c r="H24" s="510"/>
      <c r="I24" s="455"/>
      <c r="J24" s="455">
        <v>3536</v>
      </c>
      <c r="K24" s="455">
        <v>3536</v>
      </c>
      <c r="L24" s="378">
        <f t="shared" si="0"/>
        <v>4266</v>
      </c>
      <c r="M24" s="610">
        <f t="shared" si="1"/>
        <v>3536</v>
      </c>
      <c r="N24" s="609">
        <f t="shared" si="2"/>
        <v>3536</v>
      </c>
    </row>
    <row r="25" spans="1:14" x14ac:dyDescent="0.2">
      <c r="A25" s="1515" t="s">
        <v>164</v>
      </c>
      <c r="B25" s="1516"/>
      <c r="C25" s="603"/>
      <c r="D25" s="599"/>
      <c r="E25" s="605"/>
      <c r="F25" s="603">
        <f>F22-F23</f>
        <v>143036</v>
      </c>
      <c r="G25" s="599"/>
      <c r="H25" s="510"/>
      <c r="I25" s="455"/>
      <c r="J25" s="455">
        <v>143143</v>
      </c>
      <c r="K25" s="455">
        <v>143143</v>
      </c>
      <c r="L25" s="378">
        <f t="shared" si="0"/>
        <v>143036</v>
      </c>
      <c r="M25" s="610">
        <f t="shared" si="1"/>
        <v>143143</v>
      </c>
      <c r="N25" s="609">
        <f t="shared" si="2"/>
        <v>143143</v>
      </c>
    </row>
    <row r="26" spans="1:14" x14ac:dyDescent="0.2">
      <c r="A26" s="373"/>
      <c r="B26" s="597" t="s">
        <v>157</v>
      </c>
      <c r="C26" s="603"/>
      <c r="D26" s="599"/>
      <c r="E26" s="605"/>
      <c r="F26" s="603">
        <v>71519</v>
      </c>
      <c r="G26" s="599"/>
      <c r="H26" s="510"/>
      <c r="I26" s="455"/>
      <c r="J26" s="455">
        <v>71573</v>
      </c>
      <c r="K26" s="455">
        <v>71573</v>
      </c>
      <c r="L26" s="378">
        <f t="shared" si="0"/>
        <v>71519</v>
      </c>
      <c r="M26" s="610">
        <f t="shared" si="1"/>
        <v>71573</v>
      </c>
      <c r="N26" s="609">
        <f t="shared" si="2"/>
        <v>71573</v>
      </c>
    </row>
    <row r="27" spans="1:14" x14ac:dyDescent="0.2">
      <c r="A27" s="373"/>
      <c r="B27" s="597" t="s">
        <v>158</v>
      </c>
      <c r="C27" s="603"/>
      <c r="D27" s="599"/>
      <c r="E27" s="605"/>
      <c r="F27" s="603">
        <v>2714</v>
      </c>
      <c r="G27" s="599"/>
      <c r="H27" s="510"/>
      <c r="I27" s="455"/>
      <c r="J27" s="455">
        <v>2253</v>
      </c>
      <c r="K27" s="455">
        <v>2253</v>
      </c>
      <c r="L27" s="378">
        <f t="shared" si="0"/>
        <v>2714</v>
      </c>
      <c r="M27" s="610">
        <f t="shared" si="1"/>
        <v>2253</v>
      </c>
      <c r="N27" s="609">
        <f t="shared" si="2"/>
        <v>2253</v>
      </c>
    </row>
    <row r="28" spans="1:14" x14ac:dyDescent="0.2">
      <c r="A28" s="1515" t="s">
        <v>165</v>
      </c>
      <c r="B28" s="1516"/>
      <c r="C28" s="603"/>
      <c r="D28" s="599"/>
      <c r="E28" s="605"/>
      <c r="F28" s="603">
        <f>F25-F26</f>
        <v>71517</v>
      </c>
      <c r="G28" s="599"/>
      <c r="H28" s="510"/>
      <c r="I28" s="455"/>
      <c r="J28" s="455">
        <v>71570</v>
      </c>
      <c r="K28" s="455">
        <v>71570</v>
      </c>
      <c r="L28" s="378">
        <f t="shared" si="0"/>
        <v>71517</v>
      </c>
      <c r="M28" s="610">
        <f t="shared" si="1"/>
        <v>71570</v>
      </c>
      <c r="N28" s="609">
        <f t="shared" si="2"/>
        <v>71570</v>
      </c>
    </row>
    <row r="29" spans="1:14" x14ac:dyDescent="0.2">
      <c r="A29" s="373"/>
      <c r="B29" s="597" t="s">
        <v>157</v>
      </c>
      <c r="C29" s="603"/>
      <c r="D29" s="599"/>
      <c r="E29" s="605"/>
      <c r="F29" s="603">
        <v>71517</v>
      </c>
      <c r="G29" s="599"/>
      <c r="H29" s="510"/>
      <c r="I29" s="455"/>
      <c r="J29" s="455">
        <v>71570</v>
      </c>
      <c r="K29" s="455">
        <v>71570</v>
      </c>
      <c r="L29" s="378">
        <f t="shared" si="0"/>
        <v>71517</v>
      </c>
      <c r="M29" s="610">
        <f t="shared" si="1"/>
        <v>71570</v>
      </c>
      <c r="N29" s="609">
        <f t="shared" si="2"/>
        <v>71570</v>
      </c>
    </row>
    <row r="30" spans="1:14" ht="13.5" thickBot="1" x14ac:dyDescent="0.25">
      <c r="A30" s="374"/>
      <c r="B30" s="598" t="s">
        <v>158</v>
      </c>
      <c r="C30" s="604"/>
      <c r="D30" s="600"/>
      <c r="E30" s="606"/>
      <c r="F30" s="604">
        <v>1163</v>
      </c>
      <c r="G30" s="600"/>
      <c r="H30" s="511"/>
      <c r="I30" s="456"/>
      <c r="J30" s="456">
        <v>970</v>
      </c>
      <c r="K30" s="456">
        <v>970</v>
      </c>
      <c r="L30" s="379">
        <f t="shared" si="0"/>
        <v>1163</v>
      </c>
      <c r="M30" s="611">
        <f t="shared" si="1"/>
        <v>970</v>
      </c>
      <c r="N30" s="612">
        <f t="shared" si="2"/>
        <v>970</v>
      </c>
    </row>
  </sheetData>
  <mergeCells count="16">
    <mergeCell ref="A2:M2"/>
    <mergeCell ref="A3:M3"/>
    <mergeCell ref="A28:B28"/>
    <mergeCell ref="A4:L4"/>
    <mergeCell ref="A5:B5"/>
    <mergeCell ref="A7:B7"/>
    <mergeCell ref="A10:B10"/>
    <mergeCell ref="A13:B13"/>
    <mergeCell ref="A16:B16"/>
    <mergeCell ref="A19:B19"/>
    <mergeCell ref="A22:B22"/>
    <mergeCell ref="A25:B25"/>
    <mergeCell ref="I5:K5"/>
    <mergeCell ref="F5:H5"/>
    <mergeCell ref="C5:E5"/>
    <mergeCell ref="L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 xml:space="preserve">&amp;L13. melléklet a 28/2017.(XII.21.)  önkormányzati rendelethez
13. melléklet a 24/2016.(XII.16.)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0" zoomScaleNormal="79" zoomScaleSheetLayoutView="90" workbookViewId="0">
      <selection activeCell="F37" sqref="F37:F38"/>
    </sheetView>
  </sheetViews>
  <sheetFormatPr defaultRowHeight="15" x14ac:dyDescent="0.25"/>
  <cols>
    <col min="1" max="1" width="41.140625" style="92" customWidth="1"/>
    <col min="2" max="2" width="11.140625" style="92" customWidth="1"/>
    <col min="3" max="3" width="14" style="92" customWidth="1"/>
    <col min="4" max="4" width="14.85546875" style="92" customWidth="1"/>
    <col min="5" max="5" width="10.5703125" style="92" customWidth="1"/>
    <col min="6" max="6" width="10.85546875" style="92" customWidth="1"/>
    <col min="7" max="7" width="11.28515625" style="92" customWidth="1"/>
    <col min="8" max="8" width="10.42578125" style="92" customWidth="1"/>
    <col min="9" max="9" width="10.85546875" style="92" customWidth="1"/>
    <col min="10" max="10" width="10.42578125" style="92" customWidth="1"/>
    <col min="11" max="11" width="11.140625" style="92" customWidth="1"/>
    <col min="12" max="12" width="13.42578125" style="92" customWidth="1"/>
    <col min="13" max="257" width="9.140625" style="92"/>
    <col min="258" max="258" width="41.140625" style="92" customWidth="1"/>
    <col min="259" max="259" width="10.7109375" style="92" customWidth="1"/>
    <col min="260" max="260" width="11.140625" style="92" customWidth="1"/>
    <col min="261" max="261" width="10.5703125" style="92" customWidth="1"/>
    <col min="262" max="262" width="10.85546875" style="92" customWidth="1"/>
    <col min="263" max="263" width="11.28515625" style="92" customWidth="1"/>
    <col min="264" max="264" width="10.42578125" style="92" customWidth="1"/>
    <col min="265" max="265" width="10.85546875" style="92" customWidth="1"/>
    <col min="266" max="266" width="10.42578125" style="92" customWidth="1"/>
    <col min="267" max="267" width="11.140625" style="92" customWidth="1"/>
    <col min="268" max="268" width="12.140625" style="92" customWidth="1"/>
    <col min="269" max="513" width="9.140625" style="92"/>
    <col min="514" max="514" width="41.140625" style="92" customWidth="1"/>
    <col min="515" max="515" width="10.7109375" style="92" customWidth="1"/>
    <col min="516" max="516" width="11.140625" style="92" customWidth="1"/>
    <col min="517" max="517" width="10.5703125" style="92" customWidth="1"/>
    <col min="518" max="518" width="10.85546875" style="92" customWidth="1"/>
    <col min="519" max="519" width="11.28515625" style="92" customWidth="1"/>
    <col min="520" max="520" width="10.42578125" style="92" customWidth="1"/>
    <col min="521" max="521" width="10.85546875" style="92" customWidth="1"/>
    <col min="522" max="522" width="10.42578125" style="92" customWidth="1"/>
    <col min="523" max="523" width="11.140625" style="92" customWidth="1"/>
    <col min="524" max="524" width="12.140625" style="92" customWidth="1"/>
    <col min="525" max="769" width="9.140625" style="92"/>
    <col min="770" max="770" width="41.140625" style="92" customWidth="1"/>
    <col min="771" max="771" width="10.7109375" style="92" customWidth="1"/>
    <col min="772" max="772" width="11.140625" style="92" customWidth="1"/>
    <col min="773" max="773" width="10.5703125" style="92" customWidth="1"/>
    <col min="774" max="774" width="10.85546875" style="92" customWidth="1"/>
    <col min="775" max="775" width="11.28515625" style="92" customWidth="1"/>
    <col min="776" max="776" width="10.42578125" style="92" customWidth="1"/>
    <col min="777" max="777" width="10.85546875" style="92" customWidth="1"/>
    <col min="778" max="778" width="10.42578125" style="92" customWidth="1"/>
    <col min="779" max="779" width="11.140625" style="92" customWidth="1"/>
    <col min="780" max="780" width="12.140625" style="92" customWidth="1"/>
    <col min="781" max="1025" width="9.140625" style="92"/>
    <col min="1026" max="1026" width="41.140625" style="92" customWidth="1"/>
    <col min="1027" max="1027" width="10.7109375" style="92" customWidth="1"/>
    <col min="1028" max="1028" width="11.140625" style="92" customWidth="1"/>
    <col min="1029" max="1029" width="10.5703125" style="92" customWidth="1"/>
    <col min="1030" max="1030" width="10.85546875" style="92" customWidth="1"/>
    <col min="1031" max="1031" width="11.28515625" style="92" customWidth="1"/>
    <col min="1032" max="1032" width="10.42578125" style="92" customWidth="1"/>
    <col min="1033" max="1033" width="10.85546875" style="92" customWidth="1"/>
    <col min="1034" max="1034" width="10.42578125" style="92" customWidth="1"/>
    <col min="1035" max="1035" width="11.140625" style="92" customWidth="1"/>
    <col min="1036" max="1036" width="12.140625" style="92" customWidth="1"/>
    <col min="1037" max="1281" width="9.140625" style="92"/>
    <col min="1282" max="1282" width="41.140625" style="92" customWidth="1"/>
    <col min="1283" max="1283" width="10.7109375" style="92" customWidth="1"/>
    <col min="1284" max="1284" width="11.140625" style="92" customWidth="1"/>
    <col min="1285" max="1285" width="10.5703125" style="92" customWidth="1"/>
    <col min="1286" max="1286" width="10.85546875" style="92" customWidth="1"/>
    <col min="1287" max="1287" width="11.28515625" style="92" customWidth="1"/>
    <col min="1288" max="1288" width="10.42578125" style="92" customWidth="1"/>
    <col min="1289" max="1289" width="10.85546875" style="92" customWidth="1"/>
    <col min="1290" max="1290" width="10.42578125" style="92" customWidth="1"/>
    <col min="1291" max="1291" width="11.140625" style="92" customWidth="1"/>
    <col min="1292" max="1292" width="12.140625" style="92" customWidth="1"/>
    <col min="1293" max="1537" width="9.140625" style="92"/>
    <col min="1538" max="1538" width="41.140625" style="92" customWidth="1"/>
    <col min="1539" max="1539" width="10.7109375" style="92" customWidth="1"/>
    <col min="1540" max="1540" width="11.140625" style="92" customWidth="1"/>
    <col min="1541" max="1541" width="10.5703125" style="92" customWidth="1"/>
    <col min="1542" max="1542" width="10.85546875" style="92" customWidth="1"/>
    <col min="1543" max="1543" width="11.28515625" style="92" customWidth="1"/>
    <col min="1544" max="1544" width="10.42578125" style="92" customWidth="1"/>
    <col min="1545" max="1545" width="10.85546875" style="92" customWidth="1"/>
    <col min="1546" max="1546" width="10.42578125" style="92" customWidth="1"/>
    <col min="1547" max="1547" width="11.140625" style="92" customWidth="1"/>
    <col min="1548" max="1548" width="12.140625" style="92" customWidth="1"/>
    <col min="1549" max="1793" width="9.140625" style="92"/>
    <col min="1794" max="1794" width="41.140625" style="92" customWidth="1"/>
    <col min="1795" max="1795" width="10.7109375" style="92" customWidth="1"/>
    <col min="1796" max="1796" width="11.140625" style="92" customWidth="1"/>
    <col min="1797" max="1797" width="10.5703125" style="92" customWidth="1"/>
    <col min="1798" max="1798" width="10.85546875" style="92" customWidth="1"/>
    <col min="1799" max="1799" width="11.28515625" style="92" customWidth="1"/>
    <col min="1800" max="1800" width="10.42578125" style="92" customWidth="1"/>
    <col min="1801" max="1801" width="10.85546875" style="92" customWidth="1"/>
    <col min="1802" max="1802" width="10.42578125" style="92" customWidth="1"/>
    <col min="1803" max="1803" width="11.140625" style="92" customWidth="1"/>
    <col min="1804" max="1804" width="12.140625" style="92" customWidth="1"/>
    <col min="1805" max="2049" width="9.140625" style="92"/>
    <col min="2050" max="2050" width="41.140625" style="92" customWidth="1"/>
    <col min="2051" max="2051" width="10.7109375" style="92" customWidth="1"/>
    <col min="2052" max="2052" width="11.140625" style="92" customWidth="1"/>
    <col min="2053" max="2053" width="10.5703125" style="92" customWidth="1"/>
    <col min="2054" max="2054" width="10.85546875" style="92" customWidth="1"/>
    <col min="2055" max="2055" width="11.28515625" style="92" customWidth="1"/>
    <col min="2056" max="2056" width="10.42578125" style="92" customWidth="1"/>
    <col min="2057" max="2057" width="10.85546875" style="92" customWidth="1"/>
    <col min="2058" max="2058" width="10.42578125" style="92" customWidth="1"/>
    <col min="2059" max="2059" width="11.140625" style="92" customWidth="1"/>
    <col min="2060" max="2060" width="12.140625" style="92" customWidth="1"/>
    <col min="2061" max="2305" width="9.140625" style="92"/>
    <col min="2306" max="2306" width="41.140625" style="92" customWidth="1"/>
    <col min="2307" max="2307" width="10.7109375" style="92" customWidth="1"/>
    <col min="2308" max="2308" width="11.140625" style="92" customWidth="1"/>
    <col min="2309" max="2309" width="10.5703125" style="92" customWidth="1"/>
    <col min="2310" max="2310" width="10.85546875" style="92" customWidth="1"/>
    <col min="2311" max="2311" width="11.28515625" style="92" customWidth="1"/>
    <col min="2312" max="2312" width="10.42578125" style="92" customWidth="1"/>
    <col min="2313" max="2313" width="10.85546875" style="92" customWidth="1"/>
    <col min="2314" max="2314" width="10.42578125" style="92" customWidth="1"/>
    <col min="2315" max="2315" width="11.140625" style="92" customWidth="1"/>
    <col min="2316" max="2316" width="12.140625" style="92" customWidth="1"/>
    <col min="2317" max="2561" width="9.140625" style="92"/>
    <col min="2562" max="2562" width="41.140625" style="92" customWidth="1"/>
    <col min="2563" max="2563" width="10.7109375" style="92" customWidth="1"/>
    <col min="2564" max="2564" width="11.140625" style="92" customWidth="1"/>
    <col min="2565" max="2565" width="10.5703125" style="92" customWidth="1"/>
    <col min="2566" max="2566" width="10.85546875" style="92" customWidth="1"/>
    <col min="2567" max="2567" width="11.28515625" style="92" customWidth="1"/>
    <col min="2568" max="2568" width="10.42578125" style="92" customWidth="1"/>
    <col min="2569" max="2569" width="10.85546875" style="92" customWidth="1"/>
    <col min="2570" max="2570" width="10.42578125" style="92" customWidth="1"/>
    <col min="2571" max="2571" width="11.140625" style="92" customWidth="1"/>
    <col min="2572" max="2572" width="12.140625" style="92" customWidth="1"/>
    <col min="2573" max="2817" width="9.140625" style="92"/>
    <col min="2818" max="2818" width="41.140625" style="92" customWidth="1"/>
    <col min="2819" max="2819" width="10.7109375" style="92" customWidth="1"/>
    <col min="2820" max="2820" width="11.140625" style="92" customWidth="1"/>
    <col min="2821" max="2821" width="10.5703125" style="92" customWidth="1"/>
    <col min="2822" max="2822" width="10.85546875" style="92" customWidth="1"/>
    <col min="2823" max="2823" width="11.28515625" style="92" customWidth="1"/>
    <col min="2824" max="2824" width="10.42578125" style="92" customWidth="1"/>
    <col min="2825" max="2825" width="10.85546875" style="92" customWidth="1"/>
    <col min="2826" max="2826" width="10.42578125" style="92" customWidth="1"/>
    <col min="2827" max="2827" width="11.140625" style="92" customWidth="1"/>
    <col min="2828" max="2828" width="12.140625" style="92" customWidth="1"/>
    <col min="2829" max="3073" width="9.140625" style="92"/>
    <col min="3074" max="3074" width="41.140625" style="92" customWidth="1"/>
    <col min="3075" max="3075" width="10.7109375" style="92" customWidth="1"/>
    <col min="3076" max="3076" width="11.140625" style="92" customWidth="1"/>
    <col min="3077" max="3077" width="10.5703125" style="92" customWidth="1"/>
    <col min="3078" max="3078" width="10.85546875" style="92" customWidth="1"/>
    <col min="3079" max="3079" width="11.28515625" style="92" customWidth="1"/>
    <col min="3080" max="3080" width="10.42578125" style="92" customWidth="1"/>
    <col min="3081" max="3081" width="10.85546875" style="92" customWidth="1"/>
    <col min="3082" max="3082" width="10.42578125" style="92" customWidth="1"/>
    <col min="3083" max="3083" width="11.140625" style="92" customWidth="1"/>
    <col min="3084" max="3084" width="12.140625" style="92" customWidth="1"/>
    <col min="3085" max="3329" width="9.140625" style="92"/>
    <col min="3330" max="3330" width="41.140625" style="92" customWidth="1"/>
    <col min="3331" max="3331" width="10.7109375" style="92" customWidth="1"/>
    <col min="3332" max="3332" width="11.140625" style="92" customWidth="1"/>
    <col min="3333" max="3333" width="10.5703125" style="92" customWidth="1"/>
    <col min="3334" max="3334" width="10.85546875" style="92" customWidth="1"/>
    <col min="3335" max="3335" width="11.28515625" style="92" customWidth="1"/>
    <col min="3336" max="3336" width="10.42578125" style="92" customWidth="1"/>
    <col min="3337" max="3337" width="10.85546875" style="92" customWidth="1"/>
    <col min="3338" max="3338" width="10.42578125" style="92" customWidth="1"/>
    <col min="3339" max="3339" width="11.140625" style="92" customWidth="1"/>
    <col min="3340" max="3340" width="12.140625" style="92" customWidth="1"/>
    <col min="3341" max="3585" width="9.140625" style="92"/>
    <col min="3586" max="3586" width="41.140625" style="92" customWidth="1"/>
    <col min="3587" max="3587" width="10.7109375" style="92" customWidth="1"/>
    <col min="3588" max="3588" width="11.140625" style="92" customWidth="1"/>
    <col min="3589" max="3589" width="10.5703125" style="92" customWidth="1"/>
    <col min="3590" max="3590" width="10.85546875" style="92" customWidth="1"/>
    <col min="3591" max="3591" width="11.28515625" style="92" customWidth="1"/>
    <col min="3592" max="3592" width="10.42578125" style="92" customWidth="1"/>
    <col min="3593" max="3593" width="10.85546875" style="92" customWidth="1"/>
    <col min="3594" max="3594" width="10.42578125" style="92" customWidth="1"/>
    <col min="3595" max="3595" width="11.140625" style="92" customWidth="1"/>
    <col min="3596" max="3596" width="12.140625" style="92" customWidth="1"/>
    <col min="3597" max="3841" width="9.140625" style="92"/>
    <col min="3842" max="3842" width="41.140625" style="92" customWidth="1"/>
    <col min="3843" max="3843" width="10.7109375" style="92" customWidth="1"/>
    <col min="3844" max="3844" width="11.140625" style="92" customWidth="1"/>
    <col min="3845" max="3845" width="10.5703125" style="92" customWidth="1"/>
    <col min="3846" max="3846" width="10.85546875" style="92" customWidth="1"/>
    <col min="3847" max="3847" width="11.28515625" style="92" customWidth="1"/>
    <col min="3848" max="3848" width="10.42578125" style="92" customWidth="1"/>
    <col min="3849" max="3849" width="10.85546875" style="92" customWidth="1"/>
    <col min="3850" max="3850" width="10.42578125" style="92" customWidth="1"/>
    <col min="3851" max="3851" width="11.140625" style="92" customWidth="1"/>
    <col min="3852" max="3852" width="12.140625" style="92" customWidth="1"/>
    <col min="3853" max="4097" width="9.140625" style="92"/>
    <col min="4098" max="4098" width="41.140625" style="92" customWidth="1"/>
    <col min="4099" max="4099" width="10.7109375" style="92" customWidth="1"/>
    <col min="4100" max="4100" width="11.140625" style="92" customWidth="1"/>
    <col min="4101" max="4101" width="10.5703125" style="92" customWidth="1"/>
    <col min="4102" max="4102" width="10.85546875" style="92" customWidth="1"/>
    <col min="4103" max="4103" width="11.28515625" style="92" customWidth="1"/>
    <col min="4104" max="4104" width="10.42578125" style="92" customWidth="1"/>
    <col min="4105" max="4105" width="10.85546875" style="92" customWidth="1"/>
    <col min="4106" max="4106" width="10.42578125" style="92" customWidth="1"/>
    <col min="4107" max="4107" width="11.140625" style="92" customWidth="1"/>
    <col min="4108" max="4108" width="12.140625" style="92" customWidth="1"/>
    <col min="4109" max="4353" width="9.140625" style="92"/>
    <col min="4354" max="4354" width="41.140625" style="92" customWidth="1"/>
    <col min="4355" max="4355" width="10.7109375" style="92" customWidth="1"/>
    <col min="4356" max="4356" width="11.140625" style="92" customWidth="1"/>
    <col min="4357" max="4357" width="10.5703125" style="92" customWidth="1"/>
    <col min="4358" max="4358" width="10.85546875" style="92" customWidth="1"/>
    <col min="4359" max="4359" width="11.28515625" style="92" customWidth="1"/>
    <col min="4360" max="4360" width="10.42578125" style="92" customWidth="1"/>
    <col min="4361" max="4361" width="10.85546875" style="92" customWidth="1"/>
    <col min="4362" max="4362" width="10.42578125" style="92" customWidth="1"/>
    <col min="4363" max="4363" width="11.140625" style="92" customWidth="1"/>
    <col min="4364" max="4364" width="12.140625" style="92" customWidth="1"/>
    <col min="4365" max="4609" width="9.140625" style="92"/>
    <col min="4610" max="4610" width="41.140625" style="92" customWidth="1"/>
    <col min="4611" max="4611" width="10.7109375" style="92" customWidth="1"/>
    <col min="4612" max="4612" width="11.140625" style="92" customWidth="1"/>
    <col min="4613" max="4613" width="10.5703125" style="92" customWidth="1"/>
    <col min="4614" max="4614" width="10.85546875" style="92" customWidth="1"/>
    <col min="4615" max="4615" width="11.28515625" style="92" customWidth="1"/>
    <col min="4616" max="4616" width="10.42578125" style="92" customWidth="1"/>
    <col min="4617" max="4617" width="10.85546875" style="92" customWidth="1"/>
    <col min="4618" max="4618" width="10.42578125" style="92" customWidth="1"/>
    <col min="4619" max="4619" width="11.140625" style="92" customWidth="1"/>
    <col min="4620" max="4620" width="12.140625" style="92" customWidth="1"/>
    <col min="4621" max="4865" width="9.140625" style="92"/>
    <col min="4866" max="4866" width="41.140625" style="92" customWidth="1"/>
    <col min="4867" max="4867" width="10.7109375" style="92" customWidth="1"/>
    <col min="4868" max="4868" width="11.140625" style="92" customWidth="1"/>
    <col min="4869" max="4869" width="10.5703125" style="92" customWidth="1"/>
    <col min="4870" max="4870" width="10.85546875" style="92" customWidth="1"/>
    <col min="4871" max="4871" width="11.28515625" style="92" customWidth="1"/>
    <col min="4872" max="4872" width="10.42578125" style="92" customWidth="1"/>
    <col min="4873" max="4873" width="10.85546875" style="92" customWidth="1"/>
    <col min="4874" max="4874" width="10.42578125" style="92" customWidth="1"/>
    <col min="4875" max="4875" width="11.140625" style="92" customWidth="1"/>
    <col min="4876" max="4876" width="12.140625" style="92" customWidth="1"/>
    <col min="4877" max="5121" width="9.140625" style="92"/>
    <col min="5122" max="5122" width="41.140625" style="92" customWidth="1"/>
    <col min="5123" max="5123" width="10.7109375" style="92" customWidth="1"/>
    <col min="5124" max="5124" width="11.140625" style="92" customWidth="1"/>
    <col min="5125" max="5125" width="10.5703125" style="92" customWidth="1"/>
    <col min="5126" max="5126" width="10.85546875" style="92" customWidth="1"/>
    <col min="5127" max="5127" width="11.28515625" style="92" customWidth="1"/>
    <col min="5128" max="5128" width="10.42578125" style="92" customWidth="1"/>
    <col min="5129" max="5129" width="10.85546875" style="92" customWidth="1"/>
    <col min="5130" max="5130" width="10.42578125" style="92" customWidth="1"/>
    <col min="5131" max="5131" width="11.140625" style="92" customWidth="1"/>
    <col min="5132" max="5132" width="12.140625" style="92" customWidth="1"/>
    <col min="5133" max="5377" width="9.140625" style="92"/>
    <col min="5378" max="5378" width="41.140625" style="92" customWidth="1"/>
    <col min="5379" max="5379" width="10.7109375" style="92" customWidth="1"/>
    <col min="5380" max="5380" width="11.140625" style="92" customWidth="1"/>
    <col min="5381" max="5381" width="10.5703125" style="92" customWidth="1"/>
    <col min="5382" max="5382" width="10.85546875" style="92" customWidth="1"/>
    <col min="5383" max="5383" width="11.28515625" style="92" customWidth="1"/>
    <col min="5384" max="5384" width="10.42578125" style="92" customWidth="1"/>
    <col min="5385" max="5385" width="10.85546875" style="92" customWidth="1"/>
    <col min="5386" max="5386" width="10.42578125" style="92" customWidth="1"/>
    <col min="5387" max="5387" width="11.140625" style="92" customWidth="1"/>
    <col min="5388" max="5388" width="12.140625" style="92" customWidth="1"/>
    <col min="5389" max="5633" width="9.140625" style="92"/>
    <col min="5634" max="5634" width="41.140625" style="92" customWidth="1"/>
    <col min="5635" max="5635" width="10.7109375" style="92" customWidth="1"/>
    <col min="5636" max="5636" width="11.140625" style="92" customWidth="1"/>
    <col min="5637" max="5637" width="10.5703125" style="92" customWidth="1"/>
    <col min="5638" max="5638" width="10.85546875" style="92" customWidth="1"/>
    <col min="5639" max="5639" width="11.28515625" style="92" customWidth="1"/>
    <col min="5640" max="5640" width="10.42578125" style="92" customWidth="1"/>
    <col min="5641" max="5641" width="10.85546875" style="92" customWidth="1"/>
    <col min="5642" max="5642" width="10.42578125" style="92" customWidth="1"/>
    <col min="5643" max="5643" width="11.140625" style="92" customWidth="1"/>
    <col min="5644" max="5644" width="12.140625" style="92" customWidth="1"/>
    <col min="5645" max="5889" width="9.140625" style="92"/>
    <col min="5890" max="5890" width="41.140625" style="92" customWidth="1"/>
    <col min="5891" max="5891" width="10.7109375" style="92" customWidth="1"/>
    <col min="5892" max="5892" width="11.140625" style="92" customWidth="1"/>
    <col min="5893" max="5893" width="10.5703125" style="92" customWidth="1"/>
    <col min="5894" max="5894" width="10.85546875" style="92" customWidth="1"/>
    <col min="5895" max="5895" width="11.28515625" style="92" customWidth="1"/>
    <col min="5896" max="5896" width="10.42578125" style="92" customWidth="1"/>
    <col min="5897" max="5897" width="10.85546875" style="92" customWidth="1"/>
    <col min="5898" max="5898" width="10.42578125" style="92" customWidth="1"/>
    <col min="5899" max="5899" width="11.140625" style="92" customWidth="1"/>
    <col min="5900" max="5900" width="12.140625" style="92" customWidth="1"/>
    <col min="5901" max="6145" width="9.140625" style="92"/>
    <col min="6146" max="6146" width="41.140625" style="92" customWidth="1"/>
    <col min="6147" max="6147" width="10.7109375" style="92" customWidth="1"/>
    <col min="6148" max="6148" width="11.140625" style="92" customWidth="1"/>
    <col min="6149" max="6149" width="10.5703125" style="92" customWidth="1"/>
    <col min="6150" max="6150" width="10.85546875" style="92" customWidth="1"/>
    <col min="6151" max="6151" width="11.28515625" style="92" customWidth="1"/>
    <col min="6152" max="6152" width="10.42578125" style="92" customWidth="1"/>
    <col min="6153" max="6153" width="10.85546875" style="92" customWidth="1"/>
    <col min="6154" max="6154" width="10.42578125" style="92" customWidth="1"/>
    <col min="6155" max="6155" width="11.140625" style="92" customWidth="1"/>
    <col min="6156" max="6156" width="12.140625" style="92" customWidth="1"/>
    <col min="6157" max="6401" width="9.140625" style="92"/>
    <col min="6402" max="6402" width="41.140625" style="92" customWidth="1"/>
    <col min="6403" max="6403" width="10.7109375" style="92" customWidth="1"/>
    <col min="6404" max="6404" width="11.140625" style="92" customWidth="1"/>
    <col min="6405" max="6405" width="10.5703125" style="92" customWidth="1"/>
    <col min="6406" max="6406" width="10.85546875" style="92" customWidth="1"/>
    <col min="6407" max="6407" width="11.28515625" style="92" customWidth="1"/>
    <col min="6408" max="6408" width="10.42578125" style="92" customWidth="1"/>
    <col min="6409" max="6409" width="10.85546875" style="92" customWidth="1"/>
    <col min="6410" max="6410" width="10.42578125" style="92" customWidth="1"/>
    <col min="6411" max="6411" width="11.140625" style="92" customWidth="1"/>
    <col min="6412" max="6412" width="12.140625" style="92" customWidth="1"/>
    <col min="6413" max="6657" width="9.140625" style="92"/>
    <col min="6658" max="6658" width="41.140625" style="92" customWidth="1"/>
    <col min="6659" max="6659" width="10.7109375" style="92" customWidth="1"/>
    <col min="6660" max="6660" width="11.140625" style="92" customWidth="1"/>
    <col min="6661" max="6661" width="10.5703125" style="92" customWidth="1"/>
    <col min="6662" max="6662" width="10.85546875" style="92" customWidth="1"/>
    <col min="6663" max="6663" width="11.28515625" style="92" customWidth="1"/>
    <col min="6664" max="6664" width="10.42578125" style="92" customWidth="1"/>
    <col min="6665" max="6665" width="10.85546875" style="92" customWidth="1"/>
    <col min="6666" max="6666" width="10.42578125" style="92" customWidth="1"/>
    <col min="6667" max="6667" width="11.140625" style="92" customWidth="1"/>
    <col min="6668" max="6668" width="12.140625" style="92" customWidth="1"/>
    <col min="6669" max="6913" width="9.140625" style="92"/>
    <col min="6914" max="6914" width="41.140625" style="92" customWidth="1"/>
    <col min="6915" max="6915" width="10.7109375" style="92" customWidth="1"/>
    <col min="6916" max="6916" width="11.140625" style="92" customWidth="1"/>
    <col min="6917" max="6917" width="10.5703125" style="92" customWidth="1"/>
    <col min="6918" max="6918" width="10.85546875" style="92" customWidth="1"/>
    <col min="6919" max="6919" width="11.28515625" style="92" customWidth="1"/>
    <col min="6920" max="6920" width="10.42578125" style="92" customWidth="1"/>
    <col min="6921" max="6921" width="10.85546875" style="92" customWidth="1"/>
    <col min="6922" max="6922" width="10.42578125" style="92" customWidth="1"/>
    <col min="6923" max="6923" width="11.140625" style="92" customWidth="1"/>
    <col min="6924" max="6924" width="12.140625" style="92" customWidth="1"/>
    <col min="6925" max="7169" width="9.140625" style="92"/>
    <col min="7170" max="7170" width="41.140625" style="92" customWidth="1"/>
    <col min="7171" max="7171" width="10.7109375" style="92" customWidth="1"/>
    <col min="7172" max="7172" width="11.140625" style="92" customWidth="1"/>
    <col min="7173" max="7173" width="10.5703125" style="92" customWidth="1"/>
    <col min="7174" max="7174" width="10.85546875" style="92" customWidth="1"/>
    <col min="7175" max="7175" width="11.28515625" style="92" customWidth="1"/>
    <col min="7176" max="7176" width="10.42578125" style="92" customWidth="1"/>
    <col min="7177" max="7177" width="10.85546875" style="92" customWidth="1"/>
    <col min="7178" max="7178" width="10.42578125" style="92" customWidth="1"/>
    <col min="7179" max="7179" width="11.140625" style="92" customWidth="1"/>
    <col min="7180" max="7180" width="12.140625" style="92" customWidth="1"/>
    <col min="7181" max="7425" width="9.140625" style="92"/>
    <col min="7426" max="7426" width="41.140625" style="92" customWidth="1"/>
    <col min="7427" max="7427" width="10.7109375" style="92" customWidth="1"/>
    <col min="7428" max="7428" width="11.140625" style="92" customWidth="1"/>
    <col min="7429" max="7429" width="10.5703125" style="92" customWidth="1"/>
    <col min="7430" max="7430" width="10.85546875" style="92" customWidth="1"/>
    <col min="7431" max="7431" width="11.28515625" style="92" customWidth="1"/>
    <col min="7432" max="7432" width="10.42578125" style="92" customWidth="1"/>
    <col min="7433" max="7433" width="10.85546875" style="92" customWidth="1"/>
    <col min="7434" max="7434" width="10.42578125" style="92" customWidth="1"/>
    <col min="7435" max="7435" width="11.140625" style="92" customWidth="1"/>
    <col min="7436" max="7436" width="12.140625" style="92" customWidth="1"/>
    <col min="7437" max="7681" width="9.140625" style="92"/>
    <col min="7682" max="7682" width="41.140625" style="92" customWidth="1"/>
    <col min="7683" max="7683" width="10.7109375" style="92" customWidth="1"/>
    <col min="7684" max="7684" width="11.140625" style="92" customWidth="1"/>
    <col min="7685" max="7685" width="10.5703125" style="92" customWidth="1"/>
    <col min="7686" max="7686" width="10.85546875" style="92" customWidth="1"/>
    <col min="7687" max="7687" width="11.28515625" style="92" customWidth="1"/>
    <col min="7688" max="7688" width="10.42578125" style="92" customWidth="1"/>
    <col min="7689" max="7689" width="10.85546875" style="92" customWidth="1"/>
    <col min="7690" max="7690" width="10.42578125" style="92" customWidth="1"/>
    <col min="7691" max="7691" width="11.140625" style="92" customWidth="1"/>
    <col min="7692" max="7692" width="12.140625" style="92" customWidth="1"/>
    <col min="7693" max="7937" width="9.140625" style="92"/>
    <col min="7938" max="7938" width="41.140625" style="92" customWidth="1"/>
    <col min="7939" max="7939" width="10.7109375" style="92" customWidth="1"/>
    <col min="7940" max="7940" width="11.140625" style="92" customWidth="1"/>
    <col min="7941" max="7941" width="10.5703125" style="92" customWidth="1"/>
    <col min="7942" max="7942" width="10.85546875" style="92" customWidth="1"/>
    <col min="7943" max="7943" width="11.28515625" style="92" customWidth="1"/>
    <col min="7944" max="7944" width="10.42578125" style="92" customWidth="1"/>
    <col min="7945" max="7945" width="10.85546875" style="92" customWidth="1"/>
    <col min="7946" max="7946" width="10.42578125" style="92" customWidth="1"/>
    <col min="7947" max="7947" width="11.140625" style="92" customWidth="1"/>
    <col min="7948" max="7948" width="12.140625" style="92" customWidth="1"/>
    <col min="7949" max="8193" width="9.140625" style="92"/>
    <col min="8194" max="8194" width="41.140625" style="92" customWidth="1"/>
    <col min="8195" max="8195" width="10.7109375" style="92" customWidth="1"/>
    <col min="8196" max="8196" width="11.140625" style="92" customWidth="1"/>
    <col min="8197" max="8197" width="10.5703125" style="92" customWidth="1"/>
    <col min="8198" max="8198" width="10.85546875" style="92" customWidth="1"/>
    <col min="8199" max="8199" width="11.28515625" style="92" customWidth="1"/>
    <col min="8200" max="8200" width="10.42578125" style="92" customWidth="1"/>
    <col min="8201" max="8201" width="10.85546875" style="92" customWidth="1"/>
    <col min="8202" max="8202" width="10.42578125" style="92" customWidth="1"/>
    <col min="8203" max="8203" width="11.140625" style="92" customWidth="1"/>
    <col min="8204" max="8204" width="12.140625" style="92" customWidth="1"/>
    <col min="8205" max="8449" width="9.140625" style="92"/>
    <col min="8450" max="8450" width="41.140625" style="92" customWidth="1"/>
    <col min="8451" max="8451" width="10.7109375" style="92" customWidth="1"/>
    <col min="8452" max="8452" width="11.140625" style="92" customWidth="1"/>
    <col min="8453" max="8453" width="10.5703125" style="92" customWidth="1"/>
    <col min="8454" max="8454" width="10.85546875" style="92" customWidth="1"/>
    <col min="8455" max="8455" width="11.28515625" style="92" customWidth="1"/>
    <col min="8456" max="8456" width="10.42578125" style="92" customWidth="1"/>
    <col min="8457" max="8457" width="10.85546875" style="92" customWidth="1"/>
    <col min="8458" max="8458" width="10.42578125" style="92" customWidth="1"/>
    <col min="8459" max="8459" width="11.140625" style="92" customWidth="1"/>
    <col min="8460" max="8460" width="12.140625" style="92" customWidth="1"/>
    <col min="8461" max="8705" width="9.140625" style="92"/>
    <col min="8706" max="8706" width="41.140625" style="92" customWidth="1"/>
    <col min="8707" max="8707" width="10.7109375" style="92" customWidth="1"/>
    <col min="8708" max="8708" width="11.140625" style="92" customWidth="1"/>
    <col min="8709" max="8709" width="10.5703125" style="92" customWidth="1"/>
    <col min="8710" max="8710" width="10.85546875" style="92" customWidth="1"/>
    <col min="8711" max="8711" width="11.28515625" style="92" customWidth="1"/>
    <col min="8712" max="8712" width="10.42578125" style="92" customWidth="1"/>
    <col min="8713" max="8713" width="10.85546875" style="92" customWidth="1"/>
    <col min="8714" max="8714" width="10.42578125" style="92" customWidth="1"/>
    <col min="8715" max="8715" width="11.140625" style="92" customWidth="1"/>
    <col min="8716" max="8716" width="12.140625" style="92" customWidth="1"/>
    <col min="8717" max="8961" width="9.140625" style="92"/>
    <col min="8962" max="8962" width="41.140625" style="92" customWidth="1"/>
    <col min="8963" max="8963" width="10.7109375" style="92" customWidth="1"/>
    <col min="8964" max="8964" width="11.140625" style="92" customWidth="1"/>
    <col min="8965" max="8965" width="10.5703125" style="92" customWidth="1"/>
    <col min="8966" max="8966" width="10.85546875" style="92" customWidth="1"/>
    <col min="8967" max="8967" width="11.28515625" style="92" customWidth="1"/>
    <col min="8968" max="8968" width="10.42578125" style="92" customWidth="1"/>
    <col min="8969" max="8969" width="10.85546875" style="92" customWidth="1"/>
    <col min="8970" max="8970" width="10.42578125" style="92" customWidth="1"/>
    <col min="8971" max="8971" width="11.140625" style="92" customWidth="1"/>
    <col min="8972" max="8972" width="12.140625" style="92" customWidth="1"/>
    <col min="8973" max="9217" width="9.140625" style="92"/>
    <col min="9218" max="9218" width="41.140625" style="92" customWidth="1"/>
    <col min="9219" max="9219" width="10.7109375" style="92" customWidth="1"/>
    <col min="9220" max="9220" width="11.140625" style="92" customWidth="1"/>
    <col min="9221" max="9221" width="10.5703125" style="92" customWidth="1"/>
    <col min="9222" max="9222" width="10.85546875" style="92" customWidth="1"/>
    <col min="9223" max="9223" width="11.28515625" style="92" customWidth="1"/>
    <col min="9224" max="9224" width="10.42578125" style="92" customWidth="1"/>
    <col min="9225" max="9225" width="10.85546875" style="92" customWidth="1"/>
    <col min="9226" max="9226" width="10.42578125" style="92" customWidth="1"/>
    <col min="9227" max="9227" width="11.140625" style="92" customWidth="1"/>
    <col min="9228" max="9228" width="12.140625" style="92" customWidth="1"/>
    <col min="9229" max="9473" width="9.140625" style="92"/>
    <col min="9474" max="9474" width="41.140625" style="92" customWidth="1"/>
    <col min="9475" max="9475" width="10.7109375" style="92" customWidth="1"/>
    <col min="9476" max="9476" width="11.140625" style="92" customWidth="1"/>
    <col min="9477" max="9477" width="10.5703125" style="92" customWidth="1"/>
    <col min="9478" max="9478" width="10.85546875" style="92" customWidth="1"/>
    <col min="9479" max="9479" width="11.28515625" style="92" customWidth="1"/>
    <col min="9480" max="9480" width="10.42578125" style="92" customWidth="1"/>
    <col min="9481" max="9481" width="10.85546875" style="92" customWidth="1"/>
    <col min="9482" max="9482" width="10.42578125" style="92" customWidth="1"/>
    <col min="9483" max="9483" width="11.140625" style="92" customWidth="1"/>
    <col min="9484" max="9484" width="12.140625" style="92" customWidth="1"/>
    <col min="9485" max="9729" width="9.140625" style="92"/>
    <col min="9730" max="9730" width="41.140625" style="92" customWidth="1"/>
    <col min="9731" max="9731" width="10.7109375" style="92" customWidth="1"/>
    <col min="9732" max="9732" width="11.140625" style="92" customWidth="1"/>
    <col min="9733" max="9733" width="10.5703125" style="92" customWidth="1"/>
    <col min="9734" max="9734" width="10.85546875" style="92" customWidth="1"/>
    <col min="9735" max="9735" width="11.28515625" style="92" customWidth="1"/>
    <col min="9736" max="9736" width="10.42578125" style="92" customWidth="1"/>
    <col min="9737" max="9737" width="10.85546875" style="92" customWidth="1"/>
    <col min="9738" max="9738" width="10.42578125" style="92" customWidth="1"/>
    <col min="9739" max="9739" width="11.140625" style="92" customWidth="1"/>
    <col min="9740" max="9740" width="12.140625" style="92" customWidth="1"/>
    <col min="9741" max="9985" width="9.140625" style="92"/>
    <col min="9986" max="9986" width="41.140625" style="92" customWidth="1"/>
    <col min="9987" max="9987" width="10.7109375" style="92" customWidth="1"/>
    <col min="9988" max="9988" width="11.140625" style="92" customWidth="1"/>
    <col min="9989" max="9989" width="10.5703125" style="92" customWidth="1"/>
    <col min="9990" max="9990" width="10.85546875" style="92" customWidth="1"/>
    <col min="9991" max="9991" width="11.28515625" style="92" customWidth="1"/>
    <col min="9992" max="9992" width="10.42578125" style="92" customWidth="1"/>
    <col min="9993" max="9993" width="10.85546875" style="92" customWidth="1"/>
    <col min="9994" max="9994" width="10.42578125" style="92" customWidth="1"/>
    <col min="9995" max="9995" width="11.140625" style="92" customWidth="1"/>
    <col min="9996" max="9996" width="12.140625" style="92" customWidth="1"/>
    <col min="9997" max="10241" width="9.140625" style="92"/>
    <col min="10242" max="10242" width="41.140625" style="92" customWidth="1"/>
    <col min="10243" max="10243" width="10.7109375" style="92" customWidth="1"/>
    <col min="10244" max="10244" width="11.140625" style="92" customWidth="1"/>
    <col min="10245" max="10245" width="10.5703125" style="92" customWidth="1"/>
    <col min="10246" max="10246" width="10.85546875" style="92" customWidth="1"/>
    <col min="10247" max="10247" width="11.28515625" style="92" customWidth="1"/>
    <col min="10248" max="10248" width="10.42578125" style="92" customWidth="1"/>
    <col min="10249" max="10249" width="10.85546875" style="92" customWidth="1"/>
    <col min="10250" max="10250" width="10.42578125" style="92" customWidth="1"/>
    <col min="10251" max="10251" width="11.140625" style="92" customWidth="1"/>
    <col min="10252" max="10252" width="12.140625" style="92" customWidth="1"/>
    <col min="10253" max="10497" width="9.140625" style="92"/>
    <col min="10498" max="10498" width="41.140625" style="92" customWidth="1"/>
    <col min="10499" max="10499" width="10.7109375" style="92" customWidth="1"/>
    <col min="10500" max="10500" width="11.140625" style="92" customWidth="1"/>
    <col min="10501" max="10501" width="10.5703125" style="92" customWidth="1"/>
    <col min="10502" max="10502" width="10.85546875" style="92" customWidth="1"/>
    <col min="10503" max="10503" width="11.28515625" style="92" customWidth="1"/>
    <col min="10504" max="10504" width="10.42578125" style="92" customWidth="1"/>
    <col min="10505" max="10505" width="10.85546875" style="92" customWidth="1"/>
    <col min="10506" max="10506" width="10.42578125" style="92" customWidth="1"/>
    <col min="10507" max="10507" width="11.140625" style="92" customWidth="1"/>
    <col min="10508" max="10508" width="12.140625" style="92" customWidth="1"/>
    <col min="10509" max="10753" width="9.140625" style="92"/>
    <col min="10754" max="10754" width="41.140625" style="92" customWidth="1"/>
    <col min="10755" max="10755" width="10.7109375" style="92" customWidth="1"/>
    <col min="10756" max="10756" width="11.140625" style="92" customWidth="1"/>
    <col min="10757" max="10757" width="10.5703125" style="92" customWidth="1"/>
    <col min="10758" max="10758" width="10.85546875" style="92" customWidth="1"/>
    <col min="10759" max="10759" width="11.28515625" style="92" customWidth="1"/>
    <col min="10760" max="10760" width="10.42578125" style="92" customWidth="1"/>
    <col min="10761" max="10761" width="10.85546875" style="92" customWidth="1"/>
    <col min="10762" max="10762" width="10.42578125" style="92" customWidth="1"/>
    <col min="10763" max="10763" width="11.140625" style="92" customWidth="1"/>
    <col min="10764" max="10764" width="12.140625" style="92" customWidth="1"/>
    <col min="10765" max="11009" width="9.140625" style="92"/>
    <col min="11010" max="11010" width="41.140625" style="92" customWidth="1"/>
    <col min="11011" max="11011" width="10.7109375" style="92" customWidth="1"/>
    <col min="11012" max="11012" width="11.140625" style="92" customWidth="1"/>
    <col min="11013" max="11013" width="10.5703125" style="92" customWidth="1"/>
    <col min="11014" max="11014" width="10.85546875" style="92" customWidth="1"/>
    <col min="11015" max="11015" width="11.28515625" style="92" customWidth="1"/>
    <col min="11016" max="11016" width="10.42578125" style="92" customWidth="1"/>
    <col min="11017" max="11017" width="10.85546875" style="92" customWidth="1"/>
    <col min="11018" max="11018" width="10.42578125" style="92" customWidth="1"/>
    <col min="11019" max="11019" width="11.140625" style="92" customWidth="1"/>
    <col min="11020" max="11020" width="12.140625" style="92" customWidth="1"/>
    <col min="11021" max="11265" width="9.140625" style="92"/>
    <col min="11266" max="11266" width="41.140625" style="92" customWidth="1"/>
    <col min="11267" max="11267" width="10.7109375" style="92" customWidth="1"/>
    <col min="11268" max="11268" width="11.140625" style="92" customWidth="1"/>
    <col min="11269" max="11269" width="10.5703125" style="92" customWidth="1"/>
    <col min="11270" max="11270" width="10.85546875" style="92" customWidth="1"/>
    <col min="11271" max="11271" width="11.28515625" style="92" customWidth="1"/>
    <col min="11272" max="11272" width="10.42578125" style="92" customWidth="1"/>
    <col min="11273" max="11273" width="10.85546875" style="92" customWidth="1"/>
    <col min="11274" max="11274" width="10.42578125" style="92" customWidth="1"/>
    <col min="11275" max="11275" width="11.140625" style="92" customWidth="1"/>
    <col min="11276" max="11276" width="12.140625" style="92" customWidth="1"/>
    <col min="11277" max="11521" width="9.140625" style="92"/>
    <col min="11522" max="11522" width="41.140625" style="92" customWidth="1"/>
    <col min="11523" max="11523" width="10.7109375" style="92" customWidth="1"/>
    <col min="11524" max="11524" width="11.140625" style="92" customWidth="1"/>
    <col min="11525" max="11525" width="10.5703125" style="92" customWidth="1"/>
    <col min="11526" max="11526" width="10.85546875" style="92" customWidth="1"/>
    <col min="11527" max="11527" width="11.28515625" style="92" customWidth="1"/>
    <col min="11528" max="11528" width="10.42578125" style="92" customWidth="1"/>
    <col min="11529" max="11529" width="10.85546875" style="92" customWidth="1"/>
    <col min="11530" max="11530" width="10.42578125" style="92" customWidth="1"/>
    <col min="11531" max="11531" width="11.140625" style="92" customWidth="1"/>
    <col min="11532" max="11532" width="12.140625" style="92" customWidth="1"/>
    <col min="11533" max="11777" width="9.140625" style="92"/>
    <col min="11778" max="11778" width="41.140625" style="92" customWidth="1"/>
    <col min="11779" max="11779" width="10.7109375" style="92" customWidth="1"/>
    <col min="11780" max="11780" width="11.140625" style="92" customWidth="1"/>
    <col min="11781" max="11781" width="10.5703125" style="92" customWidth="1"/>
    <col min="11782" max="11782" width="10.85546875" style="92" customWidth="1"/>
    <col min="11783" max="11783" width="11.28515625" style="92" customWidth="1"/>
    <col min="11784" max="11784" width="10.42578125" style="92" customWidth="1"/>
    <col min="11785" max="11785" width="10.85546875" style="92" customWidth="1"/>
    <col min="11786" max="11786" width="10.42578125" style="92" customWidth="1"/>
    <col min="11787" max="11787" width="11.140625" style="92" customWidth="1"/>
    <col min="11788" max="11788" width="12.140625" style="92" customWidth="1"/>
    <col min="11789" max="12033" width="9.140625" style="92"/>
    <col min="12034" max="12034" width="41.140625" style="92" customWidth="1"/>
    <col min="12035" max="12035" width="10.7109375" style="92" customWidth="1"/>
    <col min="12036" max="12036" width="11.140625" style="92" customWidth="1"/>
    <col min="12037" max="12037" width="10.5703125" style="92" customWidth="1"/>
    <col min="12038" max="12038" width="10.85546875" style="92" customWidth="1"/>
    <col min="12039" max="12039" width="11.28515625" style="92" customWidth="1"/>
    <col min="12040" max="12040" width="10.42578125" style="92" customWidth="1"/>
    <col min="12041" max="12041" width="10.85546875" style="92" customWidth="1"/>
    <col min="12042" max="12042" width="10.42578125" style="92" customWidth="1"/>
    <col min="12043" max="12043" width="11.140625" style="92" customWidth="1"/>
    <col min="12044" max="12044" width="12.140625" style="92" customWidth="1"/>
    <col min="12045" max="12289" width="9.140625" style="92"/>
    <col min="12290" max="12290" width="41.140625" style="92" customWidth="1"/>
    <col min="12291" max="12291" width="10.7109375" style="92" customWidth="1"/>
    <col min="12292" max="12292" width="11.140625" style="92" customWidth="1"/>
    <col min="12293" max="12293" width="10.5703125" style="92" customWidth="1"/>
    <col min="12294" max="12294" width="10.85546875" style="92" customWidth="1"/>
    <col min="12295" max="12295" width="11.28515625" style="92" customWidth="1"/>
    <col min="12296" max="12296" width="10.42578125" style="92" customWidth="1"/>
    <col min="12297" max="12297" width="10.85546875" style="92" customWidth="1"/>
    <col min="12298" max="12298" width="10.42578125" style="92" customWidth="1"/>
    <col min="12299" max="12299" width="11.140625" style="92" customWidth="1"/>
    <col min="12300" max="12300" width="12.140625" style="92" customWidth="1"/>
    <col min="12301" max="12545" width="9.140625" style="92"/>
    <col min="12546" max="12546" width="41.140625" style="92" customWidth="1"/>
    <col min="12547" max="12547" width="10.7109375" style="92" customWidth="1"/>
    <col min="12548" max="12548" width="11.140625" style="92" customWidth="1"/>
    <col min="12549" max="12549" width="10.5703125" style="92" customWidth="1"/>
    <col min="12550" max="12550" width="10.85546875" style="92" customWidth="1"/>
    <col min="12551" max="12551" width="11.28515625" style="92" customWidth="1"/>
    <col min="12552" max="12552" width="10.42578125" style="92" customWidth="1"/>
    <col min="12553" max="12553" width="10.85546875" style="92" customWidth="1"/>
    <col min="12554" max="12554" width="10.42578125" style="92" customWidth="1"/>
    <col min="12555" max="12555" width="11.140625" style="92" customWidth="1"/>
    <col min="12556" max="12556" width="12.140625" style="92" customWidth="1"/>
    <col min="12557" max="12801" width="9.140625" style="92"/>
    <col min="12802" max="12802" width="41.140625" style="92" customWidth="1"/>
    <col min="12803" max="12803" width="10.7109375" style="92" customWidth="1"/>
    <col min="12804" max="12804" width="11.140625" style="92" customWidth="1"/>
    <col min="12805" max="12805" width="10.5703125" style="92" customWidth="1"/>
    <col min="12806" max="12806" width="10.85546875" style="92" customWidth="1"/>
    <col min="12807" max="12807" width="11.28515625" style="92" customWidth="1"/>
    <col min="12808" max="12808" width="10.42578125" style="92" customWidth="1"/>
    <col min="12809" max="12809" width="10.85546875" style="92" customWidth="1"/>
    <col min="12810" max="12810" width="10.42578125" style="92" customWidth="1"/>
    <col min="12811" max="12811" width="11.140625" style="92" customWidth="1"/>
    <col min="12812" max="12812" width="12.140625" style="92" customWidth="1"/>
    <col min="12813" max="13057" width="9.140625" style="92"/>
    <col min="13058" max="13058" width="41.140625" style="92" customWidth="1"/>
    <col min="13059" max="13059" width="10.7109375" style="92" customWidth="1"/>
    <col min="13060" max="13060" width="11.140625" style="92" customWidth="1"/>
    <col min="13061" max="13061" width="10.5703125" style="92" customWidth="1"/>
    <col min="13062" max="13062" width="10.85546875" style="92" customWidth="1"/>
    <col min="13063" max="13063" width="11.28515625" style="92" customWidth="1"/>
    <col min="13064" max="13064" width="10.42578125" style="92" customWidth="1"/>
    <col min="13065" max="13065" width="10.85546875" style="92" customWidth="1"/>
    <col min="13066" max="13066" width="10.42578125" style="92" customWidth="1"/>
    <col min="13067" max="13067" width="11.140625" style="92" customWidth="1"/>
    <col min="13068" max="13068" width="12.140625" style="92" customWidth="1"/>
    <col min="13069" max="13313" width="9.140625" style="92"/>
    <col min="13314" max="13314" width="41.140625" style="92" customWidth="1"/>
    <col min="13315" max="13315" width="10.7109375" style="92" customWidth="1"/>
    <col min="13316" max="13316" width="11.140625" style="92" customWidth="1"/>
    <col min="13317" max="13317" width="10.5703125" style="92" customWidth="1"/>
    <col min="13318" max="13318" width="10.85546875" style="92" customWidth="1"/>
    <col min="13319" max="13319" width="11.28515625" style="92" customWidth="1"/>
    <col min="13320" max="13320" width="10.42578125" style="92" customWidth="1"/>
    <col min="13321" max="13321" width="10.85546875" style="92" customWidth="1"/>
    <col min="13322" max="13322" width="10.42578125" style="92" customWidth="1"/>
    <col min="13323" max="13323" width="11.140625" style="92" customWidth="1"/>
    <col min="13324" max="13324" width="12.140625" style="92" customWidth="1"/>
    <col min="13325" max="13569" width="9.140625" style="92"/>
    <col min="13570" max="13570" width="41.140625" style="92" customWidth="1"/>
    <col min="13571" max="13571" width="10.7109375" style="92" customWidth="1"/>
    <col min="13572" max="13572" width="11.140625" style="92" customWidth="1"/>
    <col min="13573" max="13573" width="10.5703125" style="92" customWidth="1"/>
    <col min="13574" max="13574" width="10.85546875" style="92" customWidth="1"/>
    <col min="13575" max="13575" width="11.28515625" style="92" customWidth="1"/>
    <col min="13576" max="13576" width="10.42578125" style="92" customWidth="1"/>
    <col min="13577" max="13577" width="10.85546875" style="92" customWidth="1"/>
    <col min="13578" max="13578" width="10.42578125" style="92" customWidth="1"/>
    <col min="13579" max="13579" width="11.140625" style="92" customWidth="1"/>
    <col min="13580" max="13580" width="12.140625" style="92" customWidth="1"/>
    <col min="13581" max="13825" width="9.140625" style="92"/>
    <col min="13826" max="13826" width="41.140625" style="92" customWidth="1"/>
    <col min="13827" max="13827" width="10.7109375" style="92" customWidth="1"/>
    <col min="13828" max="13828" width="11.140625" style="92" customWidth="1"/>
    <col min="13829" max="13829" width="10.5703125" style="92" customWidth="1"/>
    <col min="13830" max="13830" width="10.85546875" style="92" customWidth="1"/>
    <col min="13831" max="13831" width="11.28515625" style="92" customWidth="1"/>
    <col min="13832" max="13832" width="10.42578125" style="92" customWidth="1"/>
    <col min="13833" max="13833" width="10.85546875" style="92" customWidth="1"/>
    <col min="13834" max="13834" width="10.42578125" style="92" customWidth="1"/>
    <col min="13835" max="13835" width="11.140625" style="92" customWidth="1"/>
    <col min="13836" max="13836" width="12.140625" style="92" customWidth="1"/>
    <col min="13837" max="14081" width="9.140625" style="92"/>
    <col min="14082" max="14082" width="41.140625" style="92" customWidth="1"/>
    <col min="14083" max="14083" width="10.7109375" style="92" customWidth="1"/>
    <col min="14084" max="14084" width="11.140625" style="92" customWidth="1"/>
    <col min="14085" max="14085" width="10.5703125" style="92" customWidth="1"/>
    <col min="14086" max="14086" width="10.85546875" style="92" customWidth="1"/>
    <col min="14087" max="14087" width="11.28515625" style="92" customWidth="1"/>
    <col min="14088" max="14088" width="10.42578125" style="92" customWidth="1"/>
    <col min="14089" max="14089" width="10.85546875" style="92" customWidth="1"/>
    <col min="14090" max="14090" width="10.42578125" style="92" customWidth="1"/>
    <col min="14091" max="14091" width="11.140625" style="92" customWidth="1"/>
    <col min="14092" max="14092" width="12.140625" style="92" customWidth="1"/>
    <col min="14093" max="14337" width="9.140625" style="92"/>
    <col min="14338" max="14338" width="41.140625" style="92" customWidth="1"/>
    <col min="14339" max="14339" width="10.7109375" style="92" customWidth="1"/>
    <col min="14340" max="14340" width="11.140625" style="92" customWidth="1"/>
    <col min="14341" max="14341" width="10.5703125" style="92" customWidth="1"/>
    <col min="14342" max="14342" width="10.85546875" style="92" customWidth="1"/>
    <col min="14343" max="14343" width="11.28515625" style="92" customWidth="1"/>
    <col min="14344" max="14344" width="10.42578125" style="92" customWidth="1"/>
    <col min="14345" max="14345" width="10.85546875" style="92" customWidth="1"/>
    <col min="14346" max="14346" width="10.42578125" style="92" customWidth="1"/>
    <col min="14347" max="14347" width="11.140625" style="92" customWidth="1"/>
    <col min="14348" max="14348" width="12.140625" style="92" customWidth="1"/>
    <col min="14349" max="14593" width="9.140625" style="92"/>
    <col min="14594" max="14594" width="41.140625" style="92" customWidth="1"/>
    <col min="14595" max="14595" width="10.7109375" style="92" customWidth="1"/>
    <col min="14596" max="14596" width="11.140625" style="92" customWidth="1"/>
    <col min="14597" max="14597" width="10.5703125" style="92" customWidth="1"/>
    <col min="14598" max="14598" width="10.85546875" style="92" customWidth="1"/>
    <col min="14599" max="14599" width="11.28515625" style="92" customWidth="1"/>
    <col min="14600" max="14600" width="10.42578125" style="92" customWidth="1"/>
    <col min="14601" max="14601" width="10.85546875" style="92" customWidth="1"/>
    <col min="14602" max="14602" width="10.42578125" style="92" customWidth="1"/>
    <col min="14603" max="14603" width="11.140625" style="92" customWidth="1"/>
    <col min="14604" max="14604" width="12.140625" style="92" customWidth="1"/>
    <col min="14605" max="14849" width="9.140625" style="92"/>
    <col min="14850" max="14850" width="41.140625" style="92" customWidth="1"/>
    <col min="14851" max="14851" width="10.7109375" style="92" customWidth="1"/>
    <col min="14852" max="14852" width="11.140625" style="92" customWidth="1"/>
    <col min="14853" max="14853" width="10.5703125" style="92" customWidth="1"/>
    <col min="14854" max="14854" width="10.85546875" style="92" customWidth="1"/>
    <col min="14855" max="14855" width="11.28515625" style="92" customWidth="1"/>
    <col min="14856" max="14856" width="10.42578125" style="92" customWidth="1"/>
    <col min="14857" max="14857" width="10.85546875" style="92" customWidth="1"/>
    <col min="14858" max="14858" width="10.42578125" style="92" customWidth="1"/>
    <col min="14859" max="14859" width="11.140625" style="92" customWidth="1"/>
    <col min="14860" max="14860" width="12.140625" style="92" customWidth="1"/>
    <col min="14861" max="15105" width="9.140625" style="92"/>
    <col min="15106" max="15106" width="41.140625" style="92" customWidth="1"/>
    <col min="15107" max="15107" width="10.7109375" style="92" customWidth="1"/>
    <col min="15108" max="15108" width="11.140625" style="92" customWidth="1"/>
    <col min="15109" max="15109" width="10.5703125" style="92" customWidth="1"/>
    <col min="15110" max="15110" width="10.85546875" style="92" customWidth="1"/>
    <col min="15111" max="15111" width="11.28515625" style="92" customWidth="1"/>
    <col min="15112" max="15112" width="10.42578125" style="92" customWidth="1"/>
    <col min="15113" max="15113" width="10.85546875" style="92" customWidth="1"/>
    <col min="15114" max="15114" width="10.42578125" style="92" customWidth="1"/>
    <col min="15115" max="15115" width="11.140625" style="92" customWidth="1"/>
    <col min="15116" max="15116" width="12.140625" style="92" customWidth="1"/>
    <col min="15117" max="15361" width="9.140625" style="92"/>
    <col min="15362" max="15362" width="41.140625" style="92" customWidth="1"/>
    <col min="15363" max="15363" width="10.7109375" style="92" customWidth="1"/>
    <col min="15364" max="15364" width="11.140625" style="92" customWidth="1"/>
    <col min="15365" max="15365" width="10.5703125" style="92" customWidth="1"/>
    <col min="15366" max="15366" width="10.85546875" style="92" customWidth="1"/>
    <col min="15367" max="15367" width="11.28515625" style="92" customWidth="1"/>
    <col min="15368" max="15368" width="10.42578125" style="92" customWidth="1"/>
    <col min="15369" max="15369" width="10.85546875" style="92" customWidth="1"/>
    <col min="15370" max="15370" width="10.42578125" style="92" customWidth="1"/>
    <col min="15371" max="15371" width="11.140625" style="92" customWidth="1"/>
    <col min="15372" max="15372" width="12.140625" style="92" customWidth="1"/>
    <col min="15373" max="15617" width="9.140625" style="92"/>
    <col min="15618" max="15618" width="41.140625" style="92" customWidth="1"/>
    <col min="15619" max="15619" width="10.7109375" style="92" customWidth="1"/>
    <col min="15620" max="15620" width="11.140625" style="92" customWidth="1"/>
    <col min="15621" max="15621" width="10.5703125" style="92" customWidth="1"/>
    <col min="15622" max="15622" width="10.85546875" style="92" customWidth="1"/>
    <col min="15623" max="15623" width="11.28515625" style="92" customWidth="1"/>
    <col min="15624" max="15624" width="10.42578125" style="92" customWidth="1"/>
    <col min="15625" max="15625" width="10.85546875" style="92" customWidth="1"/>
    <col min="15626" max="15626" width="10.42578125" style="92" customWidth="1"/>
    <col min="15627" max="15627" width="11.140625" style="92" customWidth="1"/>
    <col min="15628" max="15628" width="12.140625" style="92" customWidth="1"/>
    <col min="15629" max="15873" width="9.140625" style="92"/>
    <col min="15874" max="15874" width="41.140625" style="92" customWidth="1"/>
    <col min="15875" max="15875" width="10.7109375" style="92" customWidth="1"/>
    <col min="15876" max="15876" width="11.140625" style="92" customWidth="1"/>
    <col min="15877" max="15877" width="10.5703125" style="92" customWidth="1"/>
    <col min="15878" max="15878" width="10.85546875" style="92" customWidth="1"/>
    <col min="15879" max="15879" width="11.28515625" style="92" customWidth="1"/>
    <col min="15880" max="15880" width="10.42578125" style="92" customWidth="1"/>
    <col min="15881" max="15881" width="10.85546875" style="92" customWidth="1"/>
    <col min="15882" max="15882" width="10.42578125" style="92" customWidth="1"/>
    <col min="15883" max="15883" width="11.140625" style="92" customWidth="1"/>
    <col min="15884" max="15884" width="12.140625" style="92" customWidth="1"/>
    <col min="15885" max="16129" width="9.140625" style="92"/>
    <col min="16130" max="16130" width="41.140625" style="92" customWidth="1"/>
    <col min="16131" max="16131" width="10.7109375" style="92" customWidth="1"/>
    <col min="16132" max="16132" width="11.140625" style="92" customWidth="1"/>
    <col min="16133" max="16133" width="10.5703125" style="92" customWidth="1"/>
    <col min="16134" max="16134" width="10.85546875" style="92" customWidth="1"/>
    <col min="16135" max="16135" width="11.28515625" style="92" customWidth="1"/>
    <col min="16136" max="16136" width="10.42578125" style="92" customWidth="1"/>
    <col min="16137" max="16137" width="10.85546875" style="92" customWidth="1"/>
    <col min="16138" max="16138" width="10.42578125" style="92" customWidth="1"/>
    <col min="16139" max="16139" width="11.140625" style="92" customWidth="1"/>
    <col min="16140" max="16140" width="12.140625" style="92" customWidth="1"/>
    <col min="16141" max="16384" width="9.140625" style="92"/>
  </cols>
  <sheetData>
    <row r="1" spans="1:12" x14ac:dyDescent="0.25">
      <c r="A1" s="1531" t="s">
        <v>213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  <c r="L1" s="1531"/>
    </row>
    <row r="2" spans="1:12" ht="15.75" thickBot="1" x14ac:dyDescent="0.3"/>
    <row r="3" spans="1:12" ht="60.75" customHeight="1" thickBot="1" x14ac:dyDescent="0.3">
      <c r="A3" s="389" t="s">
        <v>2</v>
      </c>
      <c r="B3" s="390" t="s">
        <v>190</v>
      </c>
      <c r="C3" s="390" t="s">
        <v>229</v>
      </c>
      <c r="D3" s="390" t="s">
        <v>238</v>
      </c>
      <c r="E3" s="390" t="s">
        <v>191</v>
      </c>
      <c r="F3" s="390" t="s">
        <v>192</v>
      </c>
      <c r="G3" s="390" t="s">
        <v>193</v>
      </c>
      <c r="H3" s="390" t="s">
        <v>194</v>
      </c>
      <c r="I3" s="390" t="s">
        <v>195</v>
      </c>
      <c r="J3" s="390" t="s">
        <v>196</v>
      </c>
      <c r="K3" s="390" t="s">
        <v>197</v>
      </c>
      <c r="L3" s="391" t="s">
        <v>72</v>
      </c>
    </row>
    <row r="4" spans="1:12" x14ac:dyDescent="0.25">
      <c r="A4" s="386" t="s">
        <v>198</v>
      </c>
      <c r="B4" s="387">
        <v>2014000</v>
      </c>
      <c r="C4" s="387">
        <f>'3. sz. melléklet'!C14+'3. sz. melléklet'!C15+'3. sz. melléklet'!C17+'3. sz. melléklet'!C19</f>
        <v>2100296</v>
      </c>
      <c r="D4" s="387">
        <f>'3. sz. melléklet'!D14+'3. sz. melléklet'!D15+'3. sz. melléklet'!D17+'3. sz. melléklet'!D19</f>
        <v>2100296</v>
      </c>
      <c r="E4" s="387">
        <v>2017000</v>
      </c>
      <c r="F4" s="387">
        <v>2017000</v>
      </c>
      <c r="G4" s="387">
        <v>2017000</v>
      </c>
      <c r="H4" s="387">
        <v>2025000</v>
      </c>
      <c r="I4" s="387">
        <v>2025000</v>
      </c>
      <c r="J4" s="387">
        <v>2025000</v>
      </c>
      <c r="K4" s="387">
        <v>2025000</v>
      </c>
      <c r="L4" s="388">
        <f>B4+SUM(D4:K4)</f>
        <v>18265296</v>
      </c>
    </row>
    <row r="5" spans="1:12" ht="28.5" x14ac:dyDescent="0.25">
      <c r="A5" s="380" t="s">
        <v>199</v>
      </c>
      <c r="B5" s="381">
        <v>15735</v>
      </c>
      <c r="C5" s="381">
        <f>'3. sz. melléklet'!C31</f>
        <v>15735</v>
      </c>
      <c r="D5" s="381">
        <f>'3. sz. melléklet'!D31</f>
        <v>15735</v>
      </c>
      <c r="E5" s="381">
        <v>3500</v>
      </c>
      <c r="F5" s="381">
        <v>3500</v>
      </c>
      <c r="G5" s="381">
        <v>3800</v>
      </c>
      <c r="H5" s="381">
        <v>3800</v>
      </c>
      <c r="I5" s="381">
        <v>3800</v>
      </c>
      <c r="J5" s="381">
        <v>3800</v>
      </c>
      <c r="K5" s="381">
        <v>3800</v>
      </c>
      <c r="L5" s="388">
        <f t="shared" ref="L5:L17" si="0">B5+SUM(D5:K5)</f>
        <v>57470</v>
      </c>
    </row>
    <row r="6" spans="1:12" x14ac:dyDescent="0.25">
      <c r="A6" s="380" t="s">
        <v>200</v>
      </c>
      <c r="B6" s="381">
        <f t="shared" ref="B6:K6" si="1">SUM(B10+B9+B8+B7)</f>
        <v>144506</v>
      </c>
      <c r="C6" s="381">
        <f t="shared" si="1"/>
        <v>204354</v>
      </c>
      <c r="D6" s="381">
        <f t="shared" si="1"/>
        <v>212979</v>
      </c>
      <c r="E6" s="381">
        <f t="shared" si="1"/>
        <v>94800</v>
      </c>
      <c r="F6" s="381">
        <f t="shared" si="1"/>
        <v>91100</v>
      </c>
      <c r="G6" s="381">
        <f t="shared" si="1"/>
        <v>90100</v>
      </c>
      <c r="H6" s="381">
        <f t="shared" si="1"/>
        <v>89100</v>
      </c>
      <c r="I6" s="381">
        <f t="shared" si="1"/>
        <v>87800</v>
      </c>
      <c r="J6" s="381">
        <f t="shared" si="1"/>
        <v>87800</v>
      </c>
      <c r="K6" s="381">
        <f t="shared" si="1"/>
        <v>87800</v>
      </c>
      <c r="L6" s="388">
        <f t="shared" si="0"/>
        <v>985985</v>
      </c>
    </row>
    <row r="7" spans="1:12" x14ac:dyDescent="0.25">
      <c r="A7" s="382" t="s">
        <v>201</v>
      </c>
      <c r="B7" s="383">
        <v>1500</v>
      </c>
      <c r="C7" s="383">
        <f>'3. sz. melléklet'!C23</f>
        <v>1500</v>
      </c>
      <c r="D7" s="383">
        <f>'3. sz. melléklet'!D23</f>
        <v>1500</v>
      </c>
      <c r="E7" s="383">
        <v>1800</v>
      </c>
      <c r="F7" s="383">
        <v>1100</v>
      </c>
      <c r="G7" s="383">
        <v>1100</v>
      </c>
      <c r="H7" s="383">
        <v>1100</v>
      </c>
      <c r="I7" s="383">
        <v>800</v>
      </c>
      <c r="J7" s="383">
        <v>800</v>
      </c>
      <c r="K7" s="383">
        <v>800</v>
      </c>
      <c r="L7" s="388">
        <f t="shared" si="0"/>
        <v>10500</v>
      </c>
    </row>
    <row r="8" spans="1:12" ht="30.75" customHeight="1" x14ac:dyDescent="0.25">
      <c r="A8" s="382" t="s">
        <v>202</v>
      </c>
      <c r="B8" s="383">
        <v>48244</v>
      </c>
      <c r="C8" s="383">
        <f>'3. sz. melléklet'!C26+'3. sz. melléklet'!C27</f>
        <v>108002</v>
      </c>
      <c r="D8" s="383">
        <f>'3. sz. melléklet'!D26+'3. sz. melléklet'!D27</f>
        <v>109486</v>
      </c>
      <c r="E8" s="383">
        <v>10000</v>
      </c>
      <c r="F8" s="383">
        <v>10000</v>
      </c>
      <c r="G8" s="383">
        <v>10000</v>
      </c>
      <c r="H8" s="383">
        <v>10000</v>
      </c>
      <c r="I8" s="383">
        <v>10000</v>
      </c>
      <c r="J8" s="383">
        <v>10000</v>
      </c>
      <c r="K8" s="383">
        <v>10000</v>
      </c>
      <c r="L8" s="388">
        <f t="shared" si="0"/>
        <v>227730</v>
      </c>
    </row>
    <row r="9" spans="1:12" ht="31.5" customHeight="1" x14ac:dyDescent="0.25">
      <c r="A9" s="382" t="s">
        <v>203</v>
      </c>
      <c r="B9" s="383">
        <v>87862</v>
      </c>
      <c r="C9" s="383">
        <f>'3. sz. melléklet'!C28</f>
        <v>87862</v>
      </c>
      <c r="D9" s="383">
        <f>'3. sz. melléklet'!D28</f>
        <v>94592</v>
      </c>
      <c r="E9" s="383">
        <v>71000</v>
      </c>
      <c r="F9" s="383">
        <v>70000</v>
      </c>
      <c r="G9" s="383">
        <v>69000</v>
      </c>
      <c r="H9" s="383">
        <v>68000</v>
      </c>
      <c r="I9" s="383">
        <v>67000</v>
      </c>
      <c r="J9" s="383">
        <v>67000</v>
      </c>
      <c r="K9" s="383">
        <v>67000</v>
      </c>
      <c r="L9" s="388">
        <f t="shared" si="0"/>
        <v>661454</v>
      </c>
    </row>
    <row r="10" spans="1:12" x14ac:dyDescent="0.25">
      <c r="A10" s="382" t="s">
        <v>204</v>
      </c>
      <c r="B10" s="383">
        <v>6900</v>
      </c>
      <c r="C10" s="383">
        <f>'3. sz. melléklet'!C21+'3. sz. melléklet'!C22</f>
        <v>6990</v>
      </c>
      <c r="D10" s="383">
        <f>'3. sz. melléklet'!D21+'3. sz. melléklet'!D22</f>
        <v>7401</v>
      </c>
      <c r="E10" s="383">
        <v>12000</v>
      </c>
      <c r="F10" s="383">
        <v>10000</v>
      </c>
      <c r="G10" s="383">
        <v>10000</v>
      </c>
      <c r="H10" s="383">
        <v>10000</v>
      </c>
      <c r="I10" s="383">
        <v>10000</v>
      </c>
      <c r="J10" s="383">
        <v>10000</v>
      </c>
      <c r="K10" s="383">
        <v>10000</v>
      </c>
      <c r="L10" s="388">
        <f t="shared" si="0"/>
        <v>86301</v>
      </c>
    </row>
    <row r="11" spans="1:12" ht="60" customHeight="1" x14ac:dyDescent="0.25">
      <c r="A11" s="380" t="s">
        <v>205</v>
      </c>
      <c r="B11" s="381">
        <v>383913</v>
      </c>
      <c r="C11" s="381">
        <f>'3. sz. melléklet'!C25+'3. sz. melléklet'!C35</f>
        <v>554212</v>
      </c>
      <c r="D11" s="595">
        <f>'3. sz. melléklet'!D25+'3. sz. melléklet'!D34+'3. sz. melléklet'!D35</f>
        <v>581879</v>
      </c>
      <c r="E11" s="381">
        <v>69000</v>
      </c>
      <c r="F11" s="381">
        <v>68000</v>
      </c>
      <c r="G11" s="381">
        <v>67000</v>
      </c>
      <c r="H11" s="381">
        <v>66000</v>
      </c>
      <c r="I11" s="381">
        <v>66000</v>
      </c>
      <c r="J11" s="381">
        <v>66000</v>
      </c>
      <c r="K11" s="381">
        <v>66000</v>
      </c>
      <c r="L11" s="388">
        <f t="shared" si="0"/>
        <v>1433792</v>
      </c>
    </row>
    <row r="12" spans="1:12" x14ac:dyDescent="0.25">
      <c r="A12" s="380" t="s">
        <v>206</v>
      </c>
      <c r="B12" s="381">
        <f t="shared" ref="B12:K12" si="2">SUM(B4+B5+B6+B11)</f>
        <v>2558154</v>
      </c>
      <c r="C12" s="381">
        <f t="shared" si="2"/>
        <v>2874597</v>
      </c>
      <c r="D12" s="381">
        <f t="shared" si="2"/>
        <v>2910889</v>
      </c>
      <c r="E12" s="381">
        <f t="shared" si="2"/>
        <v>2184300</v>
      </c>
      <c r="F12" s="381">
        <f t="shared" si="2"/>
        <v>2179600</v>
      </c>
      <c r="G12" s="381">
        <f t="shared" si="2"/>
        <v>2177900</v>
      </c>
      <c r="H12" s="381">
        <f t="shared" si="2"/>
        <v>2183900</v>
      </c>
      <c r="I12" s="381">
        <f t="shared" si="2"/>
        <v>2182600</v>
      </c>
      <c r="J12" s="381">
        <f t="shared" si="2"/>
        <v>2182600</v>
      </c>
      <c r="K12" s="381">
        <f t="shared" si="2"/>
        <v>2182600</v>
      </c>
      <c r="L12" s="388">
        <f>B12+SUM(D12:K12)</f>
        <v>20742543</v>
      </c>
    </row>
    <row r="13" spans="1:12" x14ac:dyDescent="0.25">
      <c r="A13" s="380" t="s">
        <v>207</v>
      </c>
      <c r="B13" s="381">
        <f t="shared" ref="B13:K13" si="3">B12/2</f>
        <v>1279077</v>
      </c>
      <c r="C13" s="381">
        <f t="shared" si="3"/>
        <v>1437298.5</v>
      </c>
      <c r="D13" s="381">
        <f t="shared" si="3"/>
        <v>1455444.5</v>
      </c>
      <c r="E13" s="381">
        <f t="shared" si="3"/>
        <v>1092150</v>
      </c>
      <c r="F13" s="381">
        <f t="shared" si="3"/>
        <v>1089800</v>
      </c>
      <c r="G13" s="381">
        <f t="shared" si="3"/>
        <v>1088950</v>
      </c>
      <c r="H13" s="381">
        <f t="shared" si="3"/>
        <v>1091950</v>
      </c>
      <c r="I13" s="381">
        <f t="shared" si="3"/>
        <v>1091300</v>
      </c>
      <c r="J13" s="381">
        <f t="shared" si="3"/>
        <v>1091300</v>
      </c>
      <c r="K13" s="381">
        <f t="shared" si="3"/>
        <v>1091300</v>
      </c>
      <c r="L13" s="388">
        <f t="shared" si="0"/>
        <v>10371271.5</v>
      </c>
    </row>
    <row r="14" spans="1:12" ht="33" customHeight="1" x14ac:dyDescent="0.25">
      <c r="A14" s="380" t="s">
        <v>208</v>
      </c>
      <c r="B14" s="381">
        <f t="shared" ref="B14" si="4">SUM(B15)</f>
        <v>120610</v>
      </c>
      <c r="C14" s="381">
        <f>C15</f>
        <v>700152</v>
      </c>
      <c r="D14" s="381">
        <f t="shared" ref="D14:K14" si="5">D15</f>
        <v>700152</v>
      </c>
      <c r="E14" s="381">
        <f t="shared" si="5"/>
        <v>116394</v>
      </c>
      <c r="F14" s="381">
        <f t="shared" si="5"/>
        <v>114638</v>
      </c>
      <c r="G14" s="381">
        <f t="shared" si="5"/>
        <v>104121</v>
      </c>
      <c r="H14" s="381">
        <f t="shared" si="5"/>
        <v>76393</v>
      </c>
      <c r="I14" s="381">
        <f t="shared" si="5"/>
        <v>75109</v>
      </c>
      <c r="J14" s="381">
        <f t="shared" si="5"/>
        <v>73826</v>
      </c>
      <c r="K14" s="381">
        <f t="shared" si="5"/>
        <v>72540</v>
      </c>
      <c r="L14" s="388">
        <f t="shared" si="0"/>
        <v>1453783</v>
      </c>
    </row>
    <row r="15" spans="1:12" ht="30" x14ac:dyDescent="0.25">
      <c r="A15" s="382" t="s">
        <v>209</v>
      </c>
      <c r="B15" s="383">
        <v>120610</v>
      </c>
      <c r="C15" s="383">
        <f>'13. sz. melléklet'!N8+'13. sz. melléklet'!N9</f>
        <v>700152</v>
      </c>
      <c r="D15" s="383">
        <f>'13. sz. melléklet'!N8+'13. sz. melléklet'!N9</f>
        <v>700152</v>
      </c>
      <c r="E15" s="383">
        <f>'13. sz. melléklet'!N11+'13. sz. melléklet'!N12</f>
        <v>116394</v>
      </c>
      <c r="F15" s="383">
        <f>'13. sz. melléklet'!N14+'13. sz. melléklet'!N15</f>
        <v>114638</v>
      </c>
      <c r="G15" s="383">
        <f>'13. sz. melléklet'!N17+'13. sz. melléklet'!N18</f>
        <v>104121</v>
      </c>
      <c r="H15" s="383">
        <f>'13. sz. melléklet'!N20+'13. sz. melléklet'!N21</f>
        <v>76393</v>
      </c>
      <c r="I15" s="383">
        <f>'13. sz. melléklet'!N23+'13. sz. melléklet'!N24</f>
        <v>75109</v>
      </c>
      <c r="J15" s="383">
        <f>'13. sz. melléklet'!N26+'13. sz. melléklet'!N27</f>
        <v>73826</v>
      </c>
      <c r="K15" s="383">
        <f>'13. sz. melléklet'!N29+'13. sz. melléklet'!N30</f>
        <v>72540</v>
      </c>
      <c r="L15" s="388">
        <f t="shared" si="0"/>
        <v>1453783</v>
      </c>
    </row>
    <row r="16" spans="1:12" ht="30.75" customHeight="1" x14ac:dyDescent="0.25">
      <c r="A16" s="380" t="s">
        <v>210</v>
      </c>
      <c r="B16" s="381">
        <v>0</v>
      </c>
      <c r="C16" s="381">
        <v>0</v>
      </c>
      <c r="D16" s="381">
        <v>0</v>
      </c>
      <c r="E16" s="381">
        <v>0</v>
      </c>
      <c r="F16" s="381">
        <v>0</v>
      </c>
      <c r="G16" s="381">
        <v>0</v>
      </c>
      <c r="H16" s="381">
        <v>0</v>
      </c>
      <c r="I16" s="381">
        <v>0</v>
      </c>
      <c r="J16" s="381">
        <v>0</v>
      </c>
      <c r="K16" s="381">
        <v>0</v>
      </c>
      <c r="L16" s="388">
        <f t="shared" si="0"/>
        <v>0</v>
      </c>
    </row>
    <row r="17" spans="1:12" ht="27.75" customHeight="1" x14ac:dyDescent="0.25">
      <c r="A17" s="380" t="s">
        <v>211</v>
      </c>
      <c r="B17" s="381">
        <f t="shared" ref="B17" si="6">B14+B16</f>
        <v>120610</v>
      </c>
      <c r="C17" s="381">
        <f>C14+C16</f>
        <v>700152</v>
      </c>
      <c r="D17" s="381">
        <f t="shared" ref="D17:K17" si="7">D14+D16</f>
        <v>700152</v>
      </c>
      <c r="E17" s="381">
        <f t="shared" si="7"/>
        <v>116394</v>
      </c>
      <c r="F17" s="381">
        <f t="shared" si="7"/>
        <v>114638</v>
      </c>
      <c r="G17" s="381">
        <f t="shared" si="7"/>
        <v>104121</v>
      </c>
      <c r="H17" s="381">
        <f t="shared" si="7"/>
        <v>76393</v>
      </c>
      <c r="I17" s="381">
        <f t="shared" si="7"/>
        <v>75109</v>
      </c>
      <c r="J17" s="381">
        <f t="shared" si="7"/>
        <v>73826</v>
      </c>
      <c r="K17" s="381">
        <f t="shared" si="7"/>
        <v>72540</v>
      </c>
      <c r="L17" s="388">
        <f t="shared" si="0"/>
        <v>1453783</v>
      </c>
    </row>
    <row r="18" spans="1:12" s="208" customFormat="1" ht="29.25" thickBot="1" x14ac:dyDescent="0.25">
      <c r="A18" s="384" t="s">
        <v>212</v>
      </c>
      <c r="B18" s="385">
        <f t="shared" ref="B18:K18" si="8">B13-B17</f>
        <v>1158467</v>
      </c>
      <c r="C18" s="385">
        <f t="shared" si="8"/>
        <v>737146.5</v>
      </c>
      <c r="D18" s="385">
        <f t="shared" si="8"/>
        <v>755292.5</v>
      </c>
      <c r="E18" s="385">
        <f t="shared" si="8"/>
        <v>975756</v>
      </c>
      <c r="F18" s="385">
        <f t="shared" si="8"/>
        <v>975162</v>
      </c>
      <c r="G18" s="385">
        <f t="shared" si="8"/>
        <v>984829</v>
      </c>
      <c r="H18" s="385">
        <f t="shared" si="8"/>
        <v>1015557</v>
      </c>
      <c r="I18" s="385">
        <f t="shared" si="8"/>
        <v>1016191</v>
      </c>
      <c r="J18" s="385">
        <f t="shared" si="8"/>
        <v>1017474</v>
      </c>
      <c r="K18" s="385">
        <f t="shared" si="8"/>
        <v>1018760</v>
      </c>
      <c r="L18" s="388">
        <f>B18+SUM(D18:K18)</f>
        <v>8917488.5</v>
      </c>
    </row>
  </sheetData>
  <sheetProtection selectLockedCells="1" selectUnlockedCells="1"/>
  <mergeCells count="1">
    <mergeCell ref="A1:L1"/>
  </mergeCells>
  <pageMargins left="0.70866141732283472" right="0.70866141732283472" top="0.74803149606299213" bottom="0.74803149606299213" header="0.31496062992125984" footer="0.51181102362204722"/>
  <pageSetup paperSize="9" scale="78" firstPageNumber="0" orientation="landscape" horizontalDpi="300" verticalDpi="300" r:id="rId1"/>
  <headerFooter alignWithMargins="0">
    <oddHeader xml:space="preserve">&amp;L13. melléklet a 28/2017.(XII.21.)  önkormányzati rendelethez
13. melléklet a 24/2016.(XII.16.)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view="pageBreakPreview" zoomScale="90" zoomScaleNormal="79" zoomScaleSheetLayoutView="90" workbookViewId="0">
      <selection activeCell="E22" sqref="E22"/>
    </sheetView>
  </sheetViews>
  <sheetFormatPr defaultRowHeight="15" x14ac:dyDescent="0.2"/>
  <cols>
    <col min="1" max="1" width="42.28515625" style="42" customWidth="1"/>
    <col min="2" max="4" width="15" style="42" customWidth="1"/>
    <col min="5" max="5" width="42.28515625" style="42" customWidth="1"/>
    <col min="6" max="6" width="16.5703125" style="42" customWidth="1"/>
    <col min="7" max="7" width="15" style="42" customWidth="1"/>
    <col min="8" max="8" width="15.28515625" style="42" customWidth="1"/>
    <col min="9" max="9" width="14.28515625" style="42" customWidth="1"/>
    <col min="10" max="16384" width="9.140625" style="42"/>
  </cols>
  <sheetData>
    <row r="2" spans="1:9" s="43" customFormat="1" ht="15.75" x14ac:dyDescent="0.25">
      <c r="A2" s="1537" t="s">
        <v>189</v>
      </c>
      <c r="B2" s="1537"/>
      <c r="C2" s="1537"/>
      <c r="D2" s="1537"/>
      <c r="E2" s="1537"/>
      <c r="F2" s="1537"/>
      <c r="G2" s="1537"/>
      <c r="H2" s="1537"/>
    </row>
    <row r="3" spans="1:9" s="43" customFormat="1" ht="15.75" x14ac:dyDescent="0.25">
      <c r="A3" s="91"/>
    </row>
    <row r="4" spans="1:9" s="43" customFormat="1" ht="15.75" x14ac:dyDescent="0.25">
      <c r="A4" s="44" t="s">
        <v>130</v>
      </c>
    </row>
    <row r="5" spans="1:9" s="43" customFormat="1" ht="16.5" thickBot="1" x14ac:dyDescent="0.3"/>
    <row r="6" spans="1:9" s="43" customFormat="1" ht="16.5" thickBot="1" x14ac:dyDescent="0.3">
      <c r="A6" s="1535" t="s">
        <v>96</v>
      </c>
      <c r="B6" s="1533"/>
      <c r="C6" s="1536"/>
      <c r="D6" s="508"/>
      <c r="E6" s="1532" t="s">
        <v>128</v>
      </c>
      <c r="F6" s="1533"/>
      <c r="G6" s="1533"/>
      <c r="H6" s="1534"/>
      <c r="I6" s="515"/>
    </row>
    <row r="7" spans="1:9" s="43" customFormat="1" ht="16.5" thickBot="1" x14ac:dyDescent="0.3">
      <c r="A7" s="422" t="s">
        <v>129</v>
      </c>
      <c r="B7" s="423" t="s">
        <v>3</v>
      </c>
      <c r="C7" s="424" t="s">
        <v>225</v>
      </c>
      <c r="D7" s="424" t="s">
        <v>235</v>
      </c>
      <c r="E7" s="425" t="s">
        <v>129</v>
      </c>
      <c r="F7" s="426" t="s">
        <v>3</v>
      </c>
      <c r="G7" s="427" t="s">
        <v>215</v>
      </c>
      <c r="H7" s="428" t="s">
        <v>225</v>
      </c>
      <c r="I7" s="516" t="s">
        <v>235</v>
      </c>
    </row>
    <row r="8" spans="1:9" s="43" customFormat="1" ht="15.75" x14ac:dyDescent="0.25">
      <c r="A8" s="417" t="s">
        <v>130</v>
      </c>
      <c r="B8" s="418">
        <v>200000</v>
      </c>
      <c r="C8" s="418">
        <v>0</v>
      </c>
      <c r="D8" s="418">
        <v>0</v>
      </c>
      <c r="E8" s="419" t="s">
        <v>63</v>
      </c>
      <c r="F8" s="420">
        <f>SUM(F9:F11)</f>
        <v>175000</v>
      </c>
      <c r="G8" s="421">
        <f>SUM(G9:G11)</f>
        <v>0</v>
      </c>
      <c r="H8" s="421">
        <f>SUM(H9:H11)</f>
        <v>0</v>
      </c>
      <c r="I8" s="421">
        <f>SUM(I9:I11)</f>
        <v>0</v>
      </c>
    </row>
    <row r="9" spans="1:9" s="43" customFormat="1" ht="15.75" x14ac:dyDescent="0.25">
      <c r="A9" s="393"/>
      <c r="B9" s="394"/>
      <c r="C9" s="394"/>
      <c r="D9" s="512"/>
      <c r="E9" s="395" t="s">
        <v>185</v>
      </c>
      <c r="F9" s="396">
        <v>70000</v>
      </c>
      <c r="G9" s="397">
        <v>0</v>
      </c>
      <c r="H9" s="405"/>
      <c r="I9" s="517"/>
    </row>
    <row r="10" spans="1:9" s="43" customFormat="1" ht="15.75" x14ac:dyDescent="0.25">
      <c r="A10" s="393"/>
      <c r="B10" s="394"/>
      <c r="C10" s="394"/>
      <c r="D10" s="512"/>
      <c r="E10" s="395" t="s">
        <v>186</v>
      </c>
      <c r="F10" s="396">
        <v>45000</v>
      </c>
      <c r="G10" s="397">
        <v>0</v>
      </c>
      <c r="H10" s="405"/>
      <c r="I10" s="517"/>
    </row>
    <row r="11" spans="1:9" s="43" customFormat="1" ht="47.25" x14ac:dyDescent="0.25">
      <c r="A11" s="393"/>
      <c r="B11" s="394"/>
      <c r="C11" s="394"/>
      <c r="D11" s="512"/>
      <c r="E11" s="395" t="s">
        <v>187</v>
      </c>
      <c r="F11" s="396">
        <v>60000</v>
      </c>
      <c r="G11" s="397">
        <v>0</v>
      </c>
      <c r="H11" s="405"/>
      <c r="I11" s="517"/>
    </row>
    <row r="12" spans="1:9" s="43" customFormat="1" ht="15.75" x14ac:dyDescent="0.25">
      <c r="A12" s="393"/>
      <c r="B12" s="398"/>
      <c r="C12" s="398"/>
      <c r="D12" s="513"/>
      <c r="E12" s="392" t="s">
        <v>62</v>
      </c>
      <c r="F12" s="399">
        <f>SUM(F13)</f>
        <v>25000</v>
      </c>
      <c r="G12" s="400">
        <f>SUM(G13)</f>
        <v>0</v>
      </c>
      <c r="H12" s="400">
        <f>SUM(H13)</f>
        <v>0</v>
      </c>
      <c r="I12" s="400">
        <f>SUM(I13)</f>
        <v>0</v>
      </c>
    </row>
    <row r="13" spans="1:9" s="43" customFormat="1" ht="16.5" thickBot="1" x14ac:dyDescent="0.3">
      <c r="A13" s="406"/>
      <c r="B13" s="407"/>
      <c r="C13" s="407"/>
      <c r="D13" s="514"/>
      <c r="E13" s="408" t="s">
        <v>188</v>
      </c>
      <c r="F13" s="409">
        <v>25000</v>
      </c>
      <c r="G13" s="410">
        <v>0</v>
      </c>
      <c r="H13" s="411"/>
      <c r="I13" s="518"/>
    </row>
    <row r="14" spans="1:9" s="43" customFormat="1" ht="16.5" thickBot="1" x14ac:dyDescent="0.3">
      <c r="A14" s="412" t="s">
        <v>72</v>
      </c>
      <c r="B14" s="413">
        <f>SUM(B8:B13)</f>
        <v>200000</v>
      </c>
      <c r="C14" s="413">
        <f>SUM(C8:C13)</f>
        <v>0</v>
      </c>
      <c r="D14" s="413">
        <f>SUM(D8:D13)</f>
        <v>0</v>
      </c>
      <c r="E14" s="414" t="s">
        <v>72</v>
      </c>
      <c r="F14" s="415">
        <f>SUM(F8,F12)</f>
        <v>200000</v>
      </c>
      <c r="G14" s="416">
        <f>SUM(G8,G12)</f>
        <v>0</v>
      </c>
      <c r="H14" s="416">
        <f>SUM(H8,H12)</f>
        <v>0</v>
      </c>
      <c r="I14" s="416">
        <f>SUM(I8,I12)</f>
        <v>0</v>
      </c>
    </row>
    <row r="15" spans="1:9" s="43" customFormat="1" ht="15.75" x14ac:dyDescent="0.25">
      <c r="A15" s="403"/>
      <c r="B15" s="404"/>
      <c r="C15" s="404"/>
      <c r="D15" s="404"/>
      <c r="E15" s="403"/>
      <c r="F15" s="404"/>
      <c r="G15" s="404"/>
      <c r="H15" s="401"/>
    </row>
    <row r="16" spans="1:9" x14ac:dyDescent="0.2">
      <c r="A16" s="402"/>
      <c r="B16" s="402"/>
      <c r="C16" s="402"/>
      <c r="D16" s="402"/>
      <c r="E16" s="402"/>
      <c r="F16" s="402"/>
      <c r="G16" s="402"/>
      <c r="H16" s="402"/>
    </row>
    <row r="17" spans="1:8" x14ac:dyDescent="0.2">
      <c r="A17" s="402"/>
      <c r="B17" s="402"/>
      <c r="C17" s="402"/>
      <c r="D17" s="402"/>
      <c r="E17" s="402"/>
      <c r="F17" s="402"/>
      <c r="G17" s="402"/>
      <c r="H17" s="402"/>
    </row>
    <row r="18" spans="1:8" ht="15.75" x14ac:dyDescent="0.25">
      <c r="A18" s="401"/>
      <c r="B18" s="401"/>
      <c r="C18" s="401"/>
      <c r="D18" s="401"/>
      <c r="E18" s="401"/>
      <c r="F18" s="401"/>
      <c r="G18" s="401"/>
      <c r="H18" s="402"/>
    </row>
  </sheetData>
  <sheetProtection selectLockedCells="1" selectUnlockedCells="1"/>
  <mergeCells count="3">
    <mergeCell ref="E6:H6"/>
    <mergeCell ref="A6:C6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headerFooter alignWithMargins="0">
    <oddHeader xml:space="preserve">&amp;L&amp;"Arial,Normál"14. melléklet a 28/2017.(XII.21.)  önkormányzati rendelethez
14. melléklet a 24/2016.(XII.16.)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zoomScaleNormal="100" zoomScaleSheetLayoutView="7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2" sqref="A2:G2"/>
    </sheetView>
  </sheetViews>
  <sheetFormatPr defaultRowHeight="15.75" x14ac:dyDescent="0.25"/>
  <cols>
    <col min="1" max="1" width="10.85546875" style="681" customWidth="1"/>
    <col min="2" max="2" width="75.42578125" style="681" customWidth="1"/>
    <col min="3" max="3" width="15.5703125" style="683" customWidth="1"/>
    <col min="4" max="4" width="8.140625" style="681" customWidth="1"/>
    <col min="5" max="5" width="14.42578125" style="681" customWidth="1"/>
    <col min="6" max="6" width="14.7109375" style="681" customWidth="1"/>
    <col min="7" max="8" width="14.7109375" style="682" customWidth="1"/>
    <col min="9" max="16384" width="9.140625" style="681"/>
  </cols>
  <sheetData>
    <row r="2" spans="1:8" x14ac:dyDescent="0.25">
      <c r="A2" s="1538" t="s">
        <v>548</v>
      </c>
      <c r="B2" s="1538"/>
      <c r="C2" s="1538"/>
      <c r="D2" s="1538"/>
      <c r="E2" s="1538"/>
      <c r="F2" s="1538"/>
      <c r="G2" s="1538"/>
      <c r="H2" s="681"/>
    </row>
    <row r="3" spans="1:8" x14ac:dyDescent="0.25">
      <c r="A3" s="1539" t="s">
        <v>547</v>
      </c>
      <c r="B3" s="1539"/>
      <c r="C3" s="1539"/>
      <c r="D3" s="1539"/>
      <c r="E3" s="1539"/>
      <c r="F3" s="1539"/>
      <c r="G3" s="1539"/>
      <c r="H3" s="681"/>
    </row>
    <row r="4" spans="1:8" ht="19.5" thickBot="1" x14ac:dyDescent="0.35">
      <c r="A4" s="1543"/>
      <c r="B4" s="1543"/>
      <c r="C4" s="1543"/>
      <c r="D4" s="1543"/>
      <c r="E4" s="1543"/>
      <c r="F4" s="1543"/>
    </row>
    <row r="5" spans="1:8" ht="18" customHeight="1" thickTop="1" x14ac:dyDescent="0.25">
      <c r="A5" s="1544" t="s">
        <v>546</v>
      </c>
      <c r="B5" s="1546" t="s">
        <v>545</v>
      </c>
      <c r="C5" s="1548" t="s">
        <v>544</v>
      </c>
      <c r="D5" s="1549"/>
      <c r="E5" s="1549"/>
      <c r="F5" s="1550" t="s">
        <v>543</v>
      </c>
      <c r="G5" s="1559" t="s">
        <v>542</v>
      </c>
      <c r="H5" s="1559" t="s">
        <v>541</v>
      </c>
    </row>
    <row r="6" spans="1:8" ht="69.75" customHeight="1" thickBot="1" x14ac:dyDescent="0.25">
      <c r="A6" s="1545"/>
      <c r="B6" s="1547"/>
      <c r="C6" s="1552" t="s">
        <v>540</v>
      </c>
      <c r="D6" s="1553"/>
      <c r="E6" s="818" t="s">
        <v>539</v>
      </c>
      <c r="F6" s="1551"/>
      <c r="G6" s="1560"/>
      <c r="H6" s="1560"/>
    </row>
    <row r="7" spans="1:8" ht="20.25" customHeight="1" thickTop="1" x14ac:dyDescent="0.25">
      <c r="A7" s="817" t="s">
        <v>503</v>
      </c>
      <c r="B7" s="816" t="s">
        <v>538</v>
      </c>
      <c r="C7" s="815"/>
      <c r="D7" s="814"/>
      <c r="E7" s="813"/>
      <c r="F7" s="812"/>
      <c r="G7" s="811"/>
      <c r="H7" s="811"/>
    </row>
    <row r="8" spans="1:8" x14ac:dyDescent="0.25">
      <c r="A8" s="810" t="s">
        <v>537</v>
      </c>
      <c r="B8" s="809" t="s">
        <v>536</v>
      </c>
      <c r="C8" s="808">
        <v>58.41</v>
      </c>
      <c r="D8" s="807" t="s">
        <v>400</v>
      </c>
      <c r="E8" s="789">
        <v>4580000</v>
      </c>
      <c r="F8" s="746">
        <v>267518</v>
      </c>
      <c r="G8" s="702">
        <v>267518</v>
      </c>
      <c r="H8" s="702">
        <v>267518</v>
      </c>
    </row>
    <row r="9" spans="1:8" x14ac:dyDescent="0.25">
      <c r="A9" s="806" t="s">
        <v>521</v>
      </c>
      <c r="B9" s="747" t="s">
        <v>535</v>
      </c>
      <c r="C9" s="805"/>
      <c r="D9" s="802"/>
      <c r="E9" s="791"/>
      <c r="F9" s="758"/>
      <c r="G9" s="702"/>
      <c r="H9" s="702"/>
    </row>
    <row r="10" spans="1:8" x14ac:dyDescent="0.25">
      <c r="A10" s="734" t="s">
        <v>534</v>
      </c>
      <c r="B10" s="804" t="s">
        <v>533</v>
      </c>
      <c r="C10" s="803">
        <v>1705.6</v>
      </c>
      <c r="D10" s="802" t="s">
        <v>532</v>
      </c>
      <c r="E10" s="791">
        <v>22300</v>
      </c>
      <c r="F10" s="731">
        <v>38035</v>
      </c>
      <c r="G10" s="702">
        <v>38028</v>
      </c>
      <c r="H10" s="702">
        <v>38028</v>
      </c>
    </row>
    <row r="11" spans="1:8" s="798" customFormat="1" x14ac:dyDescent="0.25">
      <c r="A11" s="734" t="s">
        <v>531</v>
      </c>
      <c r="B11" s="801" t="s">
        <v>530</v>
      </c>
      <c r="C11" s="800">
        <v>207.9</v>
      </c>
      <c r="D11" s="728" t="s">
        <v>523</v>
      </c>
      <c r="E11" s="799">
        <v>400000</v>
      </c>
      <c r="F11" s="731">
        <v>83160</v>
      </c>
      <c r="G11" s="702">
        <v>82960</v>
      </c>
      <c r="H11" s="702">
        <v>82960</v>
      </c>
    </row>
    <row r="12" spans="1:8" s="797" customFormat="1" x14ac:dyDescent="0.25">
      <c r="A12" s="734" t="s">
        <v>529</v>
      </c>
      <c r="B12" s="796" t="s">
        <v>528</v>
      </c>
      <c r="C12" s="735">
        <v>129404</v>
      </c>
      <c r="D12" s="728" t="s">
        <v>527</v>
      </c>
      <c r="E12" s="791" t="s">
        <v>526</v>
      </c>
      <c r="F12" s="731">
        <v>13458</v>
      </c>
      <c r="G12" s="702">
        <v>13458</v>
      </c>
      <c r="H12" s="702">
        <v>13458</v>
      </c>
    </row>
    <row r="13" spans="1:8" x14ac:dyDescent="0.25">
      <c r="A13" s="734" t="s">
        <v>525</v>
      </c>
      <c r="B13" s="796" t="s">
        <v>524</v>
      </c>
      <c r="C13" s="795">
        <v>102.37</v>
      </c>
      <c r="D13" s="728" t="s">
        <v>523</v>
      </c>
      <c r="E13" s="742" t="s">
        <v>522</v>
      </c>
      <c r="F13" s="731">
        <v>30199</v>
      </c>
      <c r="G13" s="702">
        <v>30211</v>
      </c>
      <c r="H13" s="702">
        <v>30211</v>
      </c>
    </row>
    <row r="14" spans="1:8" x14ac:dyDescent="0.25">
      <c r="A14" s="748" t="s">
        <v>521</v>
      </c>
      <c r="B14" s="761" t="s">
        <v>520</v>
      </c>
      <c r="C14" s="735"/>
      <c r="D14" s="728"/>
      <c r="E14" s="794"/>
      <c r="F14" s="746">
        <f>SUM(F10:F13)</f>
        <v>164852</v>
      </c>
      <c r="G14" s="793">
        <f>SUM(G10:G13)</f>
        <v>164657</v>
      </c>
      <c r="H14" s="793">
        <f>SUM(H10:H13)</f>
        <v>164657</v>
      </c>
    </row>
    <row r="15" spans="1:8" x14ac:dyDescent="0.25">
      <c r="A15" s="748" t="s">
        <v>519</v>
      </c>
      <c r="B15" s="792" t="s">
        <v>518</v>
      </c>
      <c r="C15" s="791">
        <v>23458</v>
      </c>
      <c r="D15" s="790" t="s">
        <v>400</v>
      </c>
      <c r="E15" s="742">
        <v>2700</v>
      </c>
      <c r="F15" s="746">
        <v>63336</v>
      </c>
      <c r="G15" s="702">
        <v>63337</v>
      </c>
      <c r="H15" s="702">
        <v>63337</v>
      </c>
    </row>
    <row r="16" spans="1:8" ht="24" customHeight="1" x14ac:dyDescent="0.25">
      <c r="A16" s="748" t="s">
        <v>517</v>
      </c>
      <c r="B16" s="792" t="s">
        <v>516</v>
      </c>
      <c r="C16" s="791">
        <v>723</v>
      </c>
      <c r="D16" s="790" t="s">
        <v>400</v>
      </c>
      <c r="E16" s="788" t="s">
        <v>515</v>
      </c>
      <c r="F16" s="746">
        <v>1844</v>
      </c>
      <c r="G16" s="702">
        <v>1856</v>
      </c>
      <c r="H16" s="702">
        <v>1856</v>
      </c>
    </row>
    <row r="17" spans="1:8" ht="25.5" x14ac:dyDescent="0.25">
      <c r="A17" s="748" t="s">
        <v>514</v>
      </c>
      <c r="B17" s="761" t="s">
        <v>513</v>
      </c>
      <c r="C17" s="789">
        <v>40466685</v>
      </c>
      <c r="D17" s="749" t="s">
        <v>392</v>
      </c>
      <c r="E17" s="788" t="s">
        <v>512</v>
      </c>
      <c r="F17" s="746">
        <v>40467</v>
      </c>
      <c r="G17" s="702">
        <v>37862</v>
      </c>
      <c r="H17" s="702">
        <v>37862</v>
      </c>
    </row>
    <row r="18" spans="1:8" ht="15" customHeight="1" x14ac:dyDescent="0.25">
      <c r="A18" s="752" t="s">
        <v>511</v>
      </c>
      <c r="B18" s="786" t="s">
        <v>510</v>
      </c>
      <c r="C18" s="785"/>
      <c r="D18" s="784"/>
      <c r="E18" s="783"/>
      <c r="F18" s="737">
        <f>F8+F14+F15+F16+F17</f>
        <v>538017</v>
      </c>
      <c r="G18" s="778">
        <f>G8+G14+G15+G16+G17</f>
        <v>535230</v>
      </c>
      <c r="H18" s="778">
        <f>H8+H14+H15+H16+H17</f>
        <v>535230</v>
      </c>
    </row>
    <row r="19" spans="1:8" ht="15" customHeight="1" x14ac:dyDescent="0.25">
      <c r="A19" s="752" t="s">
        <v>509</v>
      </c>
      <c r="B19" s="786" t="s">
        <v>508</v>
      </c>
      <c r="C19" s="785">
        <v>0</v>
      </c>
      <c r="D19" s="784" t="s">
        <v>507</v>
      </c>
      <c r="E19" s="783" t="s">
        <v>506</v>
      </c>
      <c r="F19" s="737">
        <v>70</v>
      </c>
      <c r="G19" s="773">
        <v>0</v>
      </c>
      <c r="H19" s="773">
        <v>0</v>
      </c>
    </row>
    <row r="20" spans="1:8" ht="23.25" customHeight="1" x14ac:dyDescent="0.25">
      <c r="A20" s="752" t="s">
        <v>505</v>
      </c>
      <c r="B20" s="786" t="s">
        <v>504</v>
      </c>
      <c r="C20" s="787"/>
      <c r="D20" s="784"/>
      <c r="E20" s="783"/>
      <c r="F20" s="737">
        <v>1407</v>
      </c>
      <c r="G20" s="773">
        <v>1255</v>
      </c>
      <c r="H20" s="773">
        <v>1255</v>
      </c>
    </row>
    <row r="21" spans="1:8" ht="15" customHeight="1" x14ac:dyDescent="0.25">
      <c r="A21" s="752" t="s">
        <v>503</v>
      </c>
      <c r="B21" s="786" t="s">
        <v>502</v>
      </c>
      <c r="C21" s="785"/>
      <c r="D21" s="784"/>
      <c r="E21" s="783"/>
      <c r="F21" s="737">
        <f>SUM(F18:F20)</f>
        <v>539494</v>
      </c>
      <c r="G21" s="1350">
        <f>SUM(G18:G20)</f>
        <v>536485</v>
      </c>
      <c r="H21" s="1350">
        <f>SUM(H18:H20)</f>
        <v>536485</v>
      </c>
    </row>
    <row r="22" spans="1:8" ht="30" customHeight="1" x14ac:dyDescent="0.25">
      <c r="A22" s="748" t="s">
        <v>492</v>
      </c>
      <c r="B22" s="782" t="s">
        <v>501</v>
      </c>
      <c r="C22" s="780"/>
      <c r="D22" s="749"/>
      <c r="E22" s="742"/>
      <c r="F22" s="746"/>
      <c r="G22" s="702"/>
      <c r="H22" s="702"/>
    </row>
    <row r="23" spans="1:8" ht="15.75" customHeight="1" x14ac:dyDescent="0.25">
      <c r="A23" s="748"/>
      <c r="B23" s="730" t="s">
        <v>500</v>
      </c>
      <c r="C23" s="781">
        <v>49.8</v>
      </c>
      <c r="D23" s="749" t="s">
        <v>400</v>
      </c>
      <c r="E23" s="742">
        <v>4469900</v>
      </c>
      <c r="F23" s="731">
        <v>146613</v>
      </c>
      <c r="G23" s="702">
        <v>148401</v>
      </c>
      <c r="H23" s="702">
        <v>148401</v>
      </c>
    </row>
    <row r="24" spans="1:8" ht="15.75" customHeight="1" x14ac:dyDescent="0.25">
      <c r="A24" s="748"/>
      <c r="B24" s="730" t="s">
        <v>499</v>
      </c>
      <c r="C24" s="781">
        <v>49.8</v>
      </c>
      <c r="D24" s="749" t="s">
        <v>400</v>
      </c>
      <c r="E24" s="742">
        <v>4469900</v>
      </c>
      <c r="F24" s="731">
        <v>73307</v>
      </c>
      <c r="G24" s="702">
        <v>73307</v>
      </c>
      <c r="H24" s="702">
        <f>73307+894</f>
        <v>74201</v>
      </c>
    </row>
    <row r="25" spans="1:8" ht="15.75" customHeight="1" x14ac:dyDescent="0.25">
      <c r="A25" s="748"/>
      <c r="B25" s="730" t="s">
        <v>498</v>
      </c>
      <c r="C25" s="781">
        <v>49.8</v>
      </c>
      <c r="D25" s="749" t="s">
        <v>400</v>
      </c>
      <c r="E25" s="742">
        <v>38200</v>
      </c>
      <c r="F25" s="731">
        <v>1879</v>
      </c>
      <c r="G25" s="702">
        <v>1879</v>
      </c>
      <c r="H25" s="702">
        <f>1879+23</f>
        <v>1902</v>
      </c>
    </row>
    <row r="26" spans="1:8" ht="15.75" customHeight="1" x14ac:dyDescent="0.25">
      <c r="A26" s="748"/>
      <c r="B26" s="730" t="s">
        <v>497</v>
      </c>
      <c r="C26" s="781">
        <v>34</v>
      </c>
      <c r="D26" s="749" t="s">
        <v>400</v>
      </c>
      <c r="E26" s="742">
        <v>1800000</v>
      </c>
      <c r="F26" s="731">
        <v>40800</v>
      </c>
      <c r="G26" s="702">
        <v>40800</v>
      </c>
      <c r="H26" s="702">
        <v>40800</v>
      </c>
    </row>
    <row r="27" spans="1:8" ht="35.25" customHeight="1" x14ac:dyDescent="0.25">
      <c r="A27" s="748"/>
      <c r="B27" s="730" t="s">
        <v>496</v>
      </c>
      <c r="C27" s="781">
        <v>0</v>
      </c>
      <c r="D27" s="749" t="s">
        <v>400</v>
      </c>
      <c r="E27" s="742">
        <v>4469900</v>
      </c>
      <c r="F27" s="731">
        <v>0</v>
      </c>
      <c r="G27" s="702">
        <v>0</v>
      </c>
      <c r="H27" s="702">
        <v>0</v>
      </c>
    </row>
    <row r="28" spans="1:8" ht="15.75" customHeight="1" x14ac:dyDescent="0.25">
      <c r="A28" s="748"/>
      <c r="B28" s="730" t="s">
        <v>495</v>
      </c>
      <c r="C28" s="781">
        <v>33.9</v>
      </c>
      <c r="D28" s="749" t="s">
        <v>400</v>
      </c>
      <c r="E28" s="742">
        <v>1800000</v>
      </c>
      <c r="F28" s="731">
        <v>20400</v>
      </c>
      <c r="G28" s="702">
        <v>20400</v>
      </c>
      <c r="H28" s="702">
        <f>20400-60</f>
        <v>20340</v>
      </c>
    </row>
    <row r="29" spans="1:8" ht="39" customHeight="1" x14ac:dyDescent="0.25">
      <c r="A29" s="748"/>
      <c r="B29" s="730" t="s">
        <v>494</v>
      </c>
      <c r="C29" s="781">
        <v>0</v>
      </c>
      <c r="D29" s="749" t="s">
        <v>400</v>
      </c>
      <c r="E29" s="742">
        <v>4469900</v>
      </c>
      <c r="F29" s="731">
        <v>0</v>
      </c>
      <c r="G29" s="702">
        <v>0</v>
      </c>
      <c r="H29" s="702">
        <v>0</v>
      </c>
    </row>
    <row r="30" spans="1:8" ht="39" customHeight="1" x14ac:dyDescent="0.25">
      <c r="A30" s="748"/>
      <c r="B30" s="730" t="s">
        <v>493</v>
      </c>
      <c r="C30" s="781">
        <v>0</v>
      </c>
      <c r="D30" s="749" t="s">
        <v>400</v>
      </c>
      <c r="E30" s="779">
        <v>38200</v>
      </c>
      <c r="F30" s="731">
        <v>0</v>
      </c>
      <c r="G30" s="702">
        <v>0</v>
      </c>
      <c r="H30" s="702">
        <v>0</v>
      </c>
    </row>
    <row r="31" spans="1:8" ht="28.5" customHeight="1" x14ac:dyDescent="0.25">
      <c r="A31" s="752" t="s">
        <v>492</v>
      </c>
      <c r="B31" s="770" t="s">
        <v>491</v>
      </c>
      <c r="C31" s="780"/>
      <c r="D31" s="749"/>
      <c r="E31" s="779"/>
      <c r="F31" s="737">
        <f>SUM(F23:F30)</f>
        <v>282999</v>
      </c>
      <c r="G31" s="778">
        <f>SUM(G23:G30)</f>
        <v>284787</v>
      </c>
      <c r="H31" s="778">
        <f>SUM(H23:H30)</f>
        <v>285644</v>
      </c>
    </row>
    <row r="32" spans="1:8" x14ac:dyDescent="0.25">
      <c r="A32" s="748" t="s">
        <v>490</v>
      </c>
      <c r="B32" s="761" t="s">
        <v>489</v>
      </c>
      <c r="C32" s="750"/>
      <c r="D32" s="749"/>
      <c r="E32" s="742"/>
      <c r="F32" s="746"/>
      <c r="G32" s="702"/>
      <c r="H32" s="702"/>
    </row>
    <row r="33" spans="1:9" x14ac:dyDescent="0.25">
      <c r="A33" s="772" t="s">
        <v>488</v>
      </c>
      <c r="B33" s="747" t="s">
        <v>487</v>
      </c>
      <c r="C33" s="750">
        <v>0</v>
      </c>
      <c r="D33" s="749" t="s">
        <v>400</v>
      </c>
      <c r="E33" s="742">
        <v>81700</v>
      </c>
      <c r="F33" s="758">
        <v>0</v>
      </c>
      <c r="G33" s="702">
        <v>0</v>
      </c>
      <c r="H33" s="702">
        <v>0</v>
      </c>
    </row>
    <row r="34" spans="1:9" x14ac:dyDescent="0.25">
      <c r="A34" s="748"/>
      <c r="B34" s="747" t="s">
        <v>486</v>
      </c>
      <c r="C34" s="750">
        <v>541</v>
      </c>
      <c r="D34" s="749" t="s">
        <v>400</v>
      </c>
      <c r="E34" s="742">
        <v>81700</v>
      </c>
      <c r="F34" s="758">
        <v>28586</v>
      </c>
      <c r="G34" s="702">
        <v>29467</v>
      </c>
      <c r="H34" s="702">
        <f>29467</f>
        <v>29467</v>
      </c>
    </row>
    <row r="35" spans="1:9" x14ac:dyDescent="0.25">
      <c r="A35" s="748"/>
      <c r="B35" s="747" t="s">
        <v>485</v>
      </c>
      <c r="C35" s="750">
        <v>0</v>
      </c>
      <c r="D35" s="749" t="s">
        <v>400</v>
      </c>
      <c r="E35" s="742">
        <v>81700</v>
      </c>
      <c r="F35" s="758">
        <v>0</v>
      </c>
      <c r="G35" s="702">
        <v>0</v>
      </c>
      <c r="H35" s="702">
        <v>0</v>
      </c>
    </row>
    <row r="36" spans="1:9" x14ac:dyDescent="0.25">
      <c r="A36" s="748"/>
      <c r="B36" s="747" t="s">
        <v>484</v>
      </c>
      <c r="C36" s="750">
        <v>549</v>
      </c>
      <c r="D36" s="749" t="s">
        <v>400</v>
      </c>
      <c r="E36" s="742">
        <v>81700</v>
      </c>
      <c r="F36" s="758">
        <v>14293</v>
      </c>
      <c r="G36" s="702">
        <v>14597</v>
      </c>
      <c r="H36" s="702">
        <f>14597+354</f>
        <v>14951</v>
      </c>
    </row>
    <row r="37" spans="1:9" x14ac:dyDescent="0.25">
      <c r="A37" s="772" t="s">
        <v>483</v>
      </c>
      <c r="B37" s="747" t="s">
        <v>482</v>
      </c>
      <c r="C37" s="750"/>
      <c r="D37" s="749"/>
      <c r="E37" s="742"/>
      <c r="F37" s="758">
        <v>0</v>
      </c>
      <c r="G37" s="702">
        <v>0</v>
      </c>
      <c r="H37" s="702">
        <v>0</v>
      </c>
    </row>
    <row r="38" spans="1:9" x14ac:dyDescent="0.25">
      <c r="A38" s="752" t="s">
        <v>481</v>
      </c>
      <c r="B38" s="745" t="s">
        <v>480</v>
      </c>
      <c r="C38" s="750"/>
      <c r="D38" s="749"/>
      <c r="E38" s="742"/>
      <c r="F38" s="737">
        <f>SUM(F33:F37)</f>
        <v>42879</v>
      </c>
      <c r="G38" s="778">
        <f>SUM(G33:G37)</f>
        <v>44064</v>
      </c>
      <c r="H38" s="778">
        <f>SUM(H33:H37)</f>
        <v>44418</v>
      </c>
    </row>
    <row r="39" spans="1:9" x14ac:dyDescent="0.25">
      <c r="A39" s="748" t="s">
        <v>477</v>
      </c>
      <c r="B39" s="761" t="s">
        <v>476</v>
      </c>
      <c r="C39" s="750"/>
      <c r="D39" s="749"/>
      <c r="E39" s="742"/>
      <c r="F39" s="758"/>
      <c r="G39" s="702"/>
      <c r="H39" s="702"/>
    </row>
    <row r="40" spans="1:9" x14ac:dyDescent="0.25">
      <c r="A40" s="748"/>
      <c r="B40" s="747" t="s">
        <v>479</v>
      </c>
      <c r="C40" s="750">
        <v>10</v>
      </c>
      <c r="D40" s="749" t="s">
        <v>400</v>
      </c>
      <c r="E40" s="742">
        <v>418900</v>
      </c>
      <c r="F40" s="758">
        <v>4608</v>
      </c>
      <c r="G40" s="702">
        <v>6284</v>
      </c>
      <c r="H40" s="702">
        <f>6284-2095</f>
        <v>4189</v>
      </c>
      <c r="I40" s="777"/>
    </row>
    <row r="41" spans="1:9" x14ac:dyDescent="0.25">
      <c r="A41" s="748"/>
      <c r="B41" s="747" t="s">
        <v>478</v>
      </c>
      <c r="C41" s="750">
        <v>12</v>
      </c>
      <c r="D41" s="749" t="s">
        <v>400</v>
      </c>
      <c r="E41" s="742">
        <f>418900/12*11</f>
        <v>383991.66666666669</v>
      </c>
      <c r="F41" s="758">
        <v>1920</v>
      </c>
      <c r="G41" s="702"/>
      <c r="H41" s="702">
        <v>4608</v>
      </c>
      <c r="I41" s="777"/>
    </row>
    <row r="42" spans="1:9" x14ac:dyDescent="0.25">
      <c r="A42" s="752" t="s">
        <v>477</v>
      </c>
      <c r="B42" s="745" t="s">
        <v>476</v>
      </c>
      <c r="C42" s="750"/>
      <c r="D42" s="749"/>
      <c r="E42" s="742"/>
      <c r="F42" s="737">
        <f>SUM(F40:F41)</f>
        <v>6528</v>
      </c>
      <c r="G42" s="778">
        <f>SUM(G40:G41)</f>
        <v>6284</v>
      </c>
      <c r="H42" s="778">
        <f>SUM(H40:H41)</f>
        <v>8797</v>
      </c>
      <c r="I42" s="777"/>
    </row>
    <row r="43" spans="1:9" ht="18" customHeight="1" x14ac:dyDescent="0.25">
      <c r="A43" s="752" t="s">
        <v>475</v>
      </c>
      <c r="B43" s="770" t="s">
        <v>474</v>
      </c>
      <c r="C43" s="750"/>
      <c r="D43" s="749"/>
      <c r="E43" s="742"/>
      <c r="F43" s="737">
        <f>F31+F38+F42</f>
        <v>332406</v>
      </c>
      <c r="G43" s="778">
        <f>G31+G38+G42</f>
        <v>335135</v>
      </c>
      <c r="H43" s="778">
        <f>H31+H38+H42</f>
        <v>338859</v>
      </c>
    </row>
    <row r="44" spans="1:9" ht="18.75" customHeight="1" x14ac:dyDescent="0.25">
      <c r="A44" s="757" t="s">
        <v>473</v>
      </c>
      <c r="B44" s="776" t="s">
        <v>472</v>
      </c>
      <c r="C44" s="775"/>
      <c r="D44" s="755"/>
      <c r="E44" s="774"/>
      <c r="F44" s="754">
        <v>0</v>
      </c>
      <c r="G44" s="773">
        <v>31843</v>
      </c>
      <c r="H44" s="773">
        <f>31843+19650</f>
        <v>51493</v>
      </c>
    </row>
    <row r="45" spans="1:9" x14ac:dyDescent="0.25">
      <c r="A45" s="772" t="s">
        <v>430</v>
      </c>
      <c r="B45" s="736" t="s">
        <v>471</v>
      </c>
      <c r="C45" s="750"/>
      <c r="D45" s="749"/>
      <c r="E45" s="742"/>
      <c r="F45" s="758"/>
      <c r="G45" s="702"/>
      <c r="H45" s="702"/>
    </row>
    <row r="46" spans="1:9" ht="31.5" customHeight="1" x14ac:dyDescent="0.25">
      <c r="A46" s="748" t="s">
        <v>470</v>
      </c>
      <c r="B46" s="747" t="s">
        <v>469</v>
      </c>
      <c r="C46" s="771">
        <v>8.4</v>
      </c>
      <c r="D46" s="732" t="s">
        <v>466</v>
      </c>
      <c r="E46" s="742">
        <v>3000000</v>
      </c>
      <c r="F46" s="746">
        <v>25200</v>
      </c>
      <c r="G46" s="702">
        <v>25200</v>
      </c>
      <c r="H46" s="702">
        <v>25200</v>
      </c>
    </row>
    <row r="47" spans="1:9" ht="31.5" customHeight="1" x14ac:dyDescent="0.25">
      <c r="A47" s="748" t="s">
        <v>468</v>
      </c>
      <c r="B47" s="747" t="s">
        <v>467</v>
      </c>
      <c r="C47" s="771">
        <v>4.9000000000000004</v>
      </c>
      <c r="D47" s="732" t="s">
        <v>466</v>
      </c>
      <c r="E47" s="742">
        <v>3000000</v>
      </c>
      <c r="F47" s="746">
        <v>14700</v>
      </c>
      <c r="G47" s="702">
        <v>14700</v>
      </c>
      <c r="H47" s="702">
        <v>14700</v>
      </c>
    </row>
    <row r="48" spans="1:9" x14ac:dyDescent="0.25">
      <c r="A48" s="748" t="s">
        <v>465</v>
      </c>
      <c r="B48" s="747" t="s">
        <v>464</v>
      </c>
      <c r="C48" s="750">
        <v>65</v>
      </c>
      <c r="D48" s="749" t="s">
        <v>400</v>
      </c>
      <c r="E48" s="742">
        <v>55360</v>
      </c>
      <c r="F48" s="746">
        <v>3958</v>
      </c>
      <c r="G48" s="702">
        <v>3958</v>
      </c>
      <c r="H48" s="702">
        <v>3958</v>
      </c>
    </row>
    <row r="49" spans="1:8" ht="29.25" customHeight="1" x14ac:dyDescent="0.25">
      <c r="A49" s="734" t="s">
        <v>463</v>
      </c>
      <c r="B49" s="730" t="s">
        <v>462</v>
      </c>
      <c r="C49" s="750">
        <v>3</v>
      </c>
      <c r="D49" s="749" t="s">
        <v>459</v>
      </c>
      <c r="E49" s="742">
        <v>25000</v>
      </c>
      <c r="F49" s="731">
        <v>75</v>
      </c>
      <c r="G49" s="702">
        <v>75</v>
      </c>
      <c r="H49" s="702">
        <v>75</v>
      </c>
    </row>
    <row r="50" spans="1:8" ht="29.25" customHeight="1" x14ac:dyDescent="0.25">
      <c r="A50" s="734" t="s">
        <v>461</v>
      </c>
      <c r="B50" s="730" t="s">
        <v>460</v>
      </c>
      <c r="C50" s="750">
        <v>16</v>
      </c>
      <c r="D50" s="749" t="s">
        <v>459</v>
      </c>
      <c r="E50" s="742">
        <v>210000</v>
      </c>
      <c r="F50" s="731">
        <v>4641</v>
      </c>
      <c r="G50" s="702">
        <v>4641</v>
      </c>
      <c r="H50" s="702">
        <f>4641-273</f>
        <v>4368</v>
      </c>
    </row>
    <row r="51" spans="1:8" ht="29.25" customHeight="1" x14ac:dyDescent="0.25">
      <c r="A51" s="748" t="s">
        <v>458</v>
      </c>
      <c r="B51" s="770" t="s">
        <v>457</v>
      </c>
      <c r="C51" s="750"/>
      <c r="D51" s="749"/>
      <c r="E51" s="742"/>
      <c r="F51" s="746">
        <f>SUM(F49:F50)</f>
        <v>4716</v>
      </c>
      <c r="G51" s="769">
        <f>SUM(G49:G50)</f>
        <v>4716</v>
      </c>
      <c r="H51" s="769">
        <f>SUM(H49:H50)</f>
        <v>4443</v>
      </c>
    </row>
    <row r="52" spans="1:8" ht="47.25" x14ac:dyDescent="0.25">
      <c r="A52" s="748" t="s">
        <v>456</v>
      </c>
      <c r="B52" s="768" t="s">
        <v>455</v>
      </c>
      <c r="C52" s="750">
        <v>45</v>
      </c>
      <c r="D52" s="749" t="s">
        <v>400</v>
      </c>
      <c r="E52" s="742">
        <v>109000</v>
      </c>
      <c r="F52" s="746">
        <v>8993</v>
      </c>
      <c r="G52" s="702">
        <v>7358</v>
      </c>
      <c r="H52" s="702">
        <v>7358</v>
      </c>
    </row>
    <row r="53" spans="1:8" ht="31.5" x14ac:dyDescent="0.25">
      <c r="A53" s="748" t="s">
        <v>454</v>
      </c>
      <c r="B53" s="730" t="s">
        <v>453</v>
      </c>
      <c r="C53" s="750">
        <v>32</v>
      </c>
      <c r="D53" s="749" t="s">
        <v>400</v>
      </c>
      <c r="E53" s="742">
        <v>500000</v>
      </c>
      <c r="F53" s="746">
        <v>17600</v>
      </c>
      <c r="G53" s="702">
        <v>17600</v>
      </c>
      <c r="H53" s="702">
        <v>17600</v>
      </c>
    </row>
    <row r="54" spans="1:8" ht="31.5" x14ac:dyDescent="0.25">
      <c r="A54" s="748" t="s">
        <v>452</v>
      </c>
      <c r="B54" s="730" t="s">
        <v>451</v>
      </c>
      <c r="C54" s="750">
        <v>35</v>
      </c>
      <c r="D54" s="749" t="s">
        <v>400</v>
      </c>
      <c r="E54" s="742">
        <v>206100</v>
      </c>
      <c r="F54" s="746">
        <v>8656</v>
      </c>
      <c r="G54" s="702">
        <v>8656</v>
      </c>
      <c r="H54" s="702">
        <v>8656</v>
      </c>
    </row>
    <row r="55" spans="1:8" x14ac:dyDescent="0.25">
      <c r="A55" s="752" t="s">
        <v>444</v>
      </c>
      <c r="B55" s="745" t="s">
        <v>450</v>
      </c>
      <c r="C55" s="740"/>
      <c r="D55" s="749"/>
      <c r="E55" s="742"/>
      <c r="F55" s="737"/>
      <c r="G55" s="702"/>
      <c r="H55" s="702"/>
    </row>
    <row r="56" spans="1:8" x14ac:dyDescent="0.25">
      <c r="A56" s="734" t="s">
        <v>446</v>
      </c>
      <c r="B56" s="730" t="s">
        <v>449</v>
      </c>
      <c r="C56" s="750">
        <v>72</v>
      </c>
      <c r="D56" s="749" t="s">
        <v>400</v>
      </c>
      <c r="E56" s="742">
        <v>494100</v>
      </c>
      <c r="F56" s="758">
        <v>36563</v>
      </c>
      <c r="G56" s="702">
        <v>35575</v>
      </c>
      <c r="H56" s="702">
        <v>35575</v>
      </c>
    </row>
    <row r="57" spans="1:8" ht="31.5" x14ac:dyDescent="0.25">
      <c r="A57" s="734" t="s">
        <v>446</v>
      </c>
      <c r="B57" s="730" t="s">
        <v>448</v>
      </c>
      <c r="C57" s="750">
        <v>0</v>
      </c>
      <c r="D57" s="749" t="s">
        <v>400</v>
      </c>
      <c r="E57" s="742">
        <v>494100</v>
      </c>
      <c r="F57" s="758">
        <v>0</v>
      </c>
      <c r="G57" s="702">
        <v>0</v>
      </c>
      <c r="H57" s="702">
        <v>0</v>
      </c>
    </row>
    <row r="58" spans="1:8" ht="31.5" x14ac:dyDescent="0.25">
      <c r="A58" s="734" t="s">
        <v>446</v>
      </c>
      <c r="B58" s="730" t="s">
        <v>447</v>
      </c>
      <c r="C58" s="750">
        <v>0</v>
      </c>
      <c r="D58" s="749" t="s">
        <v>400</v>
      </c>
      <c r="E58" s="742">
        <v>494100</v>
      </c>
      <c r="F58" s="758">
        <v>0</v>
      </c>
      <c r="G58" s="702">
        <v>0</v>
      </c>
      <c r="H58" s="702">
        <v>0</v>
      </c>
    </row>
    <row r="59" spans="1:8" x14ac:dyDescent="0.25">
      <c r="A59" s="734" t="s">
        <v>446</v>
      </c>
      <c r="B59" s="736" t="s">
        <v>445</v>
      </c>
      <c r="C59" s="750">
        <v>4</v>
      </c>
      <c r="D59" s="749" t="s">
        <v>400</v>
      </c>
      <c r="E59" s="742">
        <v>494100</v>
      </c>
      <c r="F59" s="758">
        <v>2965</v>
      </c>
      <c r="G59" s="702">
        <v>2965</v>
      </c>
      <c r="H59" s="702">
        <v>2965</v>
      </c>
    </row>
    <row r="60" spans="1:8" x14ac:dyDescent="0.25">
      <c r="A60" s="752" t="s">
        <v>444</v>
      </c>
      <c r="B60" s="745" t="s">
        <v>443</v>
      </c>
      <c r="C60" s="750"/>
      <c r="D60" s="749"/>
      <c r="E60" s="742"/>
      <c r="F60" s="737">
        <f>SUM(F56:F59)</f>
        <v>39528</v>
      </c>
      <c r="G60" s="759">
        <f>SUM(G56:G59)</f>
        <v>38540</v>
      </c>
      <c r="H60" s="759">
        <f>SUM(H56:H59)</f>
        <v>38540</v>
      </c>
    </row>
    <row r="61" spans="1:8" x14ac:dyDescent="0.25">
      <c r="A61" s="748" t="s">
        <v>442</v>
      </c>
      <c r="B61" s="730" t="s">
        <v>441</v>
      </c>
      <c r="C61" s="750">
        <v>32</v>
      </c>
      <c r="D61" s="749" t="s">
        <v>440</v>
      </c>
      <c r="E61" s="742">
        <f>468350*110%</f>
        <v>515185.00000000006</v>
      </c>
      <c r="F61" s="746">
        <v>16486</v>
      </c>
      <c r="G61" s="702">
        <v>16486</v>
      </c>
      <c r="H61" s="702">
        <v>16486</v>
      </c>
    </row>
    <row r="62" spans="1:8" x14ac:dyDescent="0.25">
      <c r="A62" s="748" t="s">
        <v>439</v>
      </c>
      <c r="B62" s="730" t="s">
        <v>438</v>
      </c>
      <c r="C62" s="750">
        <v>1</v>
      </c>
      <c r="D62" s="767" t="s">
        <v>433</v>
      </c>
      <c r="E62" s="742">
        <v>3000000</v>
      </c>
      <c r="F62" s="746">
        <v>3000</v>
      </c>
      <c r="G62" s="702">
        <v>3000</v>
      </c>
      <c r="H62" s="702">
        <v>3000</v>
      </c>
    </row>
    <row r="63" spans="1:8" x14ac:dyDescent="0.25">
      <c r="A63" s="748"/>
      <c r="B63" s="730" t="s">
        <v>437</v>
      </c>
      <c r="C63" s="750">
        <v>2884</v>
      </c>
      <c r="D63" s="767" t="s">
        <v>431</v>
      </c>
      <c r="E63" s="742">
        <v>1800</v>
      </c>
      <c r="F63" s="746">
        <v>5191</v>
      </c>
      <c r="G63" s="702">
        <v>5191</v>
      </c>
      <c r="H63" s="702">
        <v>5191</v>
      </c>
    </row>
    <row r="64" spans="1:8" ht="21.75" customHeight="1" x14ac:dyDescent="0.25">
      <c r="A64" s="748"/>
      <c r="B64" s="730" t="s">
        <v>436</v>
      </c>
      <c r="C64" s="750">
        <v>2485</v>
      </c>
      <c r="D64" s="767" t="s">
        <v>431</v>
      </c>
      <c r="E64" s="742">
        <v>1800</v>
      </c>
      <c r="F64" s="746">
        <v>4473</v>
      </c>
      <c r="G64" s="702">
        <v>4473</v>
      </c>
      <c r="H64" s="702">
        <v>4473</v>
      </c>
    </row>
    <row r="65" spans="1:8" x14ac:dyDescent="0.25">
      <c r="A65" s="748" t="s">
        <v>435</v>
      </c>
      <c r="B65" s="730" t="s">
        <v>434</v>
      </c>
      <c r="C65" s="750">
        <v>1</v>
      </c>
      <c r="D65" s="767" t="s">
        <v>433</v>
      </c>
      <c r="E65" s="742">
        <v>2000000</v>
      </c>
      <c r="F65" s="746">
        <v>2000</v>
      </c>
      <c r="G65" s="702">
        <v>2000</v>
      </c>
      <c r="H65" s="702">
        <v>2000</v>
      </c>
    </row>
    <row r="66" spans="1:8" x14ac:dyDescent="0.25">
      <c r="A66" s="748"/>
      <c r="B66" s="730" t="s">
        <v>432</v>
      </c>
      <c r="C66" s="750">
        <v>40</v>
      </c>
      <c r="D66" s="767" t="s">
        <v>431</v>
      </c>
      <c r="E66" s="742">
        <v>150000</v>
      </c>
      <c r="F66" s="746">
        <v>6000</v>
      </c>
      <c r="G66" s="702">
        <v>6000</v>
      </c>
      <c r="H66" s="702">
        <v>6000</v>
      </c>
    </row>
    <row r="67" spans="1:8" ht="18.75" customHeight="1" x14ac:dyDescent="0.25">
      <c r="A67" s="752" t="s">
        <v>430</v>
      </c>
      <c r="B67" s="745" t="s">
        <v>429</v>
      </c>
      <c r="C67" s="750"/>
      <c r="D67" s="749"/>
      <c r="E67" s="742"/>
      <c r="F67" s="737">
        <f>F46+F47+F48+F51+F52+F53+F54+F60+F61+F62+F63+F64+F65+F66</f>
        <v>160501</v>
      </c>
      <c r="G67" s="759">
        <f>G46+G47+G48+G51+G52+G53+G54+G60+G61+G62+G63+G64+G65+G66</f>
        <v>157878</v>
      </c>
      <c r="H67" s="759">
        <f>H46+H47+H48+H51+H52+H53+H54+H60+H61+H62+H63+H64+H65+H66</f>
        <v>157605</v>
      </c>
    </row>
    <row r="68" spans="1:8" ht="18" customHeight="1" x14ac:dyDescent="0.25">
      <c r="A68" s="765" t="s">
        <v>426</v>
      </c>
      <c r="B68" s="764" t="s">
        <v>428</v>
      </c>
      <c r="C68" s="763">
        <v>42</v>
      </c>
      <c r="D68" s="749" t="s">
        <v>400</v>
      </c>
      <c r="E68" s="742">
        <v>2606040</v>
      </c>
      <c r="F68" s="758">
        <v>109454</v>
      </c>
      <c r="G68" s="702">
        <v>109454</v>
      </c>
      <c r="H68" s="702">
        <v>109454</v>
      </c>
    </row>
    <row r="69" spans="1:8" ht="18" customHeight="1" x14ac:dyDescent="0.25">
      <c r="A69" s="765" t="s">
        <v>426</v>
      </c>
      <c r="B69" s="764" t="s">
        <v>427</v>
      </c>
      <c r="C69" s="766"/>
      <c r="D69" s="749"/>
      <c r="E69" s="762"/>
      <c r="F69" s="758">
        <v>47361</v>
      </c>
      <c r="G69" s="702">
        <f>52149-6342</f>
        <v>45807</v>
      </c>
      <c r="H69" s="702">
        <v>45807</v>
      </c>
    </row>
    <row r="70" spans="1:8" ht="18" customHeight="1" x14ac:dyDescent="0.25">
      <c r="A70" s="765" t="s">
        <v>426</v>
      </c>
      <c r="B70" s="764" t="s">
        <v>425</v>
      </c>
      <c r="C70" s="1561" t="s">
        <v>424</v>
      </c>
      <c r="D70" s="1562"/>
      <c r="E70" s="762"/>
      <c r="F70" s="758"/>
      <c r="G70" s="702"/>
      <c r="H70" s="702">
        <v>12224</v>
      </c>
    </row>
    <row r="71" spans="1:8" ht="18" customHeight="1" x14ac:dyDescent="0.25">
      <c r="A71" s="752" t="s">
        <v>423</v>
      </c>
      <c r="B71" s="764" t="s">
        <v>422</v>
      </c>
      <c r="C71" s="763"/>
      <c r="D71" s="749"/>
      <c r="E71" s="762"/>
      <c r="F71" s="737">
        <f>SUM(F68:F69)</f>
        <v>156815</v>
      </c>
      <c r="G71" s="759">
        <f>SUM(G68:G69)</f>
        <v>155261</v>
      </c>
      <c r="H71" s="759">
        <f>SUM(H68:H70)</f>
        <v>167485</v>
      </c>
    </row>
    <row r="72" spans="1:8" ht="16.5" customHeight="1" x14ac:dyDescent="0.25">
      <c r="A72" s="748" t="s">
        <v>415</v>
      </c>
      <c r="B72" s="761" t="s">
        <v>421</v>
      </c>
      <c r="C72" s="750"/>
      <c r="D72" s="749"/>
      <c r="E72" s="742"/>
      <c r="F72" s="746"/>
      <c r="G72" s="702"/>
      <c r="H72" s="702"/>
    </row>
    <row r="73" spans="1:8" ht="26.25" customHeight="1" x14ac:dyDescent="0.25">
      <c r="A73" s="734" t="s">
        <v>420</v>
      </c>
      <c r="B73" s="730" t="s">
        <v>419</v>
      </c>
      <c r="C73" s="750">
        <v>36.51</v>
      </c>
      <c r="D73" s="749" t="s">
        <v>418</v>
      </c>
      <c r="E73" s="742">
        <v>1632000</v>
      </c>
      <c r="F73" s="758">
        <v>59193</v>
      </c>
      <c r="G73" s="702">
        <v>61412</v>
      </c>
      <c r="H73" s="702">
        <f>61412-1828</f>
        <v>59584</v>
      </c>
    </row>
    <row r="74" spans="1:8" ht="17.25" customHeight="1" x14ac:dyDescent="0.25">
      <c r="A74" s="734" t="s">
        <v>417</v>
      </c>
      <c r="B74" s="747" t="s">
        <v>416</v>
      </c>
      <c r="C74" s="760"/>
      <c r="D74" s="749"/>
      <c r="E74" s="742"/>
      <c r="F74" s="758">
        <v>55253</v>
      </c>
      <c r="G74" s="702">
        <v>62712</v>
      </c>
      <c r="H74" s="702">
        <v>62712</v>
      </c>
    </row>
    <row r="75" spans="1:8" ht="18.75" customHeight="1" x14ac:dyDescent="0.25">
      <c r="A75" s="752" t="s">
        <v>415</v>
      </c>
      <c r="B75" s="745" t="s">
        <v>414</v>
      </c>
      <c r="C75" s="760"/>
      <c r="D75" s="749"/>
      <c r="E75" s="742"/>
      <c r="F75" s="737">
        <f>SUM(F73:F74)</f>
        <v>114446</v>
      </c>
      <c r="G75" s="759">
        <f>SUM(G73:G74)</f>
        <v>124124</v>
      </c>
      <c r="H75" s="759">
        <f>SUM(H73:H74)</f>
        <v>122296</v>
      </c>
    </row>
    <row r="76" spans="1:8" ht="17.25" customHeight="1" x14ac:dyDescent="0.25">
      <c r="A76" s="752" t="s">
        <v>413</v>
      </c>
      <c r="B76" s="747" t="s">
        <v>412</v>
      </c>
      <c r="C76" s="742">
        <v>1776</v>
      </c>
      <c r="D76" s="749" t="s">
        <v>400</v>
      </c>
      <c r="E76" s="742">
        <v>285</v>
      </c>
      <c r="F76" s="758">
        <v>449</v>
      </c>
      <c r="G76" s="702">
        <v>505</v>
      </c>
      <c r="H76" s="702">
        <f>505+1</f>
        <v>506</v>
      </c>
    </row>
    <row r="77" spans="1:8" ht="33" customHeight="1" x14ac:dyDescent="0.25">
      <c r="A77" s="757" t="s">
        <v>411</v>
      </c>
      <c r="B77" s="753" t="s">
        <v>410</v>
      </c>
      <c r="C77" s="756">
        <v>3.8</v>
      </c>
      <c r="D77" s="755" t="s">
        <v>400</v>
      </c>
      <c r="E77" s="742">
        <v>1508760</v>
      </c>
      <c r="F77" s="754">
        <v>4526</v>
      </c>
      <c r="G77" s="702">
        <v>5733</v>
      </c>
      <c r="H77" s="702">
        <v>5733</v>
      </c>
    </row>
    <row r="78" spans="1:8" ht="30.75" customHeight="1" x14ac:dyDescent="0.25">
      <c r="A78" s="1351" t="s">
        <v>409</v>
      </c>
      <c r="B78" s="753" t="s">
        <v>408</v>
      </c>
      <c r="C78" s="744"/>
      <c r="D78" s="743"/>
      <c r="E78" s="742"/>
      <c r="F78" s="1352">
        <f>F67+F71+F75+F76+F44+F77</f>
        <v>436737</v>
      </c>
      <c r="G78" s="778">
        <f>G44+G67+G71+G75+G76+G77</f>
        <v>475344</v>
      </c>
      <c r="H78" s="778">
        <f>H44+H67+H71+H75+H76+H77</f>
        <v>505118</v>
      </c>
    </row>
    <row r="79" spans="1:8" ht="15.75" customHeight="1" x14ac:dyDescent="0.25">
      <c r="A79" s="752" t="s">
        <v>407</v>
      </c>
      <c r="B79" s="751" t="s">
        <v>406</v>
      </c>
      <c r="C79" s="750"/>
      <c r="D79" s="749"/>
      <c r="E79" s="742"/>
      <c r="F79" s="737"/>
      <c r="G79" s="702"/>
      <c r="H79" s="702"/>
    </row>
    <row r="80" spans="1:8" ht="15.75" customHeight="1" x14ac:dyDescent="0.25">
      <c r="A80" s="748" t="s">
        <v>405</v>
      </c>
      <c r="B80" s="730" t="s">
        <v>404</v>
      </c>
      <c r="C80" s="750"/>
      <c r="D80" s="749"/>
      <c r="E80" s="742" t="s">
        <v>403</v>
      </c>
      <c r="F80" s="746">
        <v>97200</v>
      </c>
      <c r="G80" s="702">
        <v>97200</v>
      </c>
      <c r="H80" s="702">
        <v>97200</v>
      </c>
    </row>
    <row r="81" spans="1:8" x14ac:dyDescent="0.25">
      <c r="A81" s="748" t="s">
        <v>402</v>
      </c>
      <c r="B81" s="747" t="s">
        <v>401</v>
      </c>
      <c r="C81" s="742">
        <v>23458</v>
      </c>
      <c r="D81" s="749" t="s">
        <v>400</v>
      </c>
      <c r="E81" s="742">
        <v>1140</v>
      </c>
      <c r="F81" s="746">
        <v>26742</v>
      </c>
      <c r="G81" s="702">
        <v>26742</v>
      </c>
      <c r="H81" s="702">
        <v>26742</v>
      </c>
    </row>
    <row r="82" spans="1:8" x14ac:dyDescent="0.25">
      <c r="A82" s="748" t="s">
        <v>399</v>
      </c>
      <c r="B82" s="747" t="s">
        <v>398</v>
      </c>
      <c r="C82" s="1540"/>
      <c r="D82" s="1541"/>
      <c r="E82" s="1542"/>
      <c r="F82" s="746">
        <v>749</v>
      </c>
      <c r="G82" s="702">
        <v>854</v>
      </c>
      <c r="H82" s="702">
        <v>854</v>
      </c>
    </row>
    <row r="83" spans="1:8" ht="30" customHeight="1" x14ac:dyDescent="0.25">
      <c r="A83" s="1351" t="s">
        <v>397</v>
      </c>
      <c r="B83" s="745" t="s">
        <v>396</v>
      </c>
      <c r="C83" s="744"/>
      <c r="D83" s="743"/>
      <c r="E83" s="742"/>
      <c r="F83" s="737">
        <f>SUM(F80:F82)</f>
        <v>124691</v>
      </c>
      <c r="G83" s="778">
        <f>SUM(G80:G82)</f>
        <v>124796</v>
      </c>
      <c r="H83" s="778">
        <f>SUM(H80:H82)</f>
        <v>124796</v>
      </c>
    </row>
    <row r="84" spans="1:8" ht="21.75" customHeight="1" x14ac:dyDescent="0.25">
      <c r="A84" s="741" t="s">
        <v>395</v>
      </c>
      <c r="B84" s="736" t="s">
        <v>394</v>
      </c>
      <c r="C84" s="740"/>
      <c r="D84" s="739"/>
      <c r="E84" s="738"/>
      <c r="F84" s="737"/>
      <c r="G84" s="702"/>
      <c r="H84" s="702"/>
    </row>
    <row r="85" spans="1:8" x14ac:dyDescent="0.25">
      <c r="A85" s="734"/>
      <c r="B85" s="736" t="s">
        <v>393</v>
      </c>
      <c r="C85" s="735">
        <v>71759763485</v>
      </c>
      <c r="D85" s="728" t="s">
        <v>392</v>
      </c>
      <c r="E85" s="727" t="s">
        <v>391</v>
      </c>
      <c r="F85" s="731"/>
      <c r="G85" s="702"/>
      <c r="H85" s="702"/>
    </row>
    <row r="86" spans="1:8" ht="31.5" x14ac:dyDescent="0.25">
      <c r="A86" s="734"/>
      <c r="B86" s="733" t="s">
        <v>390</v>
      </c>
      <c r="C86" s="729"/>
      <c r="D86" s="732" t="s">
        <v>389</v>
      </c>
      <c r="E86" s="727" t="s">
        <v>388</v>
      </c>
      <c r="F86" s="731"/>
      <c r="G86" s="702"/>
      <c r="H86" s="702"/>
    </row>
    <row r="87" spans="1:8" ht="31.5" x14ac:dyDescent="0.25">
      <c r="A87" s="1351" t="s">
        <v>387</v>
      </c>
      <c r="B87" s="730" t="s">
        <v>386</v>
      </c>
      <c r="C87" s="729"/>
      <c r="D87" s="728"/>
      <c r="E87" s="727"/>
      <c r="F87" s="737">
        <v>-393692</v>
      </c>
      <c r="G87" s="778">
        <v>-374945</v>
      </c>
      <c r="H87" s="778">
        <v>-374945</v>
      </c>
    </row>
    <row r="88" spans="1:8" s="719" customFormat="1" ht="27.75" customHeight="1" thickBot="1" x14ac:dyDescent="0.3">
      <c r="A88" s="726"/>
      <c r="B88" s="725" t="s">
        <v>385</v>
      </c>
      <c r="C88" s="724"/>
      <c r="D88" s="723"/>
      <c r="E88" s="722"/>
      <c r="F88" s="721">
        <f>F21+F43+F78+F83+F87</f>
        <v>1039636</v>
      </c>
      <c r="G88" s="720">
        <f>G21+G43+G78+G83+G87</f>
        <v>1096815</v>
      </c>
      <c r="H88" s="720">
        <f>H21+H43+H78+H83+H87</f>
        <v>1130313</v>
      </c>
    </row>
    <row r="89" spans="1:8" ht="17.25" customHeight="1" thickTop="1" x14ac:dyDescent="0.25">
      <c r="A89" s="718"/>
      <c r="B89" s="717" t="s">
        <v>384</v>
      </c>
      <c r="C89" s="716"/>
      <c r="D89" s="715"/>
      <c r="E89" s="714"/>
      <c r="F89" s="713">
        <v>-64946</v>
      </c>
      <c r="G89" s="712">
        <v>0</v>
      </c>
      <c r="H89" s="712">
        <v>0</v>
      </c>
    </row>
    <row r="90" spans="1:8" ht="17.25" customHeight="1" thickBot="1" x14ac:dyDescent="0.3">
      <c r="A90" s="701"/>
      <c r="B90" s="711" t="s">
        <v>383</v>
      </c>
      <c r="C90" s="710"/>
      <c r="D90" s="709"/>
      <c r="E90" s="708"/>
      <c r="F90" s="707">
        <v>0</v>
      </c>
      <c r="G90" s="706">
        <v>2170</v>
      </c>
      <c r="H90" s="706">
        <v>2170</v>
      </c>
    </row>
    <row r="91" spans="1:8" ht="17.25" customHeight="1" x14ac:dyDescent="0.25">
      <c r="A91" s="701"/>
      <c r="B91" s="1563" t="s">
        <v>382</v>
      </c>
      <c r="C91" s="1564"/>
      <c r="D91" s="1564"/>
      <c r="E91" s="1564"/>
      <c r="F91" s="705">
        <v>0</v>
      </c>
      <c r="G91" s="704">
        <v>6199</v>
      </c>
      <c r="H91" s="704">
        <f>6199+3475</f>
        <v>9674</v>
      </c>
    </row>
    <row r="92" spans="1:8" ht="17.25" customHeight="1" x14ac:dyDescent="0.25">
      <c r="A92" s="701"/>
      <c r="B92" s="1563" t="s">
        <v>381</v>
      </c>
      <c r="C92" s="1564"/>
      <c r="D92" s="1564"/>
      <c r="E92" s="1564"/>
      <c r="F92" s="703"/>
      <c r="G92" s="702">
        <v>5960</v>
      </c>
      <c r="H92" s="702">
        <f>5960+3877</f>
        <v>9837</v>
      </c>
    </row>
    <row r="93" spans="1:8" ht="17.25" customHeight="1" x14ac:dyDescent="0.25">
      <c r="A93" s="701"/>
      <c r="B93" s="1563" t="s">
        <v>380</v>
      </c>
      <c r="C93" s="1564"/>
      <c r="D93" s="1564"/>
      <c r="E93" s="1564"/>
      <c r="F93" s="703"/>
      <c r="G93" s="702">
        <v>5876</v>
      </c>
      <c r="H93" s="702">
        <f>5876+4024</f>
        <v>9900</v>
      </c>
    </row>
    <row r="94" spans="1:8" ht="29.25" customHeight="1" x14ac:dyDescent="0.25">
      <c r="A94" s="701"/>
      <c r="B94" s="1554" t="s">
        <v>379</v>
      </c>
      <c r="C94" s="1555"/>
      <c r="D94" s="1555"/>
      <c r="E94" s="1555"/>
      <c r="F94" s="700"/>
      <c r="G94" s="699">
        <v>7280</v>
      </c>
      <c r="H94" s="699">
        <v>7280</v>
      </c>
    </row>
    <row r="95" spans="1:8" ht="17.25" customHeight="1" x14ac:dyDescent="0.25">
      <c r="A95" s="701"/>
      <c r="B95" s="1556" t="s">
        <v>378</v>
      </c>
      <c r="C95" s="1557"/>
      <c r="D95" s="1557"/>
      <c r="E95" s="1558"/>
      <c r="F95" s="700"/>
      <c r="G95" s="699"/>
      <c r="H95" s="699">
        <v>4344</v>
      </c>
    </row>
    <row r="96" spans="1:8" ht="17.25" customHeight="1" x14ac:dyDescent="0.25">
      <c r="A96" s="701"/>
      <c r="B96" s="1556" t="s">
        <v>377</v>
      </c>
      <c r="C96" s="1557"/>
      <c r="D96" s="1557"/>
      <c r="E96" s="1558"/>
      <c r="F96" s="700"/>
      <c r="G96" s="699"/>
      <c r="H96" s="699">
        <v>3187</v>
      </c>
    </row>
    <row r="97" spans="1:8" ht="24" customHeight="1" thickBot="1" x14ac:dyDescent="0.3">
      <c r="A97" s="698"/>
      <c r="B97" s="1353" t="s">
        <v>376</v>
      </c>
      <c r="C97" s="1354"/>
      <c r="D97" s="1355"/>
      <c r="E97" s="1356"/>
      <c r="F97" s="1357">
        <f>SUM(F88:F89)</f>
        <v>974690</v>
      </c>
      <c r="G97" s="720">
        <f>SUM(G88:G94)</f>
        <v>1124300</v>
      </c>
      <c r="H97" s="720">
        <f>SUM(H88:H96)</f>
        <v>1176705</v>
      </c>
    </row>
    <row r="98" spans="1:8" ht="17.25" customHeight="1" thickTop="1" x14ac:dyDescent="0.25">
      <c r="A98" s="697"/>
      <c r="B98" s="688"/>
      <c r="C98" s="697"/>
      <c r="D98" s="686"/>
      <c r="E98" s="685"/>
      <c r="F98" s="696"/>
      <c r="G98" s="689"/>
      <c r="H98" s="689"/>
    </row>
    <row r="99" spans="1:8" s="691" customFormat="1" ht="18" customHeight="1" x14ac:dyDescent="0.25">
      <c r="A99" s="692"/>
      <c r="B99" s="695"/>
      <c r="C99" s="692"/>
      <c r="D99" s="694"/>
      <c r="E99" s="693"/>
      <c r="F99" s="692"/>
      <c r="G99" s="689"/>
      <c r="H99" s="689"/>
    </row>
    <row r="100" spans="1:8" ht="15.75" customHeight="1" x14ac:dyDescent="0.25">
      <c r="B100" s="688"/>
      <c r="C100" s="687"/>
      <c r="D100" s="686"/>
      <c r="E100" s="685"/>
      <c r="F100" s="690"/>
      <c r="G100" s="689"/>
      <c r="H100" s="689"/>
    </row>
    <row r="101" spans="1:8" ht="15.75" customHeight="1" x14ac:dyDescent="0.25">
      <c r="B101" s="688"/>
      <c r="C101" s="687"/>
      <c r="D101" s="686"/>
      <c r="E101" s="685"/>
      <c r="F101" s="684"/>
    </row>
  </sheetData>
  <mergeCells count="18">
    <mergeCell ref="B94:E94"/>
    <mergeCell ref="B96:E96"/>
    <mergeCell ref="H5:H6"/>
    <mergeCell ref="G5:G6"/>
    <mergeCell ref="C70:D70"/>
    <mergeCell ref="B95:E95"/>
    <mergeCell ref="B91:E91"/>
    <mergeCell ref="B92:E92"/>
    <mergeCell ref="B93:E93"/>
    <mergeCell ref="A2:G2"/>
    <mergeCell ref="A3:G3"/>
    <mergeCell ref="C82:E82"/>
    <mergeCell ref="A4:F4"/>
    <mergeCell ref="A5:A6"/>
    <mergeCell ref="B5:B6"/>
    <mergeCell ref="C5:E5"/>
    <mergeCell ref="F5:F6"/>
    <mergeCell ref="C6:D6"/>
  </mergeCells>
  <printOptions horizontalCentered="1"/>
  <pageMargins left="0.31496062992125984" right="0.31496062992125984" top="0.51181102362204722" bottom="0.15748031496062992" header="0.15748031496062992" footer="0.15748031496062992"/>
  <pageSetup paperSize="9" scale="52" orientation="portrait" r:id="rId1"/>
  <headerFooter alignWithMargins="0">
    <oddHeader xml:space="preserve">&amp;L15. melléklet a 28/2017.(XII.21.)  önkormányzati rendelethez
15. melléklet a 24/2016.(XII.16.)  önkormányzati rendelethez
</oddHeader>
  </headerFooter>
  <rowBreaks count="1" manualBreakCount="1">
    <brk id="67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0"/>
  <sheetViews>
    <sheetView tabSelected="1" view="pageBreakPreview" zoomScaleNormal="100" zoomScaleSheetLayoutView="100" workbookViewId="0">
      <selection activeCell="G29" sqref="G29"/>
    </sheetView>
  </sheetViews>
  <sheetFormatPr defaultRowHeight="15" x14ac:dyDescent="0.25"/>
  <cols>
    <col min="1" max="1" width="64" style="45" customWidth="1"/>
    <col min="2" max="2" width="11.28515625" style="46" customWidth="1"/>
    <col min="3" max="3" width="14" style="47" customWidth="1"/>
    <col min="4" max="4" width="14.42578125" style="47" customWidth="1"/>
    <col min="5" max="16384" width="9.140625" style="47"/>
  </cols>
  <sheetData>
    <row r="1" spans="1:4" ht="15.75" x14ac:dyDescent="0.25">
      <c r="A1" s="1565" t="s">
        <v>152</v>
      </c>
      <c r="B1" s="1565"/>
      <c r="C1" s="1565"/>
      <c r="D1" s="1503"/>
    </row>
    <row r="2" spans="1:4" ht="16.5" thickBot="1" x14ac:dyDescent="0.3">
      <c r="A2" s="135"/>
      <c r="B2" s="136"/>
    </row>
    <row r="3" spans="1:4" ht="16.5" thickBot="1" x14ac:dyDescent="0.3">
      <c r="A3" s="433" t="s">
        <v>2</v>
      </c>
      <c r="B3" s="440" t="s">
        <v>3</v>
      </c>
      <c r="C3" s="432" t="s">
        <v>225</v>
      </c>
      <c r="D3" s="432" t="s">
        <v>235</v>
      </c>
    </row>
    <row r="4" spans="1:4" ht="15.75" x14ac:dyDescent="0.25">
      <c r="A4" s="434" t="s">
        <v>131</v>
      </c>
      <c r="B4" s="441">
        <f>B6+B9+B12</f>
        <v>109300</v>
      </c>
      <c r="C4" s="431">
        <f>C6+C9+C12</f>
        <v>4631</v>
      </c>
      <c r="D4" s="431">
        <f>D6+D9+D12</f>
        <v>931</v>
      </c>
    </row>
    <row r="5" spans="1:4" s="48" customFormat="1" ht="15.75" x14ac:dyDescent="0.25">
      <c r="A5" s="435"/>
      <c r="B5" s="442"/>
      <c r="C5" s="138"/>
      <c r="D5" s="138"/>
    </row>
    <row r="6" spans="1:4" s="48" customFormat="1" ht="15.75" x14ac:dyDescent="0.25">
      <c r="A6" s="436" t="s">
        <v>132</v>
      </c>
      <c r="B6" s="443">
        <f>SUM(B7)</f>
        <v>15000</v>
      </c>
      <c r="C6" s="137">
        <f>SUM(C7)</f>
        <v>3715</v>
      </c>
      <c r="D6" s="137">
        <f>SUM(D7)</f>
        <v>15</v>
      </c>
    </row>
    <row r="7" spans="1:4" s="49" customFormat="1" ht="15.75" x14ac:dyDescent="0.25">
      <c r="A7" s="437" t="s">
        <v>132</v>
      </c>
      <c r="B7" s="444">
        <v>15000</v>
      </c>
      <c r="C7" s="139">
        <v>3715</v>
      </c>
      <c r="D7" s="139">
        <f>'4.sz. melléklet'!F15</f>
        <v>15</v>
      </c>
    </row>
    <row r="8" spans="1:4" ht="15.75" x14ac:dyDescent="0.25">
      <c r="A8" s="437"/>
      <c r="B8" s="444"/>
      <c r="C8" s="139"/>
      <c r="D8" s="139"/>
    </row>
    <row r="9" spans="1:4" ht="15.75" x14ac:dyDescent="0.25">
      <c r="A9" s="436" t="s">
        <v>133</v>
      </c>
      <c r="B9" s="443">
        <f>SUM(B10:B11)</f>
        <v>80000</v>
      </c>
      <c r="C9" s="137">
        <f>SUM(C10:C11)</f>
        <v>916</v>
      </c>
      <c r="D9" s="137">
        <f>SUM(D10:D11)</f>
        <v>916</v>
      </c>
    </row>
    <row r="10" spans="1:4" s="49" customFormat="1" ht="15.75" x14ac:dyDescent="0.25">
      <c r="A10" s="437" t="s">
        <v>133</v>
      </c>
      <c r="B10" s="444">
        <v>80000</v>
      </c>
      <c r="C10" s="139">
        <v>916</v>
      </c>
      <c r="D10" s="139">
        <f>'4.sz. melléklet'!F16</f>
        <v>916</v>
      </c>
    </row>
    <row r="11" spans="1:4" ht="15.75" x14ac:dyDescent="0.25">
      <c r="A11" s="437"/>
      <c r="B11" s="444"/>
      <c r="C11" s="139"/>
      <c r="D11" s="139"/>
    </row>
    <row r="12" spans="1:4" ht="15.75" x14ac:dyDescent="0.25">
      <c r="A12" s="436" t="s">
        <v>134</v>
      </c>
      <c r="B12" s="443">
        <f>SUM(B13:B15)</f>
        <v>14300</v>
      </c>
      <c r="C12" s="137">
        <f>SUM(C13:C15)</f>
        <v>0</v>
      </c>
      <c r="D12" s="137">
        <f>SUM(D13:D15)</f>
        <v>0</v>
      </c>
    </row>
    <row r="13" spans="1:4" ht="31.5" x14ac:dyDescent="0.25">
      <c r="A13" s="437" t="s">
        <v>135</v>
      </c>
      <c r="B13" s="444">
        <v>1800</v>
      </c>
      <c r="C13" s="139">
        <v>0</v>
      </c>
      <c r="D13" s="139">
        <v>0</v>
      </c>
    </row>
    <row r="14" spans="1:4" ht="15.75" x14ac:dyDescent="0.25">
      <c r="A14" s="437" t="s">
        <v>166</v>
      </c>
      <c r="B14" s="444">
        <v>12500</v>
      </c>
      <c r="C14" s="139">
        <v>0</v>
      </c>
      <c r="D14" s="139">
        <v>0</v>
      </c>
    </row>
    <row r="15" spans="1:4" ht="15.75" hidden="1" x14ac:dyDescent="0.25">
      <c r="A15" s="437" t="s">
        <v>176</v>
      </c>
      <c r="B15" s="445"/>
      <c r="C15" s="140"/>
      <c r="D15" s="140"/>
    </row>
    <row r="16" spans="1:4" ht="15.75" x14ac:dyDescent="0.25">
      <c r="A16" s="437"/>
      <c r="B16" s="446"/>
      <c r="C16" s="141"/>
      <c r="D16" s="141"/>
    </row>
    <row r="17" spans="1:4" ht="15" customHeight="1" x14ac:dyDescent="0.25">
      <c r="A17" s="436" t="s">
        <v>136</v>
      </c>
      <c r="B17" s="443">
        <f>SUM(B19,B22)</f>
        <v>55000</v>
      </c>
      <c r="C17" s="137">
        <f>SUM(C19,C22)</f>
        <v>35000</v>
      </c>
      <c r="D17" s="137">
        <f>SUM(D19,D22)</f>
        <v>25000</v>
      </c>
    </row>
    <row r="18" spans="1:4" ht="17.25" customHeight="1" x14ac:dyDescent="0.25">
      <c r="A18" s="436"/>
      <c r="B18" s="443"/>
      <c r="C18" s="137"/>
      <c r="D18" s="137"/>
    </row>
    <row r="19" spans="1:4" ht="15.75" x14ac:dyDescent="0.25">
      <c r="A19" s="436" t="s">
        <v>137</v>
      </c>
      <c r="B19" s="443">
        <f>SUM(B20)</f>
        <v>50000</v>
      </c>
      <c r="C19" s="137">
        <f>SUM(C20)</f>
        <v>30000</v>
      </c>
      <c r="D19" s="137">
        <f>SUM(D20)</f>
        <v>25000</v>
      </c>
    </row>
    <row r="20" spans="1:4" ht="31.5" x14ac:dyDescent="0.25">
      <c r="A20" s="437" t="s">
        <v>240</v>
      </c>
      <c r="B20" s="444">
        <v>50000</v>
      </c>
      <c r="C20" s="139">
        <v>30000</v>
      </c>
      <c r="D20" s="139">
        <f>'4.sz. melléklet'!F24</f>
        <v>25000</v>
      </c>
    </row>
    <row r="21" spans="1:4" ht="15.75" x14ac:dyDescent="0.25">
      <c r="A21" s="437"/>
      <c r="B21" s="444"/>
      <c r="C21" s="139"/>
      <c r="D21" s="139"/>
    </row>
    <row r="22" spans="1:4" s="48" customFormat="1" ht="15.75" x14ac:dyDescent="0.25">
      <c r="A22" s="436" t="s">
        <v>138</v>
      </c>
      <c r="B22" s="443">
        <f>SUM(B23:B27)</f>
        <v>5000</v>
      </c>
      <c r="C22" s="137">
        <f>SUM(C23:C27)</f>
        <v>5000</v>
      </c>
      <c r="D22" s="137">
        <f>SUM(D23:D27)</f>
        <v>0</v>
      </c>
    </row>
    <row r="23" spans="1:4" s="48" customFormat="1" ht="15.75" hidden="1" x14ac:dyDescent="0.25">
      <c r="A23" s="437" t="s">
        <v>167</v>
      </c>
      <c r="B23" s="447"/>
      <c r="C23" s="142"/>
      <c r="D23" s="142"/>
    </row>
    <row r="24" spans="1:4" s="49" customFormat="1" ht="15.75" hidden="1" x14ac:dyDescent="0.25">
      <c r="A24" s="437" t="s">
        <v>168</v>
      </c>
      <c r="B24" s="447"/>
      <c r="C24" s="142"/>
      <c r="D24" s="142"/>
    </row>
    <row r="25" spans="1:4" ht="47.25" hidden="1" x14ac:dyDescent="0.25">
      <c r="A25" s="437" t="s">
        <v>169</v>
      </c>
      <c r="B25" s="447"/>
      <c r="C25" s="142"/>
      <c r="D25" s="142"/>
    </row>
    <row r="26" spans="1:4" ht="32.25" hidden="1" customHeight="1" x14ac:dyDescent="0.25">
      <c r="A26" s="437" t="s">
        <v>170</v>
      </c>
      <c r="B26" s="447"/>
      <c r="C26" s="142"/>
      <c r="D26" s="142"/>
    </row>
    <row r="27" spans="1:4" ht="15.75" x14ac:dyDescent="0.25">
      <c r="A27" s="437" t="s">
        <v>179</v>
      </c>
      <c r="B27" s="444">
        <v>5000</v>
      </c>
      <c r="C27" s="139">
        <v>5000</v>
      </c>
      <c r="D27" s="139">
        <f>'4.sz. melléklet'!F25</f>
        <v>0</v>
      </c>
    </row>
    <row r="28" spans="1:4" ht="16.5" thickBot="1" x14ac:dyDescent="0.3">
      <c r="A28" s="438"/>
      <c r="B28" s="448"/>
      <c r="C28" s="429"/>
      <c r="D28" s="429"/>
    </row>
    <row r="29" spans="1:4" ht="22.5" customHeight="1" thickBot="1" x14ac:dyDescent="0.3">
      <c r="A29" s="439" t="s">
        <v>139</v>
      </c>
      <c r="B29" s="449">
        <f>B4+B17</f>
        <v>164300</v>
      </c>
      <c r="C29" s="430">
        <f>C4+C17</f>
        <v>39631</v>
      </c>
      <c r="D29" s="430">
        <f>D4+D17</f>
        <v>25931</v>
      </c>
    </row>
    <row r="30" spans="1:4" s="49" customFormat="1" ht="14.25" x14ac:dyDescent="0.2">
      <c r="A30" s="78"/>
      <c r="B30" s="79"/>
    </row>
  </sheetData>
  <sheetProtection selectLockedCells="1" selectUnlockedCells="1"/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0" orientation="portrait" horizontalDpi="300" verticalDpi="300" r:id="rId1"/>
  <headerFooter alignWithMargins="0">
    <oddHeader xml:space="preserve">&amp;L16. melléklet a 28/2017.(XII.21.) önkormányzati rendelethez
16. melléklet a 24/2016.(XII.16.)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2"/>
  <sheetViews>
    <sheetView view="pageBreakPreview" zoomScaleNormal="79" zoomScaleSheetLayoutView="100" workbookViewId="0">
      <selection activeCell="E57" sqref="E57"/>
    </sheetView>
  </sheetViews>
  <sheetFormatPr defaultRowHeight="15" x14ac:dyDescent="0.25"/>
  <cols>
    <col min="1" max="1" width="64.42578125" style="4" customWidth="1"/>
    <col min="2" max="2" width="14.5703125" style="5" customWidth="1"/>
    <col min="3" max="3" width="13.85546875" style="5" customWidth="1"/>
    <col min="4" max="4" width="14.7109375" style="5" customWidth="1"/>
    <col min="5" max="5" width="56" style="4" customWidth="1"/>
    <col min="6" max="6" width="14.5703125" style="5" customWidth="1"/>
    <col min="7" max="7" width="14.7109375" style="6" customWidth="1"/>
    <col min="8" max="8" width="14.140625" style="6" customWidth="1"/>
    <col min="9" max="16384" width="9.140625" style="6"/>
  </cols>
  <sheetData>
    <row r="1" spans="1:8" s="7" customFormat="1" ht="15" customHeight="1" x14ac:dyDescent="0.2">
      <c r="A1" s="1424" t="s">
        <v>149</v>
      </c>
      <c r="B1" s="1424"/>
      <c r="C1" s="1424"/>
      <c r="D1" s="1424"/>
      <c r="E1" s="1424"/>
      <c r="F1" s="1424"/>
      <c r="G1" s="1424"/>
    </row>
    <row r="2" spans="1:8" ht="15.75" thickBot="1" x14ac:dyDescent="0.3"/>
    <row r="3" spans="1:8" thickBot="1" x14ac:dyDescent="0.25">
      <c r="A3" s="1425" t="s">
        <v>0</v>
      </c>
      <c r="B3" s="1426"/>
      <c r="C3" s="195"/>
      <c r="D3" s="480"/>
      <c r="E3" s="1425" t="s">
        <v>1</v>
      </c>
      <c r="F3" s="1426"/>
      <c r="G3" s="185"/>
      <c r="H3" s="482"/>
    </row>
    <row r="4" spans="1:8" thickBot="1" x14ac:dyDescent="0.25">
      <c r="A4" s="73" t="s">
        <v>2</v>
      </c>
      <c r="B4" s="93" t="s">
        <v>3</v>
      </c>
      <c r="C4" s="173" t="s">
        <v>226</v>
      </c>
      <c r="D4" s="173" t="s">
        <v>235</v>
      </c>
      <c r="E4" s="73" t="s">
        <v>2</v>
      </c>
      <c r="F4" s="93" t="s">
        <v>3</v>
      </c>
      <c r="G4" s="173" t="s">
        <v>226</v>
      </c>
      <c r="H4" s="484" t="s">
        <v>235</v>
      </c>
    </row>
    <row r="5" spans="1:8" ht="14.25" x14ac:dyDescent="0.2">
      <c r="A5" s="69" t="s">
        <v>5</v>
      </c>
      <c r="B5" s="94">
        <f>'3. sz. melléklet'!K6</f>
        <v>974690</v>
      </c>
      <c r="C5" s="174">
        <f>'3. sz. melléklet'!L6</f>
        <v>1124300</v>
      </c>
      <c r="D5" s="174">
        <f>'3. sz. melléklet'!M6</f>
        <v>1176705</v>
      </c>
      <c r="E5" s="70" t="s">
        <v>6</v>
      </c>
      <c r="F5" s="94">
        <f>'4.sz. melléklet'!M6</f>
        <v>1212281</v>
      </c>
      <c r="G5" s="174">
        <f>'4.sz. melléklet'!N6</f>
        <v>1279168</v>
      </c>
      <c r="H5" s="174">
        <f>'4.sz. melléklet'!O6</f>
        <v>1274807</v>
      </c>
    </row>
    <row r="6" spans="1:8" ht="14.25" x14ac:dyDescent="0.2">
      <c r="A6" s="585" t="s">
        <v>236</v>
      </c>
      <c r="B6" s="582"/>
      <c r="C6" s="583"/>
      <c r="D6" s="583">
        <f>'3. sz. melléklet'!D7</f>
        <v>886</v>
      </c>
      <c r="E6" s="584"/>
      <c r="F6" s="582"/>
      <c r="G6" s="583"/>
      <c r="H6" s="583"/>
    </row>
    <row r="7" spans="1:8" ht="14.25" x14ac:dyDescent="0.2">
      <c r="A7" s="52" t="s">
        <v>7</v>
      </c>
      <c r="B7" s="170">
        <f>'3. sz. melléklet'!K8</f>
        <v>237585</v>
      </c>
      <c r="C7" s="174">
        <f>'3. sz. melléklet'!L8</f>
        <v>596769</v>
      </c>
      <c r="D7" s="174">
        <f>'3. sz. melléklet'!M8</f>
        <v>653076</v>
      </c>
      <c r="E7" s="54" t="s">
        <v>49</v>
      </c>
      <c r="F7" s="170">
        <f>'4.sz. melléklet'!M7</f>
        <v>282763</v>
      </c>
      <c r="G7" s="175">
        <f>'4.sz. melléklet'!N7</f>
        <v>298883</v>
      </c>
      <c r="H7" s="175">
        <f>'4.sz. melléklet'!O7</f>
        <v>303767</v>
      </c>
    </row>
    <row r="8" spans="1:8" x14ac:dyDescent="0.25">
      <c r="A8" s="53" t="s">
        <v>8</v>
      </c>
      <c r="B8" s="151">
        <f>'3. sz. melléklet'!K9</f>
        <v>237585</v>
      </c>
      <c r="C8" s="179">
        <f>'3. sz. melléklet'!L9</f>
        <v>596769</v>
      </c>
      <c r="D8" s="179">
        <f>'3. sz. melléklet'!M9</f>
        <v>653076</v>
      </c>
      <c r="E8" s="54"/>
      <c r="F8" s="170"/>
      <c r="G8" s="175"/>
      <c r="H8" s="175"/>
    </row>
    <row r="9" spans="1:8" x14ac:dyDescent="0.25">
      <c r="A9" s="53"/>
      <c r="B9" s="151"/>
      <c r="C9" s="174"/>
      <c r="D9" s="453"/>
      <c r="E9" s="54" t="s">
        <v>11</v>
      </c>
      <c r="F9" s="170">
        <f>'4.sz. melléklet'!M8</f>
        <v>1200695</v>
      </c>
      <c r="G9" s="175">
        <f>'4.sz. melléklet'!N8</f>
        <v>1416356</v>
      </c>
      <c r="H9" s="175">
        <f>'4.sz. melléklet'!O8</f>
        <v>1514541</v>
      </c>
    </row>
    <row r="10" spans="1:8" ht="14.25" x14ac:dyDescent="0.2">
      <c r="A10" s="52" t="s">
        <v>10</v>
      </c>
      <c r="B10" s="170">
        <f>SUM(B11:B17)</f>
        <v>2114400</v>
      </c>
      <c r="C10" s="174">
        <f>SUM(C11:C17)</f>
        <v>2200786</v>
      </c>
      <c r="D10" s="174">
        <f>SUM(D11:D17)</f>
        <v>2201197</v>
      </c>
      <c r="E10" s="54" t="s">
        <v>13</v>
      </c>
      <c r="F10" s="170">
        <f>'4.sz. melléklet'!M9</f>
        <v>77825</v>
      </c>
      <c r="G10" s="175">
        <f>'4.sz. melléklet'!N9</f>
        <v>68061</v>
      </c>
      <c r="H10" s="175">
        <f>'4.sz. melléklet'!O9</f>
        <v>70315</v>
      </c>
    </row>
    <row r="11" spans="1:8" x14ac:dyDescent="0.25">
      <c r="A11" s="53" t="s">
        <v>12</v>
      </c>
      <c r="B11" s="151">
        <f>'3. sz. melléklet'!K13</f>
        <v>473000</v>
      </c>
      <c r="C11" s="179">
        <f>'3. sz. melléklet'!L13</f>
        <v>486700</v>
      </c>
      <c r="D11" s="179">
        <f>'3. sz. melléklet'!M13</f>
        <v>486700</v>
      </c>
      <c r="E11" s="54" t="s">
        <v>50</v>
      </c>
      <c r="F11" s="170">
        <f>(F12+F13+F14+F15)</f>
        <v>1076465</v>
      </c>
      <c r="G11" s="175">
        <f>'4.sz. melléklet'!N10</f>
        <v>1034209</v>
      </c>
      <c r="H11" s="175">
        <f>'4.sz. melléklet'!O10</f>
        <v>1044468</v>
      </c>
    </row>
    <row r="12" spans="1:8" x14ac:dyDescent="0.25">
      <c r="A12" s="58"/>
      <c r="B12" s="151"/>
      <c r="C12" s="179"/>
      <c r="D12" s="481"/>
      <c r="E12" s="59" t="s">
        <v>145</v>
      </c>
      <c r="F12" s="151">
        <f>'4.sz. melléklet'!M11</f>
        <v>18000</v>
      </c>
      <c r="G12" s="169">
        <f>'4.sz. melléklet'!N11</f>
        <v>15136</v>
      </c>
      <c r="H12" s="169">
        <f>'4.sz. melléklet'!O11</f>
        <v>9136</v>
      </c>
    </row>
    <row r="13" spans="1:8" x14ac:dyDescent="0.25">
      <c r="A13" s="53" t="s">
        <v>77</v>
      </c>
      <c r="B13" s="151">
        <f>'3. sz. melléklet'!K16</f>
        <v>1634500</v>
      </c>
      <c r="C13" s="179">
        <f>'3. sz. melléklet'!L16</f>
        <v>1705596</v>
      </c>
      <c r="D13" s="179">
        <f>'3. sz. melléklet'!M16</f>
        <v>1705596</v>
      </c>
      <c r="E13" s="55" t="s">
        <v>51</v>
      </c>
      <c r="F13" s="151">
        <f>'4.sz. melléklet'!M12</f>
        <v>32000</v>
      </c>
      <c r="G13" s="169">
        <f>'4.sz. melléklet'!N12</f>
        <v>48160</v>
      </c>
      <c r="H13" s="169">
        <f>'4.sz. melléklet'!O12</f>
        <v>48160</v>
      </c>
    </row>
    <row r="14" spans="1:8" x14ac:dyDescent="0.25">
      <c r="A14" s="53"/>
      <c r="B14" s="151"/>
      <c r="C14" s="179"/>
      <c r="D14" s="481"/>
      <c r="E14" s="56" t="s">
        <v>52</v>
      </c>
      <c r="F14" s="151">
        <f>'4.sz. melléklet'!M13</f>
        <v>917165</v>
      </c>
      <c r="G14" s="169">
        <f>'4.sz. melléklet'!N13</f>
        <v>966282</v>
      </c>
      <c r="H14" s="169">
        <f>'4.sz. melléklet'!O13</f>
        <v>986241</v>
      </c>
    </row>
    <row r="15" spans="1:8" x14ac:dyDescent="0.25">
      <c r="A15" s="53" t="s">
        <v>14</v>
      </c>
      <c r="B15" s="151">
        <f>'3. sz. melléklet'!K21</f>
        <v>5000</v>
      </c>
      <c r="C15" s="179">
        <f>'3. sz. melléklet'!L21</f>
        <v>5000</v>
      </c>
      <c r="D15" s="179">
        <f>'3. sz. melléklet'!M21</f>
        <v>5000</v>
      </c>
      <c r="E15" s="56" t="s">
        <v>20</v>
      </c>
      <c r="F15" s="151">
        <f>SUM(F16:F18)</f>
        <v>109300</v>
      </c>
      <c r="G15" s="169">
        <f>'4.sz. melléklet'!N14</f>
        <v>4631</v>
      </c>
      <c r="H15" s="169">
        <f>'4.sz. melléklet'!O14</f>
        <v>931</v>
      </c>
    </row>
    <row r="16" spans="1:8" x14ac:dyDescent="0.25">
      <c r="A16" s="53" t="s">
        <v>16</v>
      </c>
      <c r="B16" s="151">
        <f>'3. sz. melléklet'!K22</f>
        <v>1900</v>
      </c>
      <c r="C16" s="179">
        <f>'3. sz. melléklet'!L22</f>
        <v>1990</v>
      </c>
      <c r="D16" s="179">
        <f>'3. sz. melléklet'!M22</f>
        <v>2401</v>
      </c>
      <c r="E16" s="218" t="s">
        <v>22</v>
      </c>
      <c r="F16" s="151">
        <f>'4.sz. melléklet'!M15</f>
        <v>15000</v>
      </c>
      <c r="G16" s="169">
        <f>'4.sz. melléklet'!N15</f>
        <v>3715</v>
      </c>
      <c r="H16" s="169">
        <f>'4.sz. melléklet'!O15</f>
        <v>15</v>
      </c>
    </row>
    <row r="17" spans="1:253" ht="15" customHeight="1" x14ac:dyDescent="0.25">
      <c r="A17" s="53" t="s">
        <v>216</v>
      </c>
      <c r="B17" s="151"/>
      <c r="C17" s="179">
        <f>'3. sz. melléklet'!L23</f>
        <v>1500</v>
      </c>
      <c r="D17" s="179">
        <f>'3. sz. melléklet'!M23</f>
        <v>1500</v>
      </c>
      <c r="E17" s="218" t="s">
        <v>153</v>
      </c>
      <c r="F17" s="151">
        <f>'4.sz. melléklet'!M16</f>
        <v>80000</v>
      </c>
      <c r="G17" s="169">
        <f>'4.sz. melléklet'!N16</f>
        <v>916</v>
      </c>
      <c r="H17" s="169">
        <f>'4.sz. melléklet'!O16</f>
        <v>916</v>
      </c>
    </row>
    <row r="18" spans="1:253" x14ac:dyDescent="0.25">
      <c r="A18" s="52" t="s">
        <v>19</v>
      </c>
      <c r="B18" s="170">
        <f>SUM(B19:B25)</f>
        <v>852536</v>
      </c>
      <c r="C18" s="174">
        <f>SUM(C19:C26)</f>
        <v>1138284</v>
      </c>
      <c r="D18" s="174">
        <f>SUM(D19:D26)</f>
        <v>1164627</v>
      </c>
      <c r="E18" s="218" t="s">
        <v>25</v>
      </c>
      <c r="F18" s="151">
        <f>'4.sz. melléklet'!M17</f>
        <v>14300</v>
      </c>
      <c r="G18" s="169">
        <f>'4.sz. melléklet'!N17</f>
        <v>0</v>
      </c>
      <c r="H18" s="169">
        <f>'4.sz. melléklet'!O17</f>
        <v>0</v>
      </c>
    </row>
    <row r="19" spans="1:253" ht="30" x14ac:dyDescent="0.25">
      <c r="A19" s="53" t="s">
        <v>53</v>
      </c>
      <c r="B19" s="151">
        <f>'3. sz. melléklet'!K25</f>
        <v>390018</v>
      </c>
      <c r="C19" s="179">
        <f>'3. sz. melléklet'!L25</f>
        <v>560247</v>
      </c>
      <c r="D19" s="179">
        <f>'3. sz. melléklet'!M25</f>
        <v>585126</v>
      </c>
      <c r="E19" s="54"/>
      <c r="F19" s="171"/>
      <c r="G19" s="176"/>
      <c r="H19" s="176"/>
    </row>
    <row r="20" spans="1:253" x14ac:dyDescent="0.25">
      <c r="A20" s="53" t="s">
        <v>23</v>
      </c>
      <c r="B20" s="151">
        <f>'3. sz. melléklet'!K26</f>
        <v>65611</v>
      </c>
      <c r="C20" s="179">
        <f>'3. sz. melléklet'!L26</f>
        <v>158613</v>
      </c>
      <c r="D20" s="179">
        <f>'3. sz. melléklet'!M26</f>
        <v>149450</v>
      </c>
      <c r="E20" s="54"/>
      <c r="F20" s="171"/>
      <c r="G20" s="176"/>
      <c r="H20" s="176"/>
    </row>
    <row r="21" spans="1:253" x14ac:dyDescent="0.25">
      <c r="A21" s="53" t="s">
        <v>24</v>
      </c>
      <c r="B21" s="151">
        <f>'3. sz. melléklet'!K27</f>
        <v>35656</v>
      </c>
      <c r="C21" s="179">
        <f>'3. sz. melléklet'!L27</f>
        <v>26243</v>
      </c>
      <c r="D21" s="179">
        <f>'3. sz. melléklet'!M27</f>
        <v>26243</v>
      </c>
      <c r="E21" s="55"/>
      <c r="F21" s="171"/>
      <c r="G21" s="176"/>
      <c r="H21" s="176"/>
    </row>
    <row r="22" spans="1:253" x14ac:dyDescent="0.25">
      <c r="A22" s="53" t="s">
        <v>26</v>
      </c>
      <c r="B22" s="151">
        <f>'3. sz. melléklet'!K28</f>
        <v>87862</v>
      </c>
      <c r="C22" s="179">
        <f>'3. sz. melléklet'!L28</f>
        <v>87862</v>
      </c>
      <c r="D22" s="179">
        <f>'3. sz. melléklet'!M28</f>
        <v>94592</v>
      </c>
      <c r="E22" s="56"/>
      <c r="F22" s="151"/>
      <c r="G22" s="169"/>
      <c r="H22" s="169"/>
    </row>
    <row r="23" spans="1:253" x14ac:dyDescent="0.25">
      <c r="A23" s="53" t="s">
        <v>27</v>
      </c>
      <c r="B23" s="151">
        <f>'3. sz. melléklet'!K29</f>
        <v>83853</v>
      </c>
      <c r="C23" s="179">
        <f>'3. sz. melléklet'!L29</f>
        <v>85109</v>
      </c>
      <c r="D23" s="179">
        <f>'3. sz. melléklet'!M29</f>
        <v>85109</v>
      </c>
      <c r="E23" s="56"/>
      <c r="F23" s="172"/>
      <c r="G23" s="177"/>
      <c r="H23" s="177"/>
    </row>
    <row r="24" spans="1:253" x14ac:dyDescent="0.25">
      <c r="A24" s="53" t="s">
        <v>28</v>
      </c>
      <c r="B24" s="151">
        <f>'3. sz. melléklet'!K30</f>
        <v>173801</v>
      </c>
      <c r="C24" s="179">
        <f>'3. sz. melléklet'!L30</f>
        <v>204225</v>
      </c>
      <c r="D24" s="179">
        <f>'3. sz. melléklet'!M30</f>
        <v>207339</v>
      </c>
      <c r="E24" s="57"/>
      <c r="F24" s="172"/>
      <c r="G24" s="177"/>
      <c r="H24" s="177"/>
    </row>
    <row r="25" spans="1:253" x14ac:dyDescent="0.25">
      <c r="A25" s="53" t="s">
        <v>30</v>
      </c>
      <c r="B25" s="151">
        <f>'3. sz. melléklet'!K31</f>
        <v>15735</v>
      </c>
      <c r="C25" s="179">
        <f>'3. sz. melléklet'!L31</f>
        <v>15744</v>
      </c>
      <c r="D25" s="179">
        <f>'3. sz. melléklet'!M31</f>
        <v>15744</v>
      </c>
      <c r="E25" s="57"/>
      <c r="F25" s="151"/>
      <c r="G25" s="169"/>
      <c r="H25" s="169"/>
    </row>
    <row r="26" spans="1:253" x14ac:dyDescent="0.25">
      <c r="A26" s="150" t="s">
        <v>216</v>
      </c>
      <c r="B26" s="151"/>
      <c r="C26" s="179">
        <f>'3. sz. melléklet'!L32</f>
        <v>241</v>
      </c>
      <c r="D26" s="179">
        <f>'3. sz. melléklet'!M32</f>
        <v>1024</v>
      </c>
      <c r="E26" s="152"/>
      <c r="F26" s="151"/>
      <c r="G26" s="169"/>
      <c r="H26" s="169"/>
    </row>
    <row r="27" spans="1:253" x14ac:dyDescent="0.25">
      <c r="A27" s="52" t="s">
        <v>54</v>
      </c>
      <c r="B27" s="170">
        <f>SUM(B28)</f>
        <v>402301</v>
      </c>
      <c r="C27" s="174">
        <v>1102723</v>
      </c>
      <c r="D27" s="453">
        <f>D28</f>
        <v>1126604</v>
      </c>
      <c r="E27" s="55"/>
      <c r="F27" s="151"/>
      <c r="G27" s="169"/>
      <c r="H27" s="169"/>
    </row>
    <row r="28" spans="1:253" x14ac:dyDescent="0.25">
      <c r="A28" s="53" t="s">
        <v>181</v>
      </c>
      <c r="B28" s="151">
        <v>402301</v>
      </c>
      <c r="C28" s="179">
        <v>1102723</v>
      </c>
      <c r="D28" s="481">
        <v>1126604</v>
      </c>
      <c r="E28" s="55"/>
      <c r="F28" s="151"/>
      <c r="G28" s="169"/>
      <c r="H28" s="169"/>
      <c r="IR28" s="8"/>
      <c r="IS28" s="8"/>
    </row>
    <row r="29" spans="1:253" ht="17.25" customHeight="1" x14ac:dyDescent="0.25">
      <c r="A29" s="52" t="s">
        <v>34</v>
      </c>
      <c r="B29" s="170">
        <f>'3. sz. melléklet'!K36</f>
        <v>73119</v>
      </c>
      <c r="C29" s="175">
        <f>'3. sz. melléklet'!L36</f>
        <v>129449</v>
      </c>
      <c r="D29" s="175">
        <f>'3. sz. melléklet'!M36</f>
        <v>128199</v>
      </c>
      <c r="E29" s="55"/>
      <c r="F29" s="151"/>
      <c r="G29" s="169"/>
      <c r="H29" s="169"/>
      <c r="IR29" s="8"/>
      <c r="IS29" s="8"/>
    </row>
    <row r="30" spans="1:253" s="156" customFormat="1" x14ac:dyDescent="0.25">
      <c r="A30" s="150" t="s">
        <v>17</v>
      </c>
      <c r="B30" s="151">
        <f>'3. sz. melléklet'!K37</f>
        <v>73119</v>
      </c>
      <c r="C30" s="180">
        <f>'3. sz. melléklet'!L37</f>
        <v>126449</v>
      </c>
      <c r="D30" s="180">
        <f>'3. sz. melléklet'!M37</f>
        <v>125199</v>
      </c>
      <c r="E30" s="155"/>
      <c r="F30" s="151"/>
      <c r="G30" s="169"/>
      <c r="H30" s="169"/>
    </row>
    <row r="31" spans="1:253" s="160" customFormat="1" ht="15.75" thickBot="1" x14ac:dyDescent="0.3">
      <c r="A31" s="157" t="s">
        <v>147</v>
      </c>
      <c r="B31" s="158"/>
      <c r="C31" s="180">
        <f>'3. sz. melléklet'!L38</f>
        <v>3000</v>
      </c>
      <c r="D31" s="180">
        <f>'3. sz. melléklet'!M38</f>
        <v>3000</v>
      </c>
      <c r="E31" s="159"/>
      <c r="F31" s="158"/>
      <c r="G31" s="178"/>
      <c r="H31" s="178"/>
    </row>
    <row r="32" spans="1:253" s="8" customFormat="1" thickBot="1" x14ac:dyDescent="0.25">
      <c r="A32" s="71" t="s">
        <v>55</v>
      </c>
      <c r="B32" s="85">
        <f>(B5+B7+B10+B18+B29-B27)</f>
        <v>3850029</v>
      </c>
      <c r="C32" s="167">
        <f>(C5+C7+C10+C18+C29-C27)</f>
        <v>4086865</v>
      </c>
      <c r="D32" s="167">
        <f>(D5+D6+D7+D10+D18+D29-D27)</f>
        <v>4198086</v>
      </c>
      <c r="E32" s="71" t="s">
        <v>56</v>
      </c>
      <c r="F32" s="85">
        <f>(F5+F7+F9+F10+F11)</f>
        <v>3850029</v>
      </c>
      <c r="G32" s="167">
        <f>(G5+G7+G9+G10+G11)</f>
        <v>4096677</v>
      </c>
      <c r="H32" s="167">
        <f>(H5+H7+H9+H10+H11)</f>
        <v>4207898</v>
      </c>
    </row>
    <row r="33" spans="1:8" s="8" customFormat="1" x14ac:dyDescent="0.25">
      <c r="A33" s="161" t="s">
        <v>58</v>
      </c>
      <c r="B33" s="182">
        <f>'3. sz. melléklet'!K46-44749</f>
        <v>1480852</v>
      </c>
      <c r="C33" s="153">
        <f>'3. sz. melléklet'!L46-'4.sz. melléklet'!H18-'4.sz. melléklet'!K18-'4.sz. melléklet'!H20-'4.sz. melléklet'!K19-'4.sz. melléklet'!K20</f>
        <v>1542755</v>
      </c>
      <c r="D33" s="153">
        <f>'3. sz. melléklet'!M46-'4.sz. melléklet'!I18-'4.sz. melléklet'!L18-'4.sz. melléklet'!I20-'4.sz. melléklet'!L19-'4.sz. melléklet'!L20</f>
        <v>1555989</v>
      </c>
      <c r="E33" s="191" t="s">
        <v>57</v>
      </c>
      <c r="F33" s="194">
        <f>'4.sz. melléklet'!M29-44749</f>
        <v>1480852</v>
      </c>
      <c r="G33" s="179">
        <f>C33</f>
        <v>1542755</v>
      </c>
      <c r="H33" s="179">
        <f>D33</f>
        <v>1555989</v>
      </c>
    </row>
    <row r="34" spans="1:8" s="8" customFormat="1" x14ac:dyDescent="0.25">
      <c r="A34" s="162" t="s">
        <v>42</v>
      </c>
      <c r="B34" s="183">
        <v>0</v>
      </c>
      <c r="C34" s="200">
        <v>9812</v>
      </c>
      <c r="D34" s="200">
        <v>9812</v>
      </c>
      <c r="E34" s="192"/>
      <c r="F34" s="180"/>
      <c r="G34" s="179"/>
      <c r="H34" s="179"/>
    </row>
    <row r="35" spans="1:8" s="8" customFormat="1" x14ac:dyDescent="0.25">
      <c r="A35" s="163" t="s">
        <v>180</v>
      </c>
      <c r="B35" s="151">
        <f>'3. sz. melléklet'!K44</f>
        <v>25000</v>
      </c>
      <c r="C35" s="200">
        <f>'3. sz. melléklet'!L44</f>
        <v>40010</v>
      </c>
      <c r="D35" s="200">
        <f>'3. sz. melléklet'!M44</f>
        <v>40010</v>
      </c>
      <c r="E35" s="192" t="s">
        <v>142</v>
      </c>
      <c r="F35" s="180">
        <f>'4.sz. melléklet'!M28</f>
        <v>25000</v>
      </c>
      <c r="G35" s="179">
        <f>'3. sz. melléklet'!L44</f>
        <v>40010</v>
      </c>
      <c r="H35" s="179">
        <f>'3. sz. melléklet'!M44</f>
        <v>40010</v>
      </c>
    </row>
    <row r="36" spans="1:8" s="8" customFormat="1" x14ac:dyDescent="0.25">
      <c r="A36" s="163" t="s">
        <v>218</v>
      </c>
      <c r="B36" s="151"/>
      <c r="C36" s="200">
        <f>'3. sz. melléklet'!L47</f>
        <v>2388559</v>
      </c>
      <c r="D36" s="200">
        <f>'3. sz. melléklet'!M47</f>
        <v>2388559</v>
      </c>
      <c r="E36" s="192" t="s">
        <v>222</v>
      </c>
      <c r="F36" s="180"/>
      <c r="G36" s="179">
        <f>'3. sz. melléklet'!L47</f>
        <v>2388559</v>
      </c>
      <c r="H36" s="179">
        <f>'3. sz. melléklet'!M47</f>
        <v>2388559</v>
      </c>
    </row>
    <row r="37" spans="1:8" s="8" customFormat="1" ht="15.75" thickBot="1" x14ac:dyDescent="0.3">
      <c r="A37" s="164" t="s">
        <v>223</v>
      </c>
      <c r="B37" s="184"/>
      <c r="C37" s="154">
        <f>'3. sz. melléklet'!L48</f>
        <v>80000</v>
      </c>
      <c r="D37" s="154">
        <f>'3. sz. melléklet'!M48</f>
        <v>80000</v>
      </c>
      <c r="E37" s="193" t="s">
        <v>219</v>
      </c>
      <c r="F37" s="181"/>
      <c r="G37" s="179">
        <f>'3. sz. melléklet'!L48</f>
        <v>80000</v>
      </c>
      <c r="H37" s="179">
        <f>'3. sz. melléklet'!M48</f>
        <v>80000</v>
      </c>
    </row>
    <row r="38" spans="1:8" s="8" customFormat="1" thickBot="1" x14ac:dyDescent="0.25">
      <c r="A38" s="89" t="s">
        <v>59</v>
      </c>
      <c r="B38" s="85">
        <f>SUM(B33:B35)</f>
        <v>1505852</v>
      </c>
      <c r="C38" s="167">
        <f>SUM(C33:C37)</f>
        <v>4061136</v>
      </c>
      <c r="D38" s="167">
        <f>SUM(D33:D37)</f>
        <v>4074370</v>
      </c>
      <c r="E38" s="103" t="s">
        <v>60</v>
      </c>
      <c r="F38" s="85">
        <f>SUM(F33+F35)</f>
        <v>1505852</v>
      </c>
      <c r="G38" s="167">
        <f>SUM(G33:G37)</f>
        <v>4051324</v>
      </c>
      <c r="H38" s="167">
        <f>SUM(H33:H37)</f>
        <v>4064558</v>
      </c>
    </row>
    <row r="39" spans="1:8" s="8" customFormat="1" thickBot="1" x14ac:dyDescent="0.25">
      <c r="A39" s="165" t="s">
        <v>61</v>
      </c>
      <c r="B39" s="95">
        <f>(B32+B38)</f>
        <v>5355881</v>
      </c>
      <c r="C39" s="168">
        <f>(C32+C38)</f>
        <v>8148001</v>
      </c>
      <c r="D39" s="168">
        <f>(D32+D38)</f>
        <v>8272456</v>
      </c>
      <c r="E39" s="166" t="s">
        <v>61</v>
      </c>
      <c r="F39" s="85">
        <f>(F32+F38)</f>
        <v>5355881</v>
      </c>
      <c r="G39" s="167">
        <f>(G32+G38)</f>
        <v>8148001</v>
      </c>
      <c r="H39" s="167">
        <f>(H32+H38)</f>
        <v>8272456</v>
      </c>
    </row>
    <row r="40" spans="1:8" s="8" customFormat="1" x14ac:dyDescent="0.25">
      <c r="A40" s="9"/>
      <c r="B40" s="10"/>
      <c r="C40" s="10"/>
      <c r="D40" s="10"/>
      <c r="E40" s="9"/>
      <c r="F40" s="11"/>
    </row>
    <row r="41" spans="1:8" s="8" customFormat="1" x14ac:dyDescent="0.25">
      <c r="A41" s="61"/>
      <c r="B41" s="62"/>
      <c r="C41" s="62"/>
      <c r="D41" s="62"/>
      <c r="E41" s="9"/>
      <c r="F41" s="11"/>
    </row>
    <row r="42" spans="1:8" s="7" customFormat="1" ht="15" customHeight="1" x14ac:dyDescent="0.2">
      <c r="A42" s="1424" t="s">
        <v>150</v>
      </c>
      <c r="B42" s="1424"/>
      <c r="C42" s="1424"/>
      <c r="D42" s="1424"/>
      <c r="E42" s="1424"/>
      <c r="F42" s="1424"/>
      <c r="G42" s="1424"/>
    </row>
    <row r="43" spans="1:8" ht="14.25" customHeight="1" thickBot="1" x14ac:dyDescent="0.3">
      <c r="E43" s="12"/>
    </row>
    <row r="44" spans="1:8" s="7" customFormat="1" thickBot="1" x14ac:dyDescent="0.25">
      <c r="A44" s="1425" t="s">
        <v>0</v>
      </c>
      <c r="B44" s="1426"/>
      <c r="C44" s="195"/>
      <c r="D44" s="480"/>
      <c r="E44" s="1425" t="s">
        <v>1</v>
      </c>
      <c r="F44" s="1426"/>
      <c r="G44" s="185"/>
      <c r="H44" s="483"/>
    </row>
    <row r="45" spans="1:8" s="7" customFormat="1" thickBot="1" x14ac:dyDescent="0.25">
      <c r="A45" s="13" t="s">
        <v>2</v>
      </c>
      <c r="B45" s="80" t="s">
        <v>3</v>
      </c>
      <c r="C45" s="185" t="s">
        <v>226</v>
      </c>
      <c r="D45" s="185" t="s">
        <v>235</v>
      </c>
      <c r="E45" s="97" t="s">
        <v>2</v>
      </c>
      <c r="F45" s="109" t="s">
        <v>4</v>
      </c>
      <c r="G45" s="185" t="s">
        <v>227</v>
      </c>
      <c r="H45" s="185" t="s">
        <v>237</v>
      </c>
    </row>
    <row r="46" spans="1:8" s="7" customFormat="1" ht="14.25" x14ac:dyDescent="0.2">
      <c r="A46" s="81" t="s">
        <v>143</v>
      </c>
      <c r="B46" s="87">
        <f>'3. sz. melléklet'!K10</f>
        <v>100800</v>
      </c>
      <c r="C46" s="188">
        <f>'3. sz. melléklet'!L10</f>
        <v>833234</v>
      </c>
      <c r="D46" s="188">
        <f>'3. sz. melléklet'!M10</f>
        <v>968254</v>
      </c>
      <c r="E46" s="98"/>
      <c r="F46" s="110"/>
      <c r="G46" s="186"/>
      <c r="H46" s="186"/>
    </row>
    <row r="47" spans="1:8" s="7" customFormat="1" x14ac:dyDescent="0.25">
      <c r="A47" s="51" t="s">
        <v>8</v>
      </c>
      <c r="B47" s="96">
        <f>'3. sz. melléklet'!K11</f>
        <v>100800</v>
      </c>
      <c r="C47" s="180">
        <f>'3. sz. melléklet'!L11</f>
        <v>833234</v>
      </c>
      <c r="D47" s="180">
        <f>'3. sz. melléklet'!M11</f>
        <v>968254</v>
      </c>
      <c r="E47" s="99"/>
      <c r="F47" s="111"/>
      <c r="G47" s="187"/>
      <c r="H47" s="187"/>
    </row>
    <row r="48" spans="1:8" s="7" customFormat="1" ht="14.25" x14ac:dyDescent="0.2">
      <c r="A48" s="82" t="s">
        <v>32</v>
      </c>
      <c r="B48" s="88">
        <f>SUM(B49:B50)</f>
        <v>3400</v>
      </c>
      <c r="C48" s="220">
        <f>'3. sz. melléklet'!L33</f>
        <v>3481</v>
      </c>
      <c r="D48" s="220">
        <f>'3. sz. melléklet'!M33</f>
        <v>6769</v>
      </c>
      <c r="E48" s="100" t="s">
        <v>62</v>
      </c>
      <c r="F48" s="88">
        <f>'4.sz. melléklet'!M18</f>
        <v>291469</v>
      </c>
      <c r="G48" s="175">
        <f>'4.sz. melléklet'!N18</f>
        <v>1467567</v>
      </c>
      <c r="H48" s="175">
        <f>'4.sz. melléklet'!O18</f>
        <v>1646090</v>
      </c>
    </row>
    <row r="49" spans="1:8" s="7" customFormat="1" x14ac:dyDescent="0.25">
      <c r="A49" s="83" t="s">
        <v>171</v>
      </c>
      <c r="B49" s="96">
        <f>'3. sz. melléklet'!K35</f>
        <v>2000</v>
      </c>
      <c r="C49" s="180">
        <f>'3. sz. melléklet'!L35</f>
        <v>2070</v>
      </c>
      <c r="D49" s="180">
        <f>'3. sz. melléklet'!M35</f>
        <v>4108</v>
      </c>
      <c r="E49" s="100"/>
      <c r="F49" s="88"/>
      <c r="G49" s="175"/>
      <c r="H49" s="175"/>
    </row>
    <row r="50" spans="1:8" s="7" customFormat="1" x14ac:dyDescent="0.25">
      <c r="A50" s="14" t="s">
        <v>144</v>
      </c>
      <c r="B50" s="96">
        <f>'3. sz. melléklet'!K34</f>
        <v>1400</v>
      </c>
      <c r="C50" s="180">
        <f>'3. sz. melléklet'!L34</f>
        <v>1411</v>
      </c>
      <c r="D50" s="180">
        <f>'3. sz. melléklet'!M34</f>
        <v>2661</v>
      </c>
      <c r="E50" s="100" t="s">
        <v>63</v>
      </c>
      <c r="F50" s="88">
        <f>'4.sz. melléklet'!M19</f>
        <v>256799</v>
      </c>
      <c r="G50" s="175">
        <f>'4.sz. melléklet'!N19</f>
        <v>327641</v>
      </c>
      <c r="H50" s="175">
        <f>'4.sz. melléklet'!O19</f>
        <v>319622</v>
      </c>
    </row>
    <row r="51" spans="1:8" s="7" customFormat="1" ht="14.25" x14ac:dyDescent="0.2">
      <c r="A51" s="82" t="s">
        <v>85</v>
      </c>
      <c r="B51" s="88">
        <f>'3. sz. melléklet'!K39</f>
        <v>20130</v>
      </c>
      <c r="C51" s="220">
        <f>SUM(C52:C53)</f>
        <v>21030</v>
      </c>
      <c r="D51" s="220">
        <f>SUM(D52:D53)</f>
        <v>21030</v>
      </c>
      <c r="E51" s="100"/>
      <c r="F51" s="88"/>
      <c r="G51" s="175"/>
      <c r="H51" s="175"/>
    </row>
    <row r="52" spans="1:8" s="7" customFormat="1" x14ac:dyDescent="0.25">
      <c r="A52" s="83" t="s">
        <v>17</v>
      </c>
      <c r="B52" s="75">
        <f>'3. sz. melléklet'!K40</f>
        <v>1496</v>
      </c>
      <c r="C52" s="180">
        <f>'3. sz. melléklet'!L40</f>
        <v>1596</v>
      </c>
      <c r="D52" s="180">
        <f>'3. sz. melléklet'!M40</f>
        <v>1596</v>
      </c>
      <c r="E52" s="101" t="s">
        <v>64</v>
      </c>
      <c r="F52" s="88">
        <f>(F53+F54+F55)</f>
        <v>71814</v>
      </c>
      <c r="G52" s="175">
        <f>'4.sz. melléklet'!N20</f>
        <v>49899</v>
      </c>
      <c r="H52" s="175">
        <f>'4.sz. melléklet'!O20</f>
        <v>41584</v>
      </c>
    </row>
    <row r="53" spans="1:8" x14ac:dyDescent="0.25">
      <c r="A53" s="83" t="s">
        <v>147</v>
      </c>
      <c r="B53" s="75">
        <f>'3. sz. melléklet'!K41</f>
        <v>18634</v>
      </c>
      <c r="C53" s="180">
        <f>'3. sz. melléklet'!L41</f>
        <v>19434</v>
      </c>
      <c r="D53" s="180">
        <f>'3. sz. melléklet'!M41</f>
        <v>19434</v>
      </c>
      <c r="E53" s="102" t="s">
        <v>17</v>
      </c>
      <c r="F53" s="75">
        <f>'4.sz. melléklet'!M21</f>
        <v>1200</v>
      </c>
      <c r="G53" s="169">
        <f>'4.sz. melléklet'!N21</f>
        <v>2700</v>
      </c>
      <c r="H53" s="169">
        <f>'4.sz. melléklet'!O21</f>
        <v>2700</v>
      </c>
    </row>
    <row r="54" spans="1:8" x14ac:dyDescent="0.25">
      <c r="A54" s="82" t="s">
        <v>182</v>
      </c>
      <c r="B54" s="88">
        <f>SUM(B55:B56)</f>
        <v>402301</v>
      </c>
      <c r="C54" s="175">
        <v>1102723</v>
      </c>
      <c r="D54" s="175">
        <f>D27</f>
        <v>1126604</v>
      </c>
      <c r="E54" s="102" t="s">
        <v>35</v>
      </c>
      <c r="F54" s="75">
        <f>'4.sz. melléklet'!M22</f>
        <v>15614</v>
      </c>
      <c r="G54" s="169">
        <f>'4.sz. melléklet'!N22</f>
        <v>12199</v>
      </c>
      <c r="H54" s="169">
        <f>'4.sz. melléklet'!O22</f>
        <v>13884</v>
      </c>
    </row>
    <row r="55" spans="1:8" x14ac:dyDescent="0.25">
      <c r="A55" s="83" t="s">
        <v>181</v>
      </c>
      <c r="B55" s="75">
        <v>402301</v>
      </c>
      <c r="C55" s="201">
        <f>C28</f>
        <v>1102723</v>
      </c>
      <c r="D55" s="201">
        <f>D28</f>
        <v>1126604</v>
      </c>
      <c r="E55" s="102" t="s">
        <v>36</v>
      </c>
      <c r="F55" s="75">
        <f>'4.sz. melléklet'!M23</f>
        <v>55000</v>
      </c>
      <c r="G55" s="169">
        <f>'4.sz. melléklet'!N23</f>
        <v>35000</v>
      </c>
      <c r="H55" s="169">
        <f>'4.sz. melléklet'!O23</f>
        <v>25000</v>
      </c>
    </row>
    <row r="56" spans="1:8" ht="30" x14ac:dyDescent="0.25">
      <c r="A56" s="83"/>
      <c r="B56" s="75"/>
      <c r="C56" s="201"/>
      <c r="D56" s="201"/>
      <c r="E56" s="219" t="s">
        <v>239</v>
      </c>
      <c r="F56" s="75">
        <f>'4.sz. melléklet'!M24</f>
        <v>50000</v>
      </c>
      <c r="G56" s="169">
        <f>'4.sz. melléklet'!N24</f>
        <v>30000</v>
      </c>
      <c r="H56" s="169">
        <f>'4.sz. melléklet'!O24</f>
        <v>25000</v>
      </c>
    </row>
    <row r="57" spans="1:8" ht="15.75" thickBot="1" x14ac:dyDescent="0.3">
      <c r="A57" s="83"/>
      <c r="B57" s="75"/>
      <c r="C57" s="201"/>
      <c r="D57" s="201"/>
      <c r="E57" s="219" t="s">
        <v>172</v>
      </c>
      <c r="F57" s="75">
        <f>'4.sz. melléklet'!M25</f>
        <v>5000</v>
      </c>
      <c r="G57" s="169">
        <f>'4.sz. melléklet'!N25</f>
        <v>5000</v>
      </c>
      <c r="H57" s="169">
        <f>'4.sz. melléklet'!O25</f>
        <v>0</v>
      </c>
    </row>
    <row r="58" spans="1:8" thickBot="1" x14ac:dyDescent="0.25">
      <c r="A58" s="84" t="s">
        <v>55</v>
      </c>
      <c r="B58" s="85">
        <f>(B46+B48+B51+B54)</f>
        <v>526631</v>
      </c>
      <c r="C58" s="167">
        <f>(C46+C48+C51+C54)</f>
        <v>1960468</v>
      </c>
      <c r="D58" s="167">
        <f>(D46+D48+D51+D54)</f>
        <v>2122657</v>
      </c>
      <c r="E58" s="103" t="s">
        <v>56</v>
      </c>
      <c r="F58" s="85">
        <f>(F48+F50+F52)</f>
        <v>620082</v>
      </c>
      <c r="G58" s="167">
        <f>(G48+G50+G52)</f>
        <v>1845107</v>
      </c>
      <c r="H58" s="167">
        <f>(H48+H50+H52)</f>
        <v>2007296</v>
      </c>
    </row>
    <row r="59" spans="1:8" x14ac:dyDescent="0.25">
      <c r="A59" s="86" t="s">
        <v>65</v>
      </c>
      <c r="B59" s="87">
        <f>SUM(B61:B62)</f>
        <v>244749</v>
      </c>
      <c r="C59" s="188">
        <f>SUM(C60:C62)</f>
        <v>48449</v>
      </c>
      <c r="D59" s="188">
        <f>SUM(D60:D62)</f>
        <v>52176</v>
      </c>
      <c r="E59" s="104" t="s">
        <v>40</v>
      </c>
      <c r="F59" s="87">
        <f>'4.sz. melléklet'!M27</f>
        <v>106549</v>
      </c>
      <c r="G59" s="188">
        <f>'4.sz. melléklet'!N27</f>
        <v>687942</v>
      </c>
      <c r="H59" s="188">
        <f>'4.sz. melléklet'!O27</f>
        <v>687942</v>
      </c>
    </row>
    <row r="60" spans="1:8" x14ac:dyDescent="0.25">
      <c r="A60" s="461"/>
      <c r="B60" s="452"/>
      <c r="C60" s="459"/>
      <c r="D60" s="459"/>
      <c r="E60" s="454"/>
      <c r="F60" s="112"/>
      <c r="G60" s="189"/>
      <c r="H60" s="189"/>
    </row>
    <row r="61" spans="1:8" x14ac:dyDescent="0.25">
      <c r="A61" s="83" t="s">
        <v>184</v>
      </c>
      <c r="B61" s="75">
        <v>200000</v>
      </c>
      <c r="C61" s="169">
        <f>'3. sz. melléklet'!C45</f>
        <v>0</v>
      </c>
      <c r="D61" s="169">
        <f>'3. sz. melléklet'!D45</f>
        <v>0</v>
      </c>
      <c r="E61" s="105" t="s">
        <v>57</v>
      </c>
      <c r="F61" s="112">
        <v>44749</v>
      </c>
      <c r="G61" s="189">
        <f>C62</f>
        <v>48449</v>
      </c>
      <c r="H61" s="189">
        <f>D62</f>
        <v>52176</v>
      </c>
    </row>
    <row r="62" spans="1:8" x14ac:dyDescent="0.25">
      <c r="A62" s="76" t="s">
        <v>58</v>
      </c>
      <c r="B62" s="75">
        <v>44749</v>
      </c>
      <c r="C62" s="201">
        <f>'3. sz. melléklet'!L46-'2. sz. melléklet'!C33</f>
        <v>48449</v>
      </c>
      <c r="D62" s="201">
        <f>'3. sz. melléklet'!M46-'2. sz. melléklet'!D33</f>
        <v>52176</v>
      </c>
      <c r="E62" s="106"/>
      <c r="F62" s="88"/>
      <c r="G62" s="175"/>
      <c r="H62" s="175"/>
    </row>
    <row r="63" spans="1:8" ht="14.25" x14ac:dyDescent="0.2">
      <c r="A63" s="82" t="s">
        <v>66</v>
      </c>
      <c r="B63" s="88">
        <f>SUM(B64)</f>
        <v>0</v>
      </c>
      <c r="C63" s="175">
        <f>SUM(C64)</f>
        <v>572581</v>
      </c>
      <c r="D63" s="175">
        <f>SUM(D64)</f>
        <v>572581</v>
      </c>
      <c r="E63" s="106"/>
      <c r="F63" s="88"/>
      <c r="G63" s="175"/>
      <c r="H63" s="175"/>
    </row>
    <row r="64" spans="1:8" ht="16.5" thickBot="1" x14ac:dyDescent="0.3">
      <c r="A64" s="461" t="s">
        <v>232</v>
      </c>
      <c r="B64" s="75">
        <v>0</v>
      </c>
      <c r="C64" s="202">
        <v>572581</v>
      </c>
      <c r="D64" s="202">
        <v>572581</v>
      </c>
      <c r="E64" s="107"/>
      <c r="F64" s="88"/>
      <c r="G64" s="175"/>
      <c r="H64" s="175"/>
    </row>
    <row r="65" spans="1:8" ht="16.5" thickBot="1" x14ac:dyDescent="0.3">
      <c r="A65" s="462"/>
      <c r="B65" s="457"/>
      <c r="C65" s="460"/>
      <c r="D65" s="460"/>
      <c r="E65" s="458"/>
      <c r="F65" s="112"/>
      <c r="G65" s="189"/>
      <c r="H65" s="189"/>
    </row>
    <row r="66" spans="1:8" ht="15.75" customHeight="1" thickBot="1" x14ac:dyDescent="0.25">
      <c r="A66" s="89" t="s">
        <v>59</v>
      </c>
      <c r="B66" s="85">
        <f>B59+B63</f>
        <v>244749</v>
      </c>
      <c r="C66" s="167">
        <f>C59+C63</f>
        <v>621030</v>
      </c>
      <c r="D66" s="167">
        <f>D59+D63</f>
        <v>624757</v>
      </c>
      <c r="E66" s="108" t="s">
        <v>60</v>
      </c>
      <c r="F66" s="85">
        <f>SUM(F59:F64)</f>
        <v>151298</v>
      </c>
      <c r="G66" s="167">
        <f>SUM(G59:G64)</f>
        <v>736391</v>
      </c>
      <c r="H66" s="167">
        <f>SUM(H59:H64)</f>
        <v>740118</v>
      </c>
    </row>
    <row r="67" spans="1:8" thickBot="1" x14ac:dyDescent="0.25">
      <c r="A67" s="16" t="s">
        <v>61</v>
      </c>
      <c r="B67" s="50">
        <f>SUM(B66+B58)</f>
        <v>771380</v>
      </c>
      <c r="C67" s="190">
        <f>SUM(C66+C58)</f>
        <v>2581498</v>
      </c>
      <c r="D67" s="190">
        <f>SUM(D66+D58)</f>
        <v>2747414</v>
      </c>
      <c r="E67" s="103" t="s">
        <v>61</v>
      </c>
      <c r="F67" s="50">
        <f>(F58+F66)</f>
        <v>771380</v>
      </c>
      <c r="G67" s="190">
        <f>(G58+G66)</f>
        <v>2581498</v>
      </c>
      <c r="H67" s="190">
        <f>(H58+H66)</f>
        <v>2747414</v>
      </c>
    </row>
    <row r="68" spans="1:8" ht="14.25" x14ac:dyDescent="0.2">
      <c r="A68" s="15"/>
      <c r="B68" s="17"/>
      <c r="C68" s="17"/>
      <c r="D68" s="17"/>
      <c r="E68" s="15"/>
      <c r="F68" s="17"/>
      <c r="G68" s="17"/>
    </row>
    <row r="69" spans="1:8" ht="14.25" x14ac:dyDescent="0.2">
      <c r="A69" s="18" t="s">
        <v>67</v>
      </c>
      <c r="B69" s="19">
        <f>B67+B39</f>
        <v>6127261</v>
      </c>
      <c r="C69" s="19">
        <f>C67+C39</f>
        <v>10729499</v>
      </c>
      <c r="D69" s="19">
        <f>D67+D39</f>
        <v>11019870</v>
      </c>
      <c r="E69" s="60" t="s">
        <v>68</v>
      </c>
      <c r="F69" s="20">
        <f>(F39+F67)</f>
        <v>6127261</v>
      </c>
      <c r="G69" s="20">
        <f>(G39+G67)</f>
        <v>10729499</v>
      </c>
      <c r="H69" s="20">
        <f>(H39+H67)</f>
        <v>11019870</v>
      </c>
    </row>
    <row r="71" spans="1:8" x14ac:dyDescent="0.25">
      <c r="A71" s="63"/>
      <c r="B71" s="66"/>
      <c r="C71" s="66"/>
      <c r="D71" s="66"/>
    </row>
    <row r="72" spans="1:8" s="65" customFormat="1" ht="14.25" x14ac:dyDescent="0.2">
      <c r="A72" s="63"/>
      <c r="B72" s="66"/>
      <c r="C72" s="66"/>
      <c r="D72" s="66"/>
      <c r="E72" s="63"/>
      <c r="F72" s="64"/>
    </row>
  </sheetData>
  <sheetProtection selectLockedCells="1" selectUnlockedCells="1"/>
  <mergeCells count="6">
    <mergeCell ref="A1:G1"/>
    <mergeCell ref="E3:F3"/>
    <mergeCell ref="A3:B3"/>
    <mergeCell ref="A44:B44"/>
    <mergeCell ref="E44:F44"/>
    <mergeCell ref="A42:G42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1" firstPageNumber="0" orientation="landscape" r:id="rId1"/>
  <headerFooter alignWithMargins="0">
    <oddHeader xml:space="preserve">&amp;L2. melléklet a 28/2017.(XII.21.) önkormányzati rendelethez
2. melléklet a 24/2016.(XII.16.) önkormányzati rendelethez
</oddHeader>
  </headerFooter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topLeftCell="A22" zoomScale="82" zoomScaleNormal="79" zoomScaleSheetLayoutView="82" workbookViewId="0">
      <pane xSplit="1" topLeftCell="I1" activePane="topRight" state="frozen"/>
      <selection activeCell="A18" sqref="A18"/>
      <selection pane="topRight" activeCell="D25" sqref="D25"/>
    </sheetView>
  </sheetViews>
  <sheetFormatPr defaultRowHeight="18.75" x14ac:dyDescent="0.3"/>
  <cols>
    <col min="1" max="1" width="94.42578125" style="21" customWidth="1"/>
    <col min="2" max="2" width="22.140625" style="21" customWidth="1"/>
    <col min="3" max="4" width="22.5703125" style="21" customWidth="1"/>
    <col min="5" max="5" width="23" style="21" customWidth="1"/>
    <col min="6" max="7" width="24.85546875" style="21" customWidth="1"/>
    <col min="8" max="8" width="23.42578125" style="21" customWidth="1"/>
    <col min="9" max="10" width="24.140625" style="21" customWidth="1"/>
    <col min="11" max="11" width="21.140625" style="21" customWidth="1"/>
    <col min="12" max="12" width="19.28515625" style="21" customWidth="1"/>
    <col min="13" max="13" width="25.7109375" style="21" customWidth="1"/>
    <col min="14" max="16384" width="9.140625" style="21"/>
  </cols>
  <sheetData>
    <row r="1" spans="1:13" x14ac:dyDescent="0.3">
      <c r="A1" s="22"/>
    </row>
    <row r="2" spans="1:13" x14ac:dyDescent="0.3">
      <c r="A2" s="1427" t="s">
        <v>177</v>
      </c>
      <c r="B2" s="1427"/>
      <c r="C2" s="1427"/>
      <c r="D2" s="1427"/>
      <c r="E2" s="1427"/>
      <c r="F2" s="1427"/>
      <c r="G2" s="1427"/>
      <c r="H2" s="1427"/>
      <c r="I2" s="1427"/>
      <c r="J2" s="1427"/>
      <c r="K2" s="1427"/>
      <c r="L2" s="1427"/>
    </row>
    <row r="3" spans="1:13" ht="19.5" thickBot="1" x14ac:dyDescent="0.35"/>
    <row r="4" spans="1:13" ht="82.5" customHeight="1" thickBot="1" x14ac:dyDescent="0.35">
      <c r="A4" s="1428" t="s">
        <v>140</v>
      </c>
      <c r="B4" s="1430" t="s">
        <v>69</v>
      </c>
      <c r="C4" s="1431"/>
      <c r="D4" s="1432"/>
      <c r="E4" s="1430" t="s">
        <v>70</v>
      </c>
      <c r="F4" s="1431"/>
      <c r="G4" s="1432"/>
      <c r="H4" s="1430" t="s">
        <v>71</v>
      </c>
      <c r="I4" s="1431"/>
      <c r="J4" s="1398"/>
      <c r="K4" s="1429" t="s">
        <v>72</v>
      </c>
      <c r="L4" s="1433"/>
      <c r="M4" s="1434"/>
    </row>
    <row r="5" spans="1:13" ht="25.5" customHeight="1" thickBot="1" x14ac:dyDescent="0.35">
      <c r="A5" s="1429"/>
      <c r="B5" s="533" t="s">
        <v>3</v>
      </c>
      <c r="C5" s="287" t="s">
        <v>225</v>
      </c>
      <c r="D5" s="468" t="s">
        <v>235</v>
      </c>
      <c r="E5" s="533" t="s">
        <v>3</v>
      </c>
      <c r="F5" s="287" t="s">
        <v>225</v>
      </c>
      <c r="G5" s="557" t="s">
        <v>235</v>
      </c>
      <c r="H5" s="287" t="s">
        <v>3</v>
      </c>
      <c r="I5" s="557" t="s">
        <v>226</v>
      </c>
      <c r="J5" s="287" t="s">
        <v>235</v>
      </c>
      <c r="K5" s="485" t="s">
        <v>4</v>
      </c>
      <c r="L5" s="203" t="s">
        <v>226</v>
      </c>
      <c r="M5" s="203" t="s">
        <v>235</v>
      </c>
    </row>
    <row r="6" spans="1:13" s="22" customFormat="1" ht="18.600000000000001" customHeight="1" x14ac:dyDescent="0.3">
      <c r="A6" s="114" t="s">
        <v>5</v>
      </c>
      <c r="B6" s="534">
        <v>974690</v>
      </c>
      <c r="C6" s="543">
        <v>1124300</v>
      </c>
      <c r="D6" s="288">
        <v>1176705</v>
      </c>
      <c r="E6" s="534"/>
      <c r="F6" s="553"/>
      <c r="G6" s="558"/>
      <c r="H6" s="543">
        <v>0</v>
      </c>
      <c r="I6" s="568"/>
      <c r="J6" s="311"/>
      <c r="K6" s="534">
        <f>B6+E6+H6</f>
        <v>974690</v>
      </c>
      <c r="L6" s="553">
        <f>C6+F6+I6</f>
        <v>1124300</v>
      </c>
      <c r="M6" s="113">
        <f>D6+G6+J6</f>
        <v>1176705</v>
      </c>
    </row>
    <row r="7" spans="1:13" s="22" customFormat="1" ht="18.600000000000001" customHeight="1" x14ac:dyDescent="0.3">
      <c r="A7" s="580" t="s">
        <v>236</v>
      </c>
      <c r="B7" s="534"/>
      <c r="C7" s="553"/>
      <c r="D7" s="581">
        <v>886</v>
      </c>
      <c r="E7" s="534"/>
      <c r="F7" s="553"/>
      <c r="G7" s="558"/>
      <c r="H7" s="553"/>
      <c r="I7" s="581"/>
      <c r="J7" s="581"/>
      <c r="K7" s="534"/>
      <c r="L7" s="553"/>
      <c r="M7" s="113">
        <f t="shared" ref="M7:M48" si="0">D7+G7+J7</f>
        <v>886</v>
      </c>
    </row>
    <row r="8" spans="1:13" ht="18.600000000000001" customHeight="1" x14ac:dyDescent="0.3">
      <c r="A8" s="115" t="s">
        <v>73</v>
      </c>
      <c r="B8" s="535">
        <f t="shared" ref="B8:J8" si="1">SUM(B9:B9)</f>
        <v>150251</v>
      </c>
      <c r="C8" s="544">
        <f>SUM(C9:C9)</f>
        <v>500488</v>
      </c>
      <c r="D8" s="146">
        <f>SUM(D9:D9)</f>
        <v>551714</v>
      </c>
      <c r="E8" s="535">
        <f t="shared" si="1"/>
        <v>17166</v>
      </c>
      <c r="F8" s="544">
        <f t="shared" si="1"/>
        <v>20965</v>
      </c>
      <c r="G8" s="559">
        <f t="shared" si="1"/>
        <v>24031</v>
      </c>
      <c r="H8" s="544">
        <f t="shared" si="1"/>
        <v>70168</v>
      </c>
      <c r="I8" s="569">
        <f t="shared" si="1"/>
        <v>75316</v>
      </c>
      <c r="J8" s="146">
        <f t="shared" si="1"/>
        <v>77331</v>
      </c>
      <c r="K8" s="534">
        <f t="shared" ref="K8:K42" si="2">B8+E8+H8</f>
        <v>237585</v>
      </c>
      <c r="L8" s="553">
        <f t="shared" ref="L8:L42" si="3">C8+F8+I8</f>
        <v>596769</v>
      </c>
      <c r="M8" s="113">
        <f t="shared" si="0"/>
        <v>653076</v>
      </c>
    </row>
    <row r="9" spans="1:13" ht="18.600000000000001" customHeight="1" x14ac:dyDescent="0.3">
      <c r="A9" s="116" t="s">
        <v>8</v>
      </c>
      <c r="B9" s="536">
        <v>150251</v>
      </c>
      <c r="C9" s="545">
        <v>500488</v>
      </c>
      <c r="D9" s="289">
        <v>551714</v>
      </c>
      <c r="E9" s="536">
        <v>17166</v>
      </c>
      <c r="F9" s="545">
        <v>20965</v>
      </c>
      <c r="G9" s="560">
        <v>24031</v>
      </c>
      <c r="H9" s="545">
        <v>70168</v>
      </c>
      <c r="I9" s="570">
        <v>75316</v>
      </c>
      <c r="J9" s="312">
        <v>77331</v>
      </c>
      <c r="K9" s="534">
        <f t="shared" si="2"/>
        <v>237585</v>
      </c>
      <c r="L9" s="553">
        <f t="shared" si="3"/>
        <v>596769</v>
      </c>
      <c r="M9" s="113">
        <f t="shared" si="0"/>
        <v>653076</v>
      </c>
    </row>
    <row r="10" spans="1:13" ht="18.600000000000001" customHeight="1" x14ac:dyDescent="0.3">
      <c r="A10" s="117" t="s">
        <v>141</v>
      </c>
      <c r="B10" s="535">
        <f t="shared" ref="B10:J10" si="4">SUM(B11)</f>
        <v>100000</v>
      </c>
      <c r="C10" s="544">
        <f>SUM(C11)</f>
        <v>833234</v>
      </c>
      <c r="D10" s="146">
        <f>SUM(D11)</f>
        <v>968254</v>
      </c>
      <c r="E10" s="535">
        <f t="shared" si="4"/>
        <v>0</v>
      </c>
      <c r="F10" s="544">
        <f t="shared" si="4"/>
        <v>0</v>
      </c>
      <c r="G10" s="559">
        <f t="shared" si="4"/>
        <v>0</v>
      </c>
      <c r="H10" s="544">
        <f t="shared" si="4"/>
        <v>800</v>
      </c>
      <c r="I10" s="569">
        <f t="shared" si="4"/>
        <v>0</v>
      </c>
      <c r="J10" s="146">
        <f t="shared" si="4"/>
        <v>0</v>
      </c>
      <c r="K10" s="534">
        <f t="shared" si="2"/>
        <v>100800</v>
      </c>
      <c r="L10" s="553">
        <f t="shared" si="3"/>
        <v>833234</v>
      </c>
      <c r="M10" s="113">
        <f t="shared" si="0"/>
        <v>968254</v>
      </c>
    </row>
    <row r="11" spans="1:13" ht="18.600000000000001" customHeight="1" x14ac:dyDescent="0.3">
      <c r="A11" s="116" t="s">
        <v>8</v>
      </c>
      <c r="B11" s="536">
        <v>100000</v>
      </c>
      <c r="C11" s="545">
        <v>833234</v>
      </c>
      <c r="D11" s="289">
        <v>968254</v>
      </c>
      <c r="E11" s="536"/>
      <c r="F11" s="545"/>
      <c r="G11" s="560"/>
      <c r="H11" s="545">
        <v>800</v>
      </c>
      <c r="I11" s="570">
        <v>0</v>
      </c>
      <c r="J11" s="312">
        <v>0</v>
      </c>
      <c r="K11" s="534">
        <f t="shared" si="2"/>
        <v>100800</v>
      </c>
      <c r="L11" s="553">
        <f t="shared" si="3"/>
        <v>833234</v>
      </c>
      <c r="M11" s="113">
        <f t="shared" si="0"/>
        <v>968254</v>
      </c>
    </row>
    <row r="12" spans="1:13" s="23" customFormat="1" ht="18.600000000000001" customHeight="1" x14ac:dyDescent="0.3">
      <c r="A12" s="117" t="s">
        <v>74</v>
      </c>
      <c r="B12" s="535">
        <f t="shared" ref="B12:I12" si="5">SUM(B13+B16+B21+B22)</f>
        <v>2114400</v>
      </c>
      <c r="C12" s="544">
        <f>SUM(C13+C16+C21+C22+C23)</f>
        <v>2200786</v>
      </c>
      <c r="D12" s="146">
        <f>SUM(D13+D16+D21+D22+D23)</f>
        <v>2201197</v>
      </c>
      <c r="E12" s="535">
        <f t="shared" si="5"/>
        <v>0</v>
      </c>
      <c r="F12" s="544">
        <f>SUM(F13+F16+F21+F22)</f>
        <v>0</v>
      </c>
      <c r="G12" s="559">
        <f>SUM(G13+G16+G21+G22)</f>
        <v>0</v>
      </c>
      <c r="H12" s="544">
        <f t="shared" si="5"/>
        <v>0</v>
      </c>
      <c r="I12" s="569">
        <f t="shared" si="5"/>
        <v>0</v>
      </c>
      <c r="J12" s="146">
        <f t="shared" ref="J12" si="6">SUM(J13+J16+J21+J22)</f>
        <v>0</v>
      </c>
      <c r="K12" s="534">
        <f t="shared" si="2"/>
        <v>2114400</v>
      </c>
      <c r="L12" s="553">
        <f t="shared" si="3"/>
        <v>2200786</v>
      </c>
      <c r="M12" s="113">
        <f t="shared" si="0"/>
        <v>2201197</v>
      </c>
    </row>
    <row r="13" spans="1:13" s="23" customFormat="1" ht="18.600000000000001" customHeight="1" x14ac:dyDescent="0.3">
      <c r="A13" s="116" t="s">
        <v>12</v>
      </c>
      <c r="B13" s="537">
        <f>SUM(B14:B15)</f>
        <v>473000</v>
      </c>
      <c r="C13" s="546">
        <f>SUM(C14:C15)</f>
        <v>486700</v>
      </c>
      <c r="D13" s="546">
        <f>SUM(D14:D15)</f>
        <v>486700</v>
      </c>
      <c r="E13" s="537"/>
      <c r="F13" s="546"/>
      <c r="G13" s="561"/>
      <c r="H13" s="546"/>
      <c r="I13" s="571"/>
      <c r="J13" s="313"/>
      <c r="K13" s="534">
        <f t="shared" si="2"/>
        <v>473000</v>
      </c>
      <c r="L13" s="553">
        <f t="shared" si="3"/>
        <v>486700</v>
      </c>
      <c r="M13" s="113">
        <f t="shared" si="0"/>
        <v>486700</v>
      </c>
    </row>
    <row r="14" spans="1:13" ht="18.600000000000001" customHeight="1" x14ac:dyDescent="0.3">
      <c r="A14" s="116" t="s">
        <v>75</v>
      </c>
      <c r="B14" s="536">
        <v>333000</v>
      </c>
      <c r="C14" s="545">
        <v>333000</v>
      </c>
      <c r="D14" s="289">
        <v>333000</v>
      </c>
      <c r="E14" s="536"/>
      <c r="F14" s="545"/>
      <c r="G14" s="560"/>
      <c r="H14" s="545"/>
      <c r="I14" s="570"/>
      <c r="J14" s="312"/>
      <c r="K14" s="534">
        <f t="shared" si="2"/>
        <v>333000</v>
      </c>
      <c r="L14" s="553">
        <f t="shared" si="3"/>
        <v>333000</v>
      </c>
      <c r="M14" s="113">
        <f t="shared" si="0"/>
        <v>333000</v>
      </c>
    </row>
    <row r="15" spans="1:13" ht="18.600000000000001" customHeight="1" x14ac:dyDescent="0.3">
      <c r="A15" s="217" t="s">
        <v>76</v>
      </c>
      <c r="B15" s="537">
        <v>140000</v>
      </c>
      <c r="C15" s="546">
        <v>153700</v>
      </c>
      <c r="D15" s="290">
        <v>153700</v>
      </c>
      <c r="E15" s="537"/>
      <c r="F15" s="546"/>
      <c r="G15" s="561"/>
      <c r="H15" s="546"/>
      <c r="I15" s="571"/>
      <c r="J15" s="313"/>
      <c r="K15" s="534">
        <f t="shared" si="2"/>
        <v>140000</v>
      </c>
      <c r="L15" s="553">
        <f t="shared" si="3"/>
        <v>153700</v>
      </c>
      <c r="M15" s="113">
        <f t="shared" si="0"/>
        <v>153700</v>
      </c>
    </row>
    <row r="16" spans="1:13" s="23" customFormat="1" ht="18.600000000000001" customHeight="1" x14ac:dyDescent="0.3">
      <c r="A16" s="116" t="s">
        <v>77</v>
      </c>
      <c r="B16" s="537">
        <f t="shared" ref="B16" si="7">SUM(B17:B20)</f>
        <v>1634500</v>
      </c>
      <c r="C16" s="546">
        <f>SUM(C17:C20)</f>
        <v>1705596</v>
      </c>
      <c r="D16" s="546">
        <f>SUM(D17:D20)</f>
        <v>1705596</v>
      </c>
      <c r="E16" s="537"/>
      <c r="F16" s="546"/>
      <c r="G16" s="561"/>
      <c r="H16" s="546"/>
      <c r="I16" s="572"/>
      <c r="J16" s="144"/>
      <c r="K16" s="534">
        <f t="shared" si="2"/>
        <v>1634500</v>
      </c>
      <c r="L16" s="553">
        <f t="shared" si="3"/>
        <v>1705596</v>
      </c>
      <c r="M16" s="113">
        <f t="shared" si="0"/>
        <v>1705596</v>
      </c>
    </row>
    <row r="17" spans="1:13" ht="18.600000000000001" customHeight="1" x14ac:dyDescent="0.3">
      <c r="A17" s="116" t="s">
        <v>78</v>
      </c>
      <c r="B17" s="537">
        <v>1500000</v>
      </c>
      <c r="C17" s="546">
        <v>1572596</v>
      </c>
      <c r="D17" s="290">
        <v>1572596</v>
      </c>
      <c r="E17" s="537"/>
      <c r="F17" s="546"/>
      <c r="G17" s="561"/>
      <c r="H17" s="546"/>
      <c r="I17" s="571"/>
      <c r="J17" s="313"/>
      <c r="K17" s="534">
        <f t="shared" si="2"/>
        <v>1500000</v>
      </c>
      <c r="L17" s="553">
        <f t="shared" si="3"/>
        <v>1572596</v>
      </c>
      <c r="M17" s="113">
        <f t="shared" si="0"/>
        <v>1572596</v>
      </c>
    </row>
    <row r="18" spans="1:13" ht="18.600000000000001" customHeight="1" x14ac:dyDescent="0.3">
      <c r="A18" s="116" t="s">
        <v>79</v>
      </c>
      <c r="B18" s="537">
        <v>92000</v>
      </c>
      <c r="C18" s="546">
        <v>92000</v>
      </c>
      <c r="D18" s="290">
        <v>92000</v>
      </c>
      <c r="E18" s="537"/>
      <c r="F18" s="546"/>
      <c r="G18" s="561"/>
      <c r="H18" s="546"/>
      <c r="I18" s="571"/>
      <c r="J18" s="313"/>
      <c r="K18" s="534">
        <f t="shared" si="2"/>
        <v>92000</v>
      </c>
      <c r="L18" s="553">
        <f t="shared" si="3"/>
        <v>92000</v>
      </c>
      <c r="M18" s="113">
        <f t="shared" si="0"/>
        <v>92000</v>
      </c>
    </row>
    <row r="19" spans="1:13" ht="18.600000000000001" customHeight="1" x14ac:dyDescent="0.3">
      <c r="A19" s="116" t="s">
        <v>80</v>
      </c>
      <c r="B19" s="537">
        <v>41000</v>
      </c>
      <c r="C19" s="546">
        <v>41000</v>
      </c>
      <c r="D19" s="290">
        <v>41000</v>
      </c>
      <c r="E19" s="537"/>
      <c r="F19" s="546"/>
      <c r="G19" s="561"/>
      <c r="H19" s="546"/>
      <c r="I19" s="571"/>
      <c r="J19" s="313"/>
      <c r="K19" s="534">
        <f t="shared" si="2"/>
        <v>41000</v>
      </c>
      <c r="L19" s="553">
        <f t="shared" si="3"/>
        <v>41000</v>
      </c>
      <c r="M19" s="113">
        <f t="shared" si="0"/>
        <v>41000</v>
      </c>
    </row>
    <row r="20" spans="1:13" ht="18.600000000000001" customHeight="1" x14ac:dyDescent="0.3">
      <c r="A20" s="116" t="s">
        <v>81</v>
      </c>
      <c r="B20" s="537">
        <v>1500</v>
      </c>
      <c r="C20" s="546">
        <v>0</v>
      </c>
      <c r="D20" s="290">
        <v>0</v>
      </c>
      <c r="E20" s="537"/>
      <c r="F20" s="546"/>
      <c r="G20" s="561"/>
      <c r="H20" s="546"/>
      <c r="I20" s="571"/>
      <c r="J20" s="313"/>
      <c r="K20" s="534">
        <f t="shared" si="2"/>
        <v>1500</v>
      </c>
      <c r="L20" s="553">
        <f t="shared" si="3"/>
        <v>0</v>
      </c>
      <c r="M20" s="113">
        <f t="shared" si="0"/>
        <v>0</v>
      </c>
    </row>
    <row r="21" spans="1:13" s="23" customFormat="1" ht="18.600000000000001" customHeight="1" x14ac:dyDescent="0.3">
      <c r="A21" s="118" t="s">
        <v>14</v>
      </c>
      <c r="B21" s="537">
        <v>5000</v>
      </c>
      <c r="C21" s="546">
        <v>5000</v>
      </c>
      <c r="D21" s="290">
        <v>5000</v>
      </c>
      <c r="E21" s="537"/>
      <c r="F21" s="546"/>
      <c r="G21" s="561"/>
      <c r="H21" s="546"/>
      <c r="I21" s="571"/>
      <c r="J21" s="313"/>
      <c r="K21" s="534">
        <f t="shared" si="2"/>
        <v>5000</v>
      </c>
      <c r="L21" s="553">
        <f t="shared" si="3"/>
        <v>5000</v>
      </c>
      <c r="M21" s="113">
        <f t="shared" si="0"/>
        <v>5000</v>
      </c>
    </row>
    <row r="22" spans="1:13" s="23" customFormat="1" ht="18.600000000000001" customHeight="1" x14ac:dyDescent="0.3">
      <c r="A22" s="118" t="s">
        <v>221</v>
      </c>
      <c r="B22" s="537">
        <v>1900</v>
      </c>
      <c r="C22" s="546">
        <v>1990</v>
      </c>
      <c r="D22" s="290">
        <v>2401</v>
      </c>
      <c r="E22" s="538"/>
      <c r="F22" s="547"/>
      <c r="G22" s="562"/>
      <c r="H22" s="547"/>
      <c r="I22" s="573"/>
      <c r="J22" s="309"/>
      <c r="K22" s="534">
        <f t="shared" si="2"/>
        <v>1900</v>
      </c>
      <c r="L22" s="553">
        <f t="shared" si="3"/>
        <v>1990</v>
      </c>
      <c r="M22" s="113">
        <f t="shared" si="0"/>
        <v>2401</v>
      </c>
    </row>
    <row r="23" spans="1:13" s="23" customFormat="1" ht="18.600000000000001" customHeight="1" x14ac:dyDescent="0.3">
      <c r="A23" s="143" t="s">
        <v>216</v>
      </c>
      <c r="B23" s="537"/>
      <c r="C23" s="546">
        <v>1500</v>
      </c>
      <c r="D23" s="290">
        <v>1500</v>
      </c>
      <c r="E23" s="538"/>
      <c r="F23" s="547"/>
      <c r="G23" s="562"/>
      <c r="H23" s="547"/>
      <c r="I23" s="573"/>
      <c r="J23" s="309"/>
      <c r="K23" s="534">
        <f t="shared" si="2"/>
        <v>0</v>
      </c>
      <c r="L23" s="553">
        <f t="shared" si="3"/>
        <v>1500</v>
      </c>
      <c r="M23" s="113">
        <f t="shared" si="0"/>
        <v>1500</v>
      </c>
    </row>
    <row r="24" spans="1:13" ht="18.600000000000001" customHeight="1" x14ac:dyDescent="0.3">
      <c r="A24" s="115" t="s">
        <v>19</v>
      </c>
      <c r="B24" s="538">
        <f t="shared" ref="B24:H24" si="8">SUM(B25:B31)</f>
        <v>654135</v>
      </c>
      <c r="C24" s="547">
        <f>SUM(C25:C32)</f>
        <v>908659</v>
      </c>
      <c r="D24" s="145">
        <f>SUM(D25:D32)</f>
        <v>943443</v>
      </c>
      <c r="E24" s="538">
        <f t="shared" si="8"/>
        <v>6105</v>
      </c>
      <c r="F24" s="547">
        <f>SUM(F25:F32)</f>
        <v>8605</v>
      </c>
      <c r="G24" s="562">
        <f>SUM(G25:G32)</f>
        <v>9244</v>
      </c>
      <c r="H24" s="547">
        <f t="shared" si="8"/>
        <v>192296</v>
      </c>
      <c r="I24" s="574">
        <f>SUM(I25:I32)</f>
        <v>221020</v>
      </c>
      <c r="J24" s="145">
        <f>SUM(J25:J32)</f>
        <v>211940</v>
      </c>
      <c r="K24" s="534">
        <f t="shared" si="2"/>
        <v>852536</v>
      </c>
      <c r="L24" s="553">
        <f t="shared" si="3"/>
        <v>1138284</v>
      </c>
      <c r="M24" s="113">
        <f t="shared" si="0"/>
        <v>1164627</v>
      </c>
    </row>
    <row r="25" spans="1:13" ht="18.600000000000001" customHeight="1" x14ac:dyDescent="0.3">
      <c r="A25" s="116" t="s">
        <v>21</v>
      </c>
      <c r="B25" s="537">
        <v>381913</v>
      </c>
      <c r="C25" s="546">
        <v>552142</v>
      </c>
      <c r="D25" s="290">
        <f>C25+24379</f>
        <v>576521</v>
      </c>
      <c r="E25" s="537">
        <v>6105</v>
      </c>
      <c r="F25" s="546">
        <v>6105</v>
      </c>
      <c r="G25" s="561">
        <v>6105</v>
      </c>
      <c r="H25" s="546">
        <v>2000</v>
      </c>
      <c r="I25" s="571">
        <v>2000</v>
      </c>
      <c r="J25" s="313">
        <v>2500</v>
      </c>
      <c r="K25" s="534">
        <f t="shared" si="2"/>
        <v>390018</v>
      </c>
      <c r="L25" s="553">
        <f t="shared" si="3"/>
        <v>560247</v>
      </c>
      <c r="M25" s="113">
        <f t="shared" si="0"/>
        <v>585126</v>
      </c>
    </row>
    <row r="26" spans="1:13" ht="18.600000000000001" customHeight="1" x14ac:dyDescent="0.3">
      <c r="A26" s="116" t="s">
        <v>82</v>
      </c>
      <c r="B26" s="537">
        <v>14144</v>
      </c>
      <c r="C26" s="546">
        <v>84613</v>
      </c>
      <c r="D26" s="290">
        <f>C26+500+484+500</f>
        <v>86097</v>
      </c>
      <c r="E26" s="537"/>
      <c r="F26" s="546">
        <v>2500</v>
      </c>
      <c r="G26" s="561">
        <v>2500</v>
      </c>
      <c r="H26" s="546">
        <v>51467</v>
      </c>
      <c r="I26" s="571">
        <v>71500</v>
      </c>
      <c r="J26" s="313">
        <v>60853</v>
      </c>
      <c r="K26" s="534">
        <f t="shared" si="2"/>
        <v>65611</v>
      </c>
      <c r="L26" s="553">
        <f t="shared" si="3"/>
        <v>158613</v>
      </c>
      <c r="M26" s="113">
        <f t="shared" si="0"/>
        <v>149450</v>
      </c>
    </row>
    <row r="27" spans="1:13" ht="18.600000000000001" customHeight="1" x14ac:dyDescent="0.3">
      <c r="A27" s="116" t="s">
        <v>24</v>
      </c>
      <c r="B27" s="537">
        <v>34100</v>
      </c>
      <c r="C27" s="546">
        <v>23389</v>
      </c>
      <c r="D27" s="290">
        <v>23389</v>
      </c>
      <c r="E27" s="537"/>
      <c r="F27" s="546"/>
      <c r="G27" s="561"/>
      <c r="H27" s="546">
        <v>1556</v>
      </c>
      <c r="I27" s="571">
        <v>2854</v>
      </c>
      <c r="J27" s="313">
        <v>2854</v>
      </c>
      <c r="K27" s="534">
        <f t="shared" si="2"/>
        <v>35656</v>
      </c>
      <c r="L27" s="553">
        <f t="shared" si="3"/>
        <v>26243</v>
      </c>
      <c r="M27" s="113">
        <f t="shared" si="0"/>
        <v>26243</v>
      </c>
    </row>
    <row r="28" spans="1:13" ht="21" customHeight="1" x14ac:dyDescent="0.3">
      <c r="A28" s="116" t="s">
        <v>83</v>
      </c>
      <c r="B28" s="537">
        <v>87862</v>
      </c>
      <c r="C28" s="546">
        <v>87862</v>
      </c>
      <c r="D28" s="290">
        <f>C28+6730</f>
        <v>94592</v>
      </c>
      <c r="E28" s="537"/>
      <c r="F28" s="546"/>
      <c r="G28" s="561"/>
      <c r="H28" s="546"/>
      <c r="I28" s="571"/>
      <c r="J28" s="313"/>
      <c r="K28" s="534">
        <f t="shared" si="2"/>
        <v>87862</v>
      </c>
      <c r="L28" s="553">
        <f t="shared" si="3"/>
        <v>87862</v>
      </c>
      <c r="M28" s="113">
        <f t="shared" si="0"/>
        <v>94592</v>
      </c>
    </row>
    <row r="29" spans="1:13" ht="18.600000000000001" customHeight="1" x14ac:dyDescent="0.3">
      <c r="A29" s="116" t="s">
        <v>27</v>
      </c>
      <c r="B29" s="537"/>
      <c r="C29" s="546"/>
      <c r="D29" s="290"/>
      <c r="E29" s="537"/>
      <c r="F29" s="546"/>
      <c r="G29" s="561"/>
      <c r="H29" s="546">
        <v>83853</v>
      </c>
      <c r="I29" s="571">
        <v>85109</v>
      </c>
      <c r="J29" s="313">
        <v>85109</v>
      </c>
      <c r="K29" s="534">
        <f t="shared" si="2"/>
        <v>83853</v>
      </c>
      <c r="L29" s="553">
        <f t="shared" si="3"/>
        <v>85109</v>
      </c>
      <c r="M29" s="113">
        <f t="shared" si="0"/>
        <v>85109</v>
      </c>
    </row>
    <row r="30" spans="1:13" ht="18.600000000000001" customHeight="1" x14ac:dyDescent="0.3">
      <c r="A30" s="119" t="s">
        <v>28</v>
      </c>
      <c r="B30" s="537">
        <v>120381</v>
      </c>
      <c r="C30" s="546">
        <v>144835</v>
      </c>
      <c r="D30" s="290">
        <f>C30+162+1817+135</f>
        <v>146949</v>
      </c>
      <c r="E30" s="537"/>
      <c r="F30" s="546"/>
      <c r="G30" s="561"/>
      <c r="H30" s="546">
        <v>53420</v>
      </c>
      <c r="I30" s="571">
        <v>59390</v>
      </c>
      <c r="J30" s="313">
        <v>60390</v>
      </c>
      <c r="K30" s="534">
        <f t="shared" si="2"/>
        <v>173801</v>
      </c>
      <c r="L30" s="553">
        <f t="shared" si="3"/>
        <v>204225</v>
      </c>
      <c r="M30" s="113">
        <f t="shared" si="0"/>
        <v>207339</v>
      </c>
    </row>
    <row r="31" spans="1:13" s="22" customFormat="1" ht="18.600000000000001" customHeight="1" x14ac:dyDescent="0.3">
      <c r="A31" s="116" t="s">
        <v>30</v>
      </c>
      <c r="B31" s="537">
        <v>15735</v>
      </c>
      <c r="C31" s="546">
        <v>15735</v>
      </c>
      <c r="D31" s="290">
        <v>15735</v>
      </c>
      <c r="E31" s="538"/>
      <c r="F31" s="547"/>
      <c r="G31" s="562"/>
      <c r="H31" s="547"/>
      <c r="I31" s="571">
        <v>9</v>
      </c>
      <c r="J31" s="313">
        <v>9</v>
      </c>
      <c r="K31" s="534">
        <f t="shared" si="2"/>
        <v>15735</v>
      </c>
      <c r="L31" s="553">
        <f t="shared" si="3"/>
        <v>15744</v>
      </c>
      <c r="M31" s="113">
        <f t="shared" si="0"/>
        <v>15744</v>
      </c>
    </row>
    <row r="32" spans="1:13" s="22" customFormat="1" ht="18.600000000000001" customHeight="1" x14ac:dyDescent="0.3">
      <c r="A32" s="147" t="s">
        <v>217</v>
      </c>
      <c r="B32" s="537"/>
      <c r="C32" s="546">
        <v>83</v>
      </c>
      <c r="D32" s="290">
        <f>C32+77</f>
        <v>160</v>
      </c>
      <c r="E32" s="538"/>
      <c r="F32" s="547"/>
      <c r="G32" s="561">
        <v>639</v>
      </c>
      <c r="H32" s="547"/>
      <c r="I32" s="571">
        <v>158</v>
      </c>
      <c r="J32" s="313">
        <v>225</v>
      </c>
      <c r="K32" s="534">
        <f t="shared" si="2"/>
        <v>0</v>
      </c>
      <c r="L32" s="553">
        <f t="shared" si="3"/>
        <v>241</v>
      </c>
      <c r="M32" s="113">
        <f t="shared" si="0"/>
        <v>1024</v>
      </c>
    </row>
    <row r="33" spans="1:13" ht="18.600000000000001" customHeight="1" x14ac:dyDescent="0.3">
      <c r="A33" s="117" t="s">
        <v>32</v>
      </c>
      <c r="B33" s="538">
        <f t="shared" ref="B33:I33" si="9">SUM(B34:B35)</f>
        <v>2000</v>
      </c>
      <c r="C33" s="547">
        <f>SUM(C34:C35)</f>
        <v>2070</v>
      </c>
      <c r="D33" s="291">
        <f>SUM(D34:D35)</f>
        <v>5358</v>
      </c>
      <c r="E33" s="538">
        <f t="shared" si="9"/>
        <v>1400</v>
      </c>
      <c r="F33" s="547">
        <f t="shared" si="9"/>
        <v>1400</v>
      </c>
      <c r="G33" s="562">
        <f t="shared" ref="G33" si="10">SUM(G34:G35)</f>
        <v>1400</v>
      </c>
      <c r="H33" s="547">
        <f t="shared" si="9"/>
        <v>0</v>
      </c>
      <c r="I33" s="574">
        <f t="shared" si="9"/>
        <v>11</v>
      </c>
      <c r="J33" s="145">
        <f t="shared" ref="J33" si="11">SUM(J34:J35)</f>
        <v>11</v>
      </c>
      <c r="K33" s="534">
        <f t="shared" si="2"/>
        <v>3400</v>
      </c>
      <c r="L33" s="553">
        <f t="shared" si="3"/>
        <v>3481</v>
      </c>
      <c r="M33" s="113">
        <f t="shared" si="0"/>
        <v>6769</v>
      </c>
    </row>
    <row r="34" spans="1:13" s="22" customFormat="1" ht="18.600000000000001" customHeight="1" x14ac:dyDescent="0.3">
      <c r="A34" s="116" t="s">
        <v>144</v>
      </c>
      <c r="B34" s="537"/>
      <c r="C34" s="546"/>
      <c r="D34" s="290">
        <f>600+650</f>
        <v>1250</v>
      </c>
      <c r="E34" s="537">
        <v>1400</v>
      </c>
      <c r="F34" s="546">
        <v>1400</v>
      </c>
      <c r="G34" s="561">
        <v>1400</v>
      </c>
      <c r="H34" s="547"/>
      <c r="I34" s="571">
        <v>11</v>
      </c>
      <c r="J34" s="313">
        <v>11</v>
      </c>
      <c r="K34" s="534">
        <f t="shared" si="2"/>
        <v>1400</v>
      </c>
      <c r="L34" s="553">
        <f t="shared" si="3"/>
        <v>1411</v>
      </c>
      <c r="M34" s="113">
        <f t="shared" si="0"/>
        <v>2661</v>
      </c>
    </row>
    <row r="35" spans="1:13" s="22" customFormat="1" ht="18.600000000000001" customHeight="1" x14ac:dyDescent="0.3">
      <c r="A35" s="116" t="s">
        <v>171</v>
      </c>
      <c r="B35" s="537">
        <v>2000</v>
      </c>
      <c r="C35" s="546">
        <v>2070</v>
      </c>
      <c r="D35" s="290">
        <f>C35+2038</f>
        <v>4108</v>
      </c>
      <c r="E35" s="537"/>
      <c r="F35" s="546"/>
      <c r="G35" s="561"/>
      <c r="H35" s="547"/>
      <c r="I35" s="573"/>
      <c r="J35" s="309"/>
      <c r="K35" s="534">
        <f t="shared" si="2"/>
        <v>2000</v>
      </c>
      <c r="L35" s="553">
        <f t="shared" si="3"/>
        <v>2070</v>
      </c>
      <c r="M35" s="113">
        <f t="shared" si="0"/>
        <v>4108</v>
      </c>
    </row>
    <row r="36" spans="1:13" s="22" customFormat="1" ht="18.600000000000001" customHeight="1" x14ac:dyDescent="0.3">
      <c r="A36" s="117" t="s">
        <v>34</v>
      </c>
      <c r="B36" s="538">
        <f>SUM(B37)</f>
        <v>73119</v>
      </c>
      <c r="C36" s="547">
        <f>SUM(C37+C38)</f>
        <v>122279</v>
      </c>
      <c r="D36" s="145">
        <f>SUM(D37+D38)</f>
        <v>122279</v>
      </c>
      <c r="E36" s="538"/>
      <c r="F36" s="547"/>
      <c r="G36" s="562"/>
      <c r="H36" s="547"/>
      <c r="I36" s="574">
        <f>SUM(I37:I38)</f>
        <v>7170</v>
      </c>
      <c r="J36" s="145">
        <f>SUM(J37:J38)</f>
        <v>5920</v>
      </c>
      <c r="K36" s="534">
        <f t="shared" si="2"/>
        <v>73119</v>
      </c>
      <c r="L36" s="553">
        <f t="shared" si="3"/>
        <v>129449</v>
      </c>
      <c r="M36" s="113">
        <f t="shared" si="0"/>
        <v>128199</v>
      </c>
    </row>
    <row r="37" spans="1:13" s="22" customFormat="1" ht="18.600000000000001" customHeight="1" x14ac:dyDescent="0.3">
      <c r="A37" s="116" t="s">
        <v>84</v>
      </c>
      <c r="B37" s="537">
        <v>73119</v>
      </c>
      <c r="C37" s="546">
        <v>119279</v>
      </c>
      <c r="D37" s="290">
        <v>119279</v>
      </c>
      <c r="E37" s="538"/>
      <c r="F37" s="547"/>
      <c r="G37" s="562"/>
      <c r="H37" s="547"/>
      <c r="I37" s="571">
        <v>7170</v>
      </c>
      <c r="J37" s="313">
        <v>5920</v>
      </c>
      <c r="K37" s="534">
        <f t="shared" si="2"/>
        <v>73119</v>
      </c>
      <c r="L37" s="553">
        <f t="shared" si="3"/>
        <v>126449</v>
      </c>
      <c r="M37" s="113">
        <f t="shared" si="0"/>
        <v>125199</v>
      </c>
    </row>
    <row r="38" spans="1:13" s="22" customFormat="1" ht="18.600000000000001" customHeight="1" x14ac:dyDescent="0.3">
      <c r="A38" s="147" t="s">
        <v>147</v>
      </c>
      <c r="B38" s="537"/>
      <c r="C38" s="546">
        <v>3000</v>
      </c>
      <c r="D38" s="290">
        <v>3000</v>
      </c>
      <c r="E38" s="538"/>
      <c r="F38" s="547"/>
      <c r="G38" s="562"/>
      <c r="H38" s="547"/>
      <c r="I38" s="573"/>
      <c r="J38" s="309"/>
      <c r="K38" s="534">
        <f t="shared" si="2"/>
        <v>0</v>
      </c>
      <c r="L38" s="553">
        <f t="shared" si="3"/>
        <v>3000</v>
      </c>
      <c r="M38" s="113">
        <f t="shared" si="0"/>
        <v>3000</v>
      </c>
    </row>
    <row r="39" spans="1:13" ht="18.600000000000001" customHeight="1" x14ac:dyDescent="0.3">
      <c r="A39" s="120" t="s">
        <v>85</v>
      </c>
      <c r="B39" s="538">
        <f t="shared" ref="B39:F39" si="12">SUM(B40:B41)</f>
        <v>19530</v>
      </c>
      <c r="C39" s="547">
        <f>SUM(C40:C41)</f>
        <v>19630</v>
      </c>
      <c r="D39" s="145">
        <f>SUM(D40:D41)</f>
        <v>19630</v>
      </c>
      <c r="E39" s="538">
        <f t="shared" si="12"/>
        <v>600</v>
      </c>
      <c r="F39" s="547">
        <f t="shared" si="12"/>
        <v>600</v>
      </c>
      <c r="G39" s="562">
        <f t="shared" ref="G39" si="13">SUM(G40:G41)</f>
        <v>600</v>
      </c>
      <c r="H39" s="547">
        <f>SUM(H40)</f>
        <v>0</v>
      </c>
      <c r="I39" s="574">
        <f>SUM(I40:I41)</f>
        <v>800</v>
      </c>
      <c r="J39" s="145">
        <f>SUM(J40:J41)</f>
        <v>800</v>
      </c>
      <c r="K39" s="534">
        <f t="shared" si="2"/>
        <v>20130</v>
      </c>
      <c r="L39" s="553">
        <f t="shared" si="3"/>
        <v>21030</v>
      </c>
      <c r="M39" s="113">
        <f t="shared" si="0"/>
        <v>21030</v>
      </c>
    </row>
    <row r="40" spans="1:13" s="23" customFormat="1" ht="18.600000000000001" customHeight="1" x14ac:dyDescent="0.3">
      <c r="A40" s="121" t="s">
        <v>84</v>
      </c>
      <c r="B40" s="537">
        <v>896</v>
      </c>
      <c r="C40" s="546">
        <v>996</v>
      </c>
      <c r="D40" s="290">
        <v>996</v>
      </c>
      <c r="E40" s="537">
        <v>600</v>
      </c>
      <c r="F40" s="546">
        <v>600</v>
      </c>
      <c r="G40" s="561">
        <v>600</v>
      </c>
      <c r="H40" s="554"/>
      <c r="I40" s="575"/>
      <c r="J40" s="314"/>
      <c r="K40" s="534">
        <f t="shared" si="2"/>
        <v>1496</v>
      </c>
      <c r="L40" s="553">
        <f t="shared" si="3"/>
        <v>1596</v>
      </c>
      <c r="M40" s="113">
        <f t="shared" si="0"/>
        <v>1596</v>
      </c>
    </row>
    <row r="41" spans="1:13" s="23" customFormat="1" ht="18.600000000000001" customHeight="1" thickBot="1" x14ac:dyDescent="0.35">
      <c r="A41" s="292" t="s">
        <v>8</v>
      </c>
      <c r="B41" s="539">
        <v>18634</v>
      </c>
      <c r="C41" s="548">
        <v>18634</v>
      </c>
      <c r="D41" s="293">
        <v>18634</v>
      </c>
      <c r="E41" s="551"/>
      <c r="F41" s="555"/>
      <c r="G41" s="563"/>
      <c r="H41" s="555"/>
      <c r="I41" s="315">
        <v>800</v>
      </c>
      <c r="J41" s="315">
        <v>800</v>
      </c>
      <c r="K41" s="294">
        <f t="shared" si="2"/>
        <v>18634</v>
      </c>
      <c r="L41" s="317">
        <f t="shared" si="3"/>
        <v>19434</v>
      </c>
      <c r="M41" s="295">
        <f t="shared" si="0"/>
        <v>19434</v>
      </c>
    </row>
    <row r="42" spans="1:13" ht="18.600000000000001" customHeight="1" thickBot="1" x14ac:dyDescent="0.35">
      <c r="A42" s="298" t="s">
        <v>86</v>
      </c>
      <c r="B42" s="540">
        <f>SUM(B6+B8+B10+B12+B24+B33+B39+B36)</f>
        <v>4088125</v>
      </c>
      <c r="C42" s="300">
        <f>SUM(C6+C8+C10+C12+C24+C33+C39+C36)</f>
        <v>5711446</v>
      </c>
      <c r="D42" s="301">
        <f>SUM(D6+D7+D8+D10+D12+D24+D33+D39+D36)</f>
        <v>5989466</v>
      </c>
      <c r="E42" s="540">
        <f>SUM(E6+E8+E12+E24+E33+E39)</f>
        <v>25271</v>
      </c>
      <c r="F42" s="300">
        <f>SUM(F6+F8+F12+F24+F33+F39)</f>
        <v>31570</v>
      </c>
      <c r="G42" s="564">
        <f>SUM(G6+G8+G12+G24+G33+G39)</f>
        <v>35275</v>
      </c>
      <c r="H42" s="300">
        <f>SUM(H6+H8+H10+H12+H24+H33+H39)</f>
        <v>263264</v>
      </c>
      <c r="I42" s="576">
        <f>SUM(I6+I8+I10+I12+I24+I33+I39+I36)</f>
        <v>304317</v>
      </c>
      <c r="J42" s="301">
        <f>SUM(J6+J8+J10+J12+J24+J33+J39+J36)</f>
        <v>296002</v>
      </c>
      <c r="K42" s="578">
        <f t="shared" si="2"/>
        <v>4376660</v>
      </c>
      <c r="L42" s="318">
        <f t="shared" si="3"/>
        <v>6047333</v>
      </c>
      <c r="M42" s="302">
        <f t="shared" si="0"/>
        <v>6320743</v>
      </c>
    </row>
    <row r="43" spans="1:13" ht="18.600000000000001" customHeight="1" x14ac:dyDescent="0.3">
      <c r="A43" s="450" t="s">
        <v>230</v>
      </c>
      <c r="B43" s="541"/>
      <c r="C43" s="549">
        <v>572581</v>
      </c>
      <c r="D43" s="451">
        <v>572581</v>
      </c>
      <c r="E43" s="541"/>
      <c r="F43" s="549"/>
      <c r="G43" s="541"/>
      <c r="H43" s="549"/>
      <c r="I43" s="577"/>
      <c r="J43" s="451"/>
      <c r="K43" s="579"/>
      <c r="L43" s="553">
        <f t="shared" ref="L43:L48" si="14">C43+F43+I43</f>
        <v>572581</v>
      </c>
      <c r="M43" s="113">
        <f t="shared" si="0"/>
        <v>572581</v>
      </c>
    </row>
    <row r="44" spans="1:13" s="24" customFormat="1" ht="18.600000000000001" customHeight="1" x14ac:dyDescent="0.35">
      <c r="A44" s="296" t="s">
        <v>180</v>
      </c>
      <c r="B44" s="542">
        <v>25000</v>
      </c>
      <c r="C44" s="550">
        <v>40010</v>
      </c>
      <c r="D44" s="297">
        <v>40010</v>
      </c>
      <c r="E44" s="552"/>
      <c r="F44" s="556"/>
      <c r="G44" s="565"/>
      <c r="H44" s="556"/>
      <c r="I44" s="573"/>
      <c r="J44" s="309"/>
      <c r="K44" s="534">
        <f>B44+E44+H44</f>
        <v>25000</v>
      </c>
      <c r="L44" s="553">
        <f t="shared" si="14"/>
        <v>40010</v>
      </c>
      <c r="M44" s="113">
        <f t="shared" si="0"/>
        <v>40010</v>
      </c>
    </row>
    <row r="45" spans="1:13" x14ac:dyDescent="0.3">
      <c r="A45" s="120" t="s">
        <v>183</v>
      </c>
      <c r="B45" s="537">
        <v>200000</v>
      </c>
      <c r="C45" s="546">
        <v>0</v>
      </c>
      <c r="D45" s="290">
        <v>0</v>
      </c>
      <c r="E45" s="537"/>
      <c r="F45" s="546">
        <v>4986</v>
      </c>
      <c r="G45" s="561">
        <v>4986</v>
      </c>
      <c r="H45" s="546"/>
      <c r="I45" s="571">
        <v>4826</v>
      </c>
      <c r="J45" s="313">
        <v>4826</v>
      </c>
      <c r="K45" s="534">
        <f>B45+E45+H45</f>
        <v>200000</v>
      </c>
      <c r="L45" s="553">
        <f t="shared" si="14"/>
        <v>9812</v>
      </c>
      <c r="M45" s="113">
        <f t="shared" si="0"/>
        <v>9812</v>
      </c>
    </row>
    <row r="46" spans="1:13" x14ac:dyDescent="0.3">
      <c r="A46" s="120" t="s">
        <v>87</v>
      </c>
      <c r="B46" s="537"/>
      <c r="C46" s="546"/>
      <c r="D46" s="290"/>
      <c r="E46" s="537">
        <v>539566</v>
      </c>
      <c r="F46" s="546">
        <v>560210</v>
      </c>
      <c r="G46" s="561">
        <v>560817</v>
      </c>
      <c r="H46" s="546">
        <v>986035</v>
      </c>
      <c r="I46" s="571">
        <v>1030994</v>
      </c>
      <c r="J46" s="313">
        <v>1047348</v>
      </c>
      <c r="K46" s="534">
        <f>B46+E46+H46</f>
        <v>1525601</v>
      </c>
      <c r="L46" s="553">
        <f t="shared" si="14"/>
        <v>1591204</v>
      </c>
      <c r="M46" s="113">
        <f t="shared" si="0"/>
        <v>1608165</v>
      </c>
    </row>
    <row r="47" spans="1:13" x14ac:dyDescent="0.3">
      <c r="A47" s="148" t="s">
        <v>218</v>
      </c>
      <c r="B47" s="537"/>
      <c r="C47" s="546">
        <v>2388559</v>
      </c>
      <c r="D47" s="290">
        <v>2388559</v>
      </c>
      <c r="E47" s="537"/>
      <c r="F47" s="546"/>
      <c r="G47" s="561"/>
      <c r="H47" s="546"/>
      <c r="I47" s="571"/>
      <c r="J47" s="313"/>
      <c r="K47" s="534">
        <f>B47+E47+H47</f>
        <v>0</v>
      </c>
      <c r="L47" s="544">
        <f t="shared" si="14"/>
        <v>2388559</v>
      </c>
      <c r="M47" s="467">
        <f t="shared" si="0"/>
        <v>2388559</v>
      </c>
    </row>
    <row r="48" spans="1:13" ht="19.5" thickBot="1" x14ac:dyDescent="0.35">
      <c r="A48" s="303" t="s">
        <v>220</v>
      </c>
      <c r="B48" s="539"/>
      <c r="C48" s="548">
        <v>80000</v>
      </c>
      <c r="D48" s="293">
        <v>80000</v>
      </c>
      <c r="E48" s="539"/>
      <c r="F48" s="548"/>
      <c r="G48" s="566"/>
      <c r="H48" s="548"/>
      <c r="I48" s="315"/>
      <c r="J48" s="315"/>
      <c r="K48" s="294">
        <f>B48+E48+H48</f>
        <v>0</v>
      </c>
      <c r="L48" s="317">
        <f t="shared" si="14"/>
        <v>80000</v>
      </c>
      <c r="M48" s="317">
        <f t="shared" si="0"/>
        <v>80000</v>
      </c>
    </row>
    <row r="49" spans="1:13" ht="19.5" thickBot="1" x14ac:dyDescent="0.35">
      <c r="A49" s="308" t="s">
        <v>88</v>
      </c>
      <c r="B49" s="540">
        <f>SUM(B43:B48)</f>
        <v>225000</v>
      </c>
      <c r="C49" s="300">
        <f>SUM(C43:C48)</f>
        <v>3081150</v>
      </c>
      <c r="D49" s="299">
        <f>SUM(D43:D48)</f>
        <v>3081150</v>
      </c>
      <c r="E49" s="540">
        <f t="shared" ref="E49" si="15">SUM(E43:E48)</f>
        <v>539566</v>
      </c>
      <c r="F49" s="300">
        <f t="shared" ref="F49:G49" si="16">SUM(F43:F48)</f>
        <v>565196</v>
      </c>
      <c r="G49" s="540">
        <f t="shared" si="16"/>
        <v>565803</v>
      </c>
      <c r="H49" s="300">
        <f t="shared" ref="H49" si="17">SUM(H43:H48)</f>
        <v>986035</v>
      </c>
      <c r="I49" s="564">
        <f t="shared" ref="I49:J49" si="18">SUM(I43:I48)</f>
        <v>1035820</v>
      </c>
      <c r="J49" s="299">
        <f t="shared" si="18"/>
        <v>1052174</v>
      </c>
      <c r="K49" s="540">
        <f t="shared" ref="K49" si="19">SUM(K43:K48)</f>
        <v>1750601</v>
      </c>
      <c r="L49" s="300">
        <f>SUM(L43:L48)</f>
        <v>4682166</v>
      </c>
      <c r="M49" s="300">
        <f>SUM(M43:M48)</f>
        <v>4699127</v>
      </c>
    </row>
    <row r="50" spans="1:13" s="22" customFormat="1" ht="19.5" thickBot="1" x14ac:dyDescent="0.35">
      <c r="A50" s="304" t="s">
        <v>47</v>
      </c>
      <c r="B50" s="305">
        <f t="shared" ref="B50:I50" si="20">SUM(B42+B49)</f>
        <v>4313125</v>
      </c>
      <c r="C50" s="306">
        <f>SUM(C42+C49)</f>
        <v>8792596</v>
      </c>
      <c r="D50" s="307">
        <f>SUM(D42+D49)</f>
        <v>9070616</v>
      </c>
      <c r="E50" s="305">
        <f t="shared" si="20"/>
        <v>564837</v>
      </c>
      <c r="F50" s="306">
        <f>SUM(F42+F49)</f>
        <v>596766</v>
      </c>
      <c r="G50" s="567">
        <f>SUM(G42+G49)</f>
        <v>601078</v>
      </c>
      <c r="H50" s="306">
        <f t="shared" si="20"/>
        <v>1249299</v>
      </c>
      <c r="I50" s="310">
        <f t="shared" si="20"/>
        <v>1340137</v>
      </c>
      <c r="J50" s="307">
        <f t="shared" ref="J50" si="21">SUM(J42+J49)</f>
        <v>1348176</v>
      </c>
      <c r="K50" s="316">
        <f>B50+E50+H50</f>
        <v>6127261</v>
      </c>
      <c r="L50" s="319">
        <f>C50+F50+I50</f>
        <v>10729499</v>
      </c>
      <c r="M50" s="319">
        <f>D50+G50+J50</f>
        <v>11019870</v>
      </c>
    </row>
  </sheetData>
  <sheetProtection selectLockedCells="1" selectUnlockedCells="1"/>
  <mergeCells count="6">
    <mergeCell ref="A2:L2"/>
    <mergeCell ref="A4:A5"/>
    <mergeCell ref="B4:D4"/>
    <mergeCell ref="E4:G4"/>
    <mergeCell ref="H4:J4"/>
    <mergeCell ref="K4:M4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37" firstPageNumber="0" orientation="landscape" horizontalDpi="300" verticalDpi="300" r:id="rId1"/>
  <headerFooter alignWithMargins="0">
    <oddHeader xml:space="preserve">&amp;L&amp;11 3. melléklet a 28/2017.(XII.21.)önkormányzati rendelethez
3. melléklet a 24/2016.(XII.16.)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view="pageBreakPreview" topLeftCell="C10" zoomScale="90" zoomScaleNormal="79" zoomScaleSheetLayoutView="90" workbookViewId="0">
      <pane xSplit="1" topLeftCell="L1" activePane="topRight" state="frozen"/>
      <selection activeCell="C1" sqref="C1"/>
      <selection pane="topRight" activeCell="C25" sqref="C25"/>
    </sheetView>
  </sheetViews>
  <sheetFormatPr defaultRowHeight="25.5" customHeight="1" x14ac:dyDescent="0.25"/>
  <cols>
    <col min="1" max="2" width="0" style="25" hidden="1" customWidth="1"/>
    <col min="3" max="3" width="60.28515625" style="25" customWidth="1"/>
    <col min="4" max="4" width="14.7109375" style="25" customWidth="1"/>
    <col min="5" max="6" width="15.7109375" style="25" customWidth="1"/>
    <col min="7" max="7" width="15.85546875" style="25" customWidth="1"/>
    <col min="8" max="9" width="14.85546875" style="25" customWidth="1"/>
    <col min="10" max="10" width="15.140625" style="25" customWidth="1"/>
    <col min="11" max="12" width="15.7109375" style="25" customWidth="1"/>
    <col min="13" max="13" width="15.42578125" style="25" customWidth="1"/>
    <col min="14" max="14" width="14.85546875" style="25" customWidth="1"/>
    <col min="15" max="15" width="15.7109375" style="25" customWidth="1"/>
    <col min="16" max="16384" width="9.140625" style="25"/>
  </cols>
  <sheetData>
    <row r="1" spans="1:22" s="26" customFormat="1" ht="18" customHeight="1" x14ac:dyDescent="0.25">
      <c r="C1" s="1435" t="s">
        <v>151</v>
      </c>
      <c r="D1" s="1435"/>
      <c r="E1" s="1435"/>
      <c r="F1" s="1435"/>
      <c r="G1" s="1435"/>
      <c r="H1" s="1435"/>
      <c r="I1" s="1435"/>
      <c r="J1" s="1435"/>
      <c r="K1" s="1435"/>
      <c r="L1" s="1435"/>
      <c r="M1" s="1435"/>
      <c r="N1" s="1435"/>
    </row>
    <row r="2" spans="1:22" s="26" customFormat="1" ht="18" customHeight="1" x14ac:dyDescent="0.25">
      <c r="C2" s="1435" t="s">
        <v>178</v>
      </c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</row>
    <row r="3" spans="1:22" s="26" customFormat="1" ht="18" customHeight="1" thickBot="1" x14ac:dyDescent="0.3"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22" ht="69.75" customHeight="1" thickBot="1" x14ac:dyDescent="0.3">
      <c r="A4" s="28"/>
      <c r="B4" s="26"/>
      <c r="C4" s="1436" t="s">
        <v>89</v>
      </c>
      <c r="D4" s="1438" t="s">
        <v>69</v>
      </c>
      <c r="E4" s="1398"/>
      <c r="F4" s="1432"/>
      <c r="G4" s="1438" t="s">
        <v>70</v>
      </c>
      <c r="H4" s="1398"/>
      <c r="I4" s="1432"/>
      <c r="J4" s="1438" t="s">
        <v>71</v>
      </c>
      <c r="K4" s="1398"/>
      <c r="L4" s="1432"/>
      <c r="M4" s="1439" t="s">
        <v>72</v>
      </c>
      <c r="N4" s="1440"/>
      <c r="O4" s="1434"/>
      <c r="P4" s="26"/>
      <c r="Q4" s="26"/>
      <c r="R4" s="26"/>
      <c r="S4" s="26"/>
      <c r="T4" s="26"/>
      <c r="U4" s="26"/>
      <c r="V4" s="26"/>
    </row>
    <row r="5" spans="1:22" ht="18.75" customHeight="1" thickBot="1" x14ac:dyDescent="0.3">
      <c r="A5" s="29"/>
      <c r="B5" s="30"/>
      <c r="C5" s="1437"/>
      <c r="D5" s="127" t="s">
        <v>3</v>
      </c>
      <c r="E5" s="204" t="s">
        <v>226</v>
      </c>
      <c r="F5" s="204" t="s">
        <v>235</v>
      </c>
      <c r="G5" s="129" t="s">
        <v>3</v>
      </c>
      <c r="H5" s="204" t="s">
        <v>225</v>
      </c>
      <c r="I5" s="204" t="s">
        <v>235</v>
      </c>
      <c r="J5" s="129" t="s">
        <v>3</v>
      </c>
      <c r="K5" s="204" t="s">
        <v>228</v>
      </c>
      <c r="L5" s="495" t="s">
        <v>235</v>
      </c>
      <c r="M5" s="505" t="s">
        <v>4</v>
      </c>
      <c r="N5" s="506" t="s">
        <v>225</v>
      </c>
      <c r="O5" s="507" t="s">
        <v>235</v>
      </c>
      <c r="P5" s="26"/>
      <c r="Q5" s="26"/>
      <c r="R5" s="26"/>
      <c r="S5" s="26"/>
      <c r="T5" s="26"/>
      <c r="U5" s="26"/>
      <c r="V5" s="26"/>
    </row>
    <row r="6" spans="1:22" s="33" customFormat="1" ht="19.5" customHeight="1" x14ac:dyDescent="0.25">
      <c r="A6" s="31"/>
      <c r="B6" s="32"/>
      <c r="C6" s="320" t="s">
        <v>6</v>
      </c>
      <c r="D6" s="328">
        <v>218792</v>
      </c>
      <c r="E6" s="520">
        <v>247176</v>
      </c>
      <c r="F6" s="205">
        <v>241217</v>
      </c>
      <c r="G6" s="122">
        <v>346703</v>
      </c>
      <c r="H6" s="527">
        <v>369451</v>
      </c>
      <c r="I6" s="492">
        <v>371239</v>
      </c>
      <c r="J6" s="122">
        <v>646786</v>
      </c>
      <c r="K6" s="527">
        <v>662541</v>
      </c>
      <c r="L6" s="496">
        <v>662351</v>
      </c>
      <c r="M6" s="72">
        <f t="shared" ref="M6:M31" si="0">SUM(D6+G6+J6)</f>
        <v>1212281</v>
      </c>
      <c r="N6" s="72">
        <f t="shared" ref="N6:N31" si="1">SUM(E6+H6+K6)</f>
        <v>1279168</v>
      </c>
      <c r="O6" s="72">
        <f t="shared" ref="O6:O31" si="2">SUM(F6+I6+L6)</f>
        <v>1274807</v>
      </c>
      <c r="P6" s="32"/>
      <c r="Q6" s="32"/>
      <c r="R6" s="32"/>
      <c r="S6" s="32"/>
      <c r="T6" s="32"/>
      <c r="U6" s="32"/>
      <c r="V6" s="32"/>
    </row>
    <row r="7" spans="1:22" s="33" customFormat="1" ht="20.100000000000001" customHeight="1" x14ac:dyDescent="0.25">
      <c r="A7" s="31"/>
      <c r="B7" s="32"/>
      <c r="C7" s="321" t="s">
        <v>90</v>
      </c>
      <c r="D7" s="329">
        <v>46978</v>
      </c>
      <c r="E7" s="521">
        <v>54818</v>
      </c>
      <c r="F7" s="206">
        <v>55773</v>
      </c>
      <c r="G7" s="123">
        <v>93119</v>
      </c>
      <c r="H7" s="521">
        <v>98050</v>
      </c>
      <c r="I7" s="487">
        <v>99924</v>
      </c>
      <c r="J7" s="123">
        <v>142666</v>
      </c>
      <c r="K7" s="521">
        <v>146015</v>
      </c>
      <c r="L7" s="497">
        <v>148070</v>
      </c>
      <c r="M7" s="90">
        <f t="shared" si="0"/>
        <v>282763</v>
      </c>
      <c r="N7" s="72">
        <f t="shared" si="1"/>
        <v>298883</v>
      </c>
      <c r="O7" s="72">
        <f t="shared" si="2"/>
        <v>303767</v>
      </c>
      <c r="P7" s="32"/>
      <c r="Q7" s="32"/>
      <c r="R7" s="32"/>
      <c r="S7" s="32"/>
      <c r="T7" s="32"/>
      <c r="U7" s="32"/>
      <c r="V7" s="32"/>
    </row>
    <row r="8" spans="1:22" s="33" customFormat="1" ht="20.100000000000001" customHeight="1" x14ac:dyDescent="0.25">
      <c r="A8" s="31"/>
      <c r="B8" s="32"/>
      <c r="C8" s="322" t="s">
        <v>11</v>
      </c>
      <c r="D8" s="330">
        <v>660582</v>
      </c>
      <c r="E8" s="522">
        <v>803959</v>
      </c>
      <c r="F8" s="207">
        <v>899047</v>
      </c>
      <c r="G8" s="124">
        <v>114238</v>
      </c>
      <c r="H8" s="522">
        <v>117988</v>
      </c>
      <c r="I8" s="488">
        <v>118698</v>
      </c>
      <c r="J8" s="124">
        <v>425875</v>
      </c>
      <c r="K8" s="522">
        <v>494409</v>
      </c>
      <c r="L8" s="498">
        <v>496796</v>
      </c>
      <c r="M8" s="90">
        <f t="shared" si="0"/>
        <v>1200695</v>
      </c>
      <c r="N8" s="72">
        <f t="shared" si="1"/>
        <v>1416356</v>
      </c>
      <c r="O8" s="72">
        <f t="shared" si="2"/>
        <v>1514541</v>
      </c>
      <c r="P8" s="32"/>
      <c r="Q8" s="32"/>
      <c r="R8" s="32"/>
      <c r="S8" s="32"/>
      <c r="T8" s="32"/>
      <c r="U8" s="32"/>
      <c r="V8" s="32"/>
    </row>
    <row r="9" spans="1:22" s="33" customFormat="1" ht="20.100000000000001" customHeight="1" x14ac:dyDescent="0.25">
      <c r="A9" s="31"/>
      <c r="B9" s="32"/>
      <c r="C9" s="321" t="s">
        <v>13</v>
      </c>
      <c r="D9" s="330">
        <v>77825</v>
      </c>
      <c r="E9" s="522">
        <v>68061</v>
      </c>
      <c r="F9" s="522">
        <v>70315</v>
      </c>
      <c r="G9" s="124"/>
      <c r="H9" s="522"/>
      <c r="I9" s="488"/>
      <c r="J9" s="124"/>
      <c r="K9" s="522"/>
      <c r="L9" s="498"/>
      <c r="M9" s="90">
        <f t="shared" si="0"/>
        <v>77825</v>
      </c>
      <c r="N9" s="72">
        <f t="shared" si="1"/>
        <v>68061</v>
      </c>
      <c r="O9" s="72">
        <f t="shared" si="2"/>
        <v>70315</v>
      </c>
      <c r="P9" s="32"/>
      <c r="Q9" s="32"/>
      <c r="R9" s="32"/>
      <c r="S9" s="32"/>
      <c r="T9" s="32"/>
      <c r="U9" s="32"/>
      <c r="V9" s="32"/>
    </row>
    <row r="10" spans="1:22" s="33" customFormat="1" ht="19.5" customHeight="1" x14ac:dyDescent="0.25">
      <c r="A10" s="31"/>
      <c r="B10" s="32"/>
      <c r="C10" s="322" t="s">
        <v>50</v>
      </c>
      <c r="D10" s="330">
        <f>(D12+D13+D14+D11)</f>
        <v>1076465</v>
      </c>
      <c r="E10" s="522">
        <f>SUM(E11:E14)</f>
        <v>1034209</v>
      </c>
      <c r="F10" s="522">
        <f>SUM(F11:F14)</f>
        <v>1044468</v>
      </c>
      <c r="G10" s="124">
        <f t="shared" ref="G10:L10" si="3">(G12+G13+G14)</f>
        <v>0</v>
      </c>
      <c r="H10" s="522">
        <f t="shared" si="3"/>
        <v>0</v>
      </c>
      <c r="I10" s="488"/>
      <c r="J10" s="124">
        <f t="shared" si="3"/>
        <v>0</v>
      </c>
      <c r="K10" s="522">
        <f t="shared" si="3"/>
        <v>0</v>
      </c>
      <c r="L10" s="128">
        <f t="shared" si="3"/>
        <v>0</v>
      </c>
      <c r="M10" s="90">
        <f t="shared" si="0"/>
        <v>1076465</v>
      </c>
      <c r="N10" s="72">
        <f t="shared" si="1"/>
        <v>1034209</v>
      </c>
      <c r="O10" s="72">
        <f t="shared" si="2"/>
        <v>1044468</v>
      </c>
      <c r="P10" s="32"/>
      <c r="Q10" s="32"/>
      <c r="R10" s="32"/>
      <c r="S10" s="32"/>
      <c r="T10" s="32"/>
      <c r="U10" s="32"/>
      <c r="V10" s="32"/>
    </row>
    <row r="11" spans="1:22" s="33" customFormat="1" ht="20.100000000000001" customHeight="1" x14ac:dyDescent="0.25">
      <c r="A11" s="31"/>
      <c r="B11" s="32"/>
      <c r="C11" s="323" t="s">
        <v>145</v>
      </c>
      <c r="D11" s="331">
        <v>18000</v>
      </c>
      <c r="E11" s="523">
        <v>15136</v>
      </c>
      <c r="F11" s="523">
        <v>9136</v>
      </c>
      <c r="G11" s="124"/>
      <c r="H11" s="522"/>
      <c r="I11" s="488"/>
      <c r="J11" s="124"/>
      <c r="K11" s="522"/>
      <c r="L11" s="498"/>
      <c r="M11" s="90">
        <f t="shared" si="0"/>
        <v>18000</v>
      </c>
      <c r="N11" s="72">
        <f t="shared" si="1"/>
        <v>15136</v>
      </c>
      <c r="O11" s="72">
        <f t="shared" si="2"/>
        <v>9136</v>
      </c>
      <c r="P11" s="32"/>
      <c r="Q11" s="32"/>
      <c r="R11" s="32"/>
      <c r="S11" s="32"/>
      <c r="T11" s="32"/>
      <c r="U11" s="32"/>
      <c r="V11" s="32"/>
    </row>
    <row r="12" spans="1:22" ht="19.5" customHeight="1" x14ac:dyDescent="0.25">
      <c r="A12" s="28"/>
      <c r="B12" s="26"/>
      <c r="C12" s="324" t="s">
        <v>17</v>
      </c>
      <c r="D12" s="332">
        <v>32000</v>
      </c>
      <c r="E12" s="524">
        <v>48160</v>
      </c>
      <c r="F12" s="524">
        <v>48160</v>
      </c>
      <c r="G12" s="125"/>
      <c r="H12" s="524"/>
      <c r="I12" s="489"/>
      <c r="J12" s="125"/>
      <c r="K12" s="524"/>
      <c r="L12" s="499"/>
      <c r="M12" s="90">
        <f t="shared" si="0"/>
        <v>32000</v>
      </c>
      <c r="N12" s="72">
        <f t="shared" si="1"/>
        <v>48160</v>
      </c>
      <c r="O12" s="72">
        <f t="shared" si="2"/>
        <v>48160</v>
      </c>
      <c r="P12" s="26"/>
      <c r="Q12" s="26"/>
      <c r="R12" s="26"/>
      <c r="S12" s="26"/>
      <c r="T12" s="26"/>
      <c r="U12" s="26"/>
      <c r="V12" s="26"/>
    </row>
    <row r="13" spans="1:22" ht="19.5" customHeight="1" x14ac:dyDescent="0.25">
      <c r="A13" s="28"/>
      <c r="B13" s="26"/>
      <c r="C13" s="324" t="s">
        <v>18</v>
      </c>
      <c r="D13" s="332">
        <v>917165</v>
      </c>
      <c r="E13" s="524">
        <v>966282</v>
      </c>
      <c r="F13" s="524">
        <v>986241</v>
      </c>
      <c r="G13" s="125"/>
      <c r="H13" s="524"/>
      <c r="I13" s="489"/>
      <c r="J13" s="125"/>
      <c r="K13" s="524"/>
      <c r="L13" s="499"/>
      <c r="M13" s="90">
        <f t="shared" si="0"/>
        <v>917165</v>
      </c>
      <c r="N13" s="72">
        <f t="shared" si="1"/>
        <v>966282</v>
      </c>
      <c r="O13" s="72">
        <f t="shared" si="2"/>
        <v>986241</v>
      </c>
      <c r="P13" s="26"/>
      <c r="Q13" s="26"/>
      <c r="R13" s="26"/>
      <c r="S13" s="26"/>
      <c r="T13" s="26"/>
      <c r="U13" s="26"/>
      <c r="V13" s="26"/>
    </row>
    <row r="14" spans="1:22" s="33" customFormat="1" ht="20.100000000000001" customHeight="1" x14ac:dyDescent="0.25">
      <c r="A14" s="31"/>
      <c r="B14" s="32"/>
      <c r="C14" s="325" t="s">
        <v>20</v>
      </c>
      <c r="D14" s="332">
        <f>SUM(D15:D17)</f>
        <v>109300</v>
      </c>
      <c r="E14" s="332">
        <f t="shared" ref="E14:F14" si="4">SUM(E15:E17)</f>
        <v>4631</v>
      </c>
      <c r="F14" s="524">
        <f t="shared" si="4"/>
        <v>931</v>
      </c>
      <c r="G14" s="125"/>
      <c r="H14" s="524"/>
      <c r="I14" s="489"/>
      <c r="J14" s="125"/>
      <c r="K14" s="524"/>
      <c r="L14" s="499"/>
      <c r="M14" s="90">
        <f t="shared" si="0"/>
        <v>109300</v>
      </c>
      <c r="N14" s="72">
        <f t="shared" si="1"/>
        <v>4631</v>
      </c>
      <c r="O14" s="72">
        <f t="shared" si="2"/>
        <v>931</v>
      </c>
      <c r="P14" s="32"/>
      <c r="Q14" s="32"/>
      <c r="R14" s="32"/>
      <c r="S14" s="32"/>
      <c r="T14" s="32"/>
      <c r="U14" s="32"/>
      <c r="V14" s="32"/>
    </row>
    <row r="15" spans="1:22" s="213" customFormat="1" ht="20.100000000000001" customHeight="1" x14ac:dyDescent="0.25">
      <c r="A15" s="209"/>
      <c r="B15" s="210"/>
      <c r="C15" s="323" t="s">
        <v>22</v>
      </c>
      <c r="D15" s="333">
        <v>15000</v>
      </c>
      <c r="E15" s="525">
        <v>3715</v>
      </c>
      <c r="F15" s="525">
        <v>15</v>
      </c>
      <c r="G15" s="211"/>
      <c r="H15" s="525"/>
      <c r="I15" s="490"/>
      <c r="J15" s="211"/>
      <c r="K15" s="525"/>
      <c r="L15" s="500"/>
      <c r="M15" s="212">
        <f t="shared" si="0"/>
        <v>15000</v>
      </c>
      <c r="N15" s="72">
        <f t="shared" si="1"/>
        <v>3715</v>
      </c>
      <c r="O15" s="72">
        <f t="shared" si="2"/>
        <v>15</v>
      </c>
      <c r="P15" s="210"/>
      <c r="Q15" s="210"/>
      <c r="R15" s="210"/>
      <c r="S15" s="210"/>
      <c r="T15" s="210"/>
      <c r="U15" s="210"/>
      <c r="V15" s="210"/>
    </row>
    <row r="16" spans="1:22" s="213" customFormat="1" ht="18" customHeight="1" x14ac:dyDescent="0.25">
      <c r="A16" s="209"/>
      <c r="B16" s="210"/>
      <c r="C16" s="323" t="s">
        <v>175</v>
      </c>
      <c r="D16" s="333">
        <v>80000</v>
      </c>
      <c r="E16" s="525">
        <v>916</v>
      </c>
      <c r="F16" s="525">
        <v>916</v>
      </c>
      <c r="G16" s="211"/>
      <c r="H16" s="525"/>
      <c r="I16" s="490"/>
      <c r="J16" s="211"/>
      <c r="K16" s="525"/>
      <c r="L16" s="500"/>
      <c r="M16" s="212">
        <f t="shared" si="0"/>
        <v>80000</v>
      </c>
      <c r="N16" s="72">
        <f t="shared" si="1"/>
        <v>916</v>
      </c>
      <c r="O16" s="72">
        <f t="shared" si="2"/>
        <v>916</v>
      </c>
      <c r="P16" s="210"/>
      <c r="Q16" s="210"/>
      <c r="R16" s="210"/>
      <c r="S16" s="210"/>
      <c r="T16" s="210"/>
      <c r="U16" s="210"/>
      <c r="V16" s="210"/>
    </row>
    <row r="17" spans="1:22" s="213" customFormat="1" ht="20.100000000000001" customHeight="1" x14ac:dyDescent="0.25">
      <c r="A17" s="209"/>
      <c r="B17" s="210"/>
      <c r="C17" s="323" t="s">
        <v>25</v>
      </c>
      <c r="D17" s="333">
        <v>14300</v>
      </c>
      <c r="E17" s="525">
        <v>0</v>
      </c>
      <c r="F17" s="525">
        <v>0</v>
      </c>
      <c r="G17" s="211"/>
      <c r="H17" s="525"/>
      <c r="I17" s="490"/>
      <c r="J17" s="211"/>
      <c r="K17" s="525"/>
      <c r="L17" s="500"/>
      <c r="M17" s="212">
        <f t="shared" si="0"/>
        <v>14300</v>
      </c>
      <c r="N17" s="72">
        <f t="shared" si="1"/>
        <v>0</v>
      </c>
      <c r="O17" s="72">
        <f t="shared" si="2"/>
        <v>0</v>
      </c>
      <c r="P17" s="210"/>
      <c r="Q17" s="210"/>
      <c r="R17" s="210"/>
      <c r="S17" s="210"/>
      <c r="T17" s="210"/>
      <c r="U17" s="210"/>
      <c r="V17" s="210"/>
    </row>
    <row r="18" spans="1:22" s="33" customFormat="1" ht="20.100000000000001" customHeight="1" x14ac:dyDescent="0.25">
      <c r="A18" s="32"/>
      <c r="B18" s="32"/>
      <c r="C18" s="321" t="s">
        <v>91</v>
      </c>
      <c r="D18" s="329">
        <v>259597</v>
      </c>
      <c r="E18" s="521">
        <v>1432365</v>
      </c>
      <c r="F18" s="521">
        <v>1607162</v>
      </c>
      <c r="G18" s="123">
        <v>9577</v>
      </c>
      <c r="H18" s="521">
        <v>10077</v>
      </c>
      <c r="I18" s="487">
        <v>10017</v>
      </c>
      <c r="J18" s="123">
        <v>22295</v>
      </c>
      <c r="K18" s="521">
        <v>25125</v>
      </c>
      <c r="L18" s="497">
        <v>28911</v>
      </c>
      <c r="M18" s="90">
        <f t="shared" si="0"/>
        <v>291469</v>
      </c>
      <c r="N18" s="72">
        <f t="shared" si="1"/>
        <v>1467567</v>
      </c>
      <c r="O18" s="72">
        <f t="shared" si="2"/>
        <v>1646090</v>
      </c>
      <c r="P18" s="32"/>
      <c r="Q18" s="32"/>
      <c r="R18" s="32"/>
      <c r="S18" s="32"/>
      <c r="T18" s="32"/>
      <c r="U18" s="32"/>
      <c r="V18" s="32"/>
    </row>
    <row r="19" spans="1:22" s="33" customFormat="1" ht="20.100000000000001" customHeight="1" x14ac:dyDescent="0.25">
      <c r="A19" s="32"/>
      <c r="B19" s="32"/>
      <c r="C19" s="466" t="s">
        <v>92</v>
      </c>
      <c r="D19" s="465">
        <f>'[10]8. sz. melléklet'!E6</f>
        <v>245122</v>
      </c>
      <c r="E19" s="521">
        <v>315594</v>
      </c>
      <c r="F19" s="521">
        <v>307574</v>
      </c>
      <c r="G19" s="123"/>
      <c r="H19" s="521"/>
      <c r="I19" s="487"/>
      <c r="J19" s="123">
        <v>11677</v>
      </c>
      <c r="K19" s="521">
        <v>12047</v>
      </c>
      <c r="L19" s="497">
        <v>12048</v>
      </c>
      <c r="M19" s="90">
        <f t="shared" si="0"/>
        <v>256799</v>
      </c>
      <c r="N19" s="72">
        <f t="shared" si="1"/>
        <v>327641</v>
      </c>
      <c r="O19" s="72">
        <f t="shared" si="2"/>
        <v>319622</v>
      </c>
      <c r="P19" s="32"/>
      <c r="Q19" s="32"/>
      <c r="R19" s="32"/>
      <c r="S19" s="32"/>
      <c r="T19" s="32"/>
      <c r="U19" s="32"/>
      <c r="V19" s="32"/>
    </row>
    <row r="20" spans="1:22" s="33" customFormat="1" ht="20.100000000000001" customHeight="1" x14ac:dyDescent="0.25">
      <c r="A20" s="32"/>
      <c r="B20" s="32"/>
      <c r="C20" s="321" t="s">
        <v>33</v>
      </c>
      <c r="D20" s="329">
        <f t="shared" ref="D20:K20" si="5">SUM(D21:D23)</f>
        <v>70614</v>
      </c>
      <c r="E20" s="329">
        <f t="shared" si="5"/>
        <v>48699</v>
      </c>
      <c r="F20" s="521">
        <f t="shared" si="5"/>
        <v>40384</v>
      </c>
      <c r="G20" s="123">
        <f t="shared" si="5"/>
        <v>1200</v>
      </c>
      <c r="H20" s="521">
        <f t="shared" si="5"/>
        <v>1200</v>
      </c>
      <c r="I20" s="521">
        <f t="shared" si="5"/>
        <v>1200</v>
      </c>
      <c r="J20" s="123">
        <f t="shared" si="5"/>
        <v>0</v>
      </c>
      <c r="K20" s="521">
        <f t="shared" si="5"/>
        <v>0</v>
      </c>
      <c r="L20" s="497"/>
      <c r="M20" s="90">
        <f t="shared" si="0"/>
        <v>71814</v>
      </c>
      <c r="N20" s="72">
        <f t="shared" si="1"/>
        <v>49899</v>
      </c>
      <c r="O20" s="72">
        <f t="shared" si="2"/>
        <v>41584</v>
      </c>
      <c r="P20" s="32"/>
      <c r="Q20" s="32"/>
      <c r="R20" s="32"/>
      <c r="S20" s="32"/>
      <c r="T20" s="32"/>
      <c r="U20" s="32"/>
      <c r="V20" s="32"/>
    </row>
    <row r="21" spans="1:22" s="33" customFormat="1" ht="20.100000000000001" customHeight="1" x14ac:dyDescent="0.25">
      <c r="A21" s="32"/>
      <c r="B21" s="32"/>
      <c r="C21" s="325" t="s">
        <v>17</v>
      </c>
      <c r="D21" s="329"/>
      <c r="E21" s="525">
        <v>1500</v>
      </c>
      <c r="F21" s="525">
        <v>1500</v>
      </c>
      <c r="G21" s="125">
        <v>1200</v>
      </c>
      <c r="H21" s="524">
        <v>1200</v>
      </c>
      <c r="I21" s="489">
        <v>1200</v>
      </c>
      <c r="J21" s="123"/>
      <c r="K21" s="521"/>
      <c r="L21" s="497"/>
      <c r="M21" s="90">
        <f t="shared" si="0"/>
        <v>1200</v>
      </c>
      <c r="N21" s="72">
        <f t="shared" si="1"/>
        <v>2700</v>
      </c>
      <c r="O21" s="72">
        <f t="shared" si="2"/>
        <v>2700</v>
      </c>
      <c r="P21" s="32"/>
      <c r="Q21" s="32"/>
      <c r="R21" s="32"/>
      <c r="S21" s="32"/>
      <c r="T21" s="32"/>
      <c r="U21" s="32"/>
      <c r="V21" s="32"/>
    </row>
    <row r="22" spans="1:22" s="213" customFormat="1" ht="20.100000000000001" customHeight="1" x14ac:dyDescent="0.25">
      <c r="A22" s="210"/>
      <c r="B22" s="210"/>
      <c r="C22" s="326" t="s">
        <v>35</v>
      </c>
      <c r="D22" s="333">
        <v>15614</v>
      </c>
      <c r="E22" s="525">
        <v>12199</v>
      </c>
      <c r="F22" s="525">
        <v>13884</v>
      </c>
      <c r="G22" s="211"/>
      <c r="H22" s="525"/>
      <c r="I22" s="490"/>
      <c r="J22" s="216"/>
      <c r="K22" s="532"/>
      <c r="L22" s="501"/>
      <c r="M22" s="212">
        <f t="shared" si="0"/>
        <v>15614</v>
      </c>
      <c r="N22" s="72">
        <f t="shared" si="1"/>
        <v>12199</v>
      </c>
      <c r="O22" s="72">
        <f t="shared" si="2"/>
        <v>13884</v>
      </c>
      <c r="P22" s="210"/>
      <c r="Q22" s="210"/>
      <c r="R22" s="210"/>
      <c r="S22" s="210"/>
      <c r="T22" s="210"/>
      <c r="U22" s="210"/>
      <c r="V22" s="210"/>
    </row>
    <row r="23" spans="1:22" s="215" customFormat="1" ht="20.100000000000001" customHeight="1" x14ac:dyDescent="0.25">
      <c r="A23" s="214"/>
      <c r="B23" s="214"/>
      <c r="C23" s="326" t="s">
        <v>93</v>
      </c>
      <c r="D23" s="333">
        <f>SUM(D24:D25)</f>
        <v>55000</v>
      </c>
      <c r="E23" s="333">
        <f t="shared" ref="E23:F23" si="6">SUM(E24:E25)</f>
        <v>35000</v>
      </c>
      <c r="F23" s="525">
        <f t="shared" si="6"/>
        <v>25000</v>
      </c>
      <c r="G23" s="211">
        <f t="shared" ref="G23:K23" si="7">SUM(G24:G24)</f>
        <v>0</v>
      </c>
      <c r="H23" s="525">
        <f t="shared" si="7"/>
        <v>0</v>
      </c>
      <c r="I23" s="490">
        <v>0</v>
      </c>
      <c r="J23" s="211">
        <f t="shared" si="7"/>
        <v>0</v>
      </c>
      <c r="K23" s="525">
        <f t="shared" si="7"/>
        <v>0</v>
      </c>
      <c r="L23" s="500"/>
      <c r="M23" s="212">
        <f t="shared" si="0"/>
        <v>55000</v>
      </c>
      <c r="N23" s="72">
        <f t="shared" si="1"/>
        <v>35000</v>
      </c>
      <c r="O23" s="72">
        <f t="shared" si="2"/>
        <v>25000</v>
      </c>
      <c r="P23" s="214"/>
      <c r="Q23" s="214"/>
      <c r="R23" s="214"/>
      <c r="S23" s="214"/>
      <c r="T23" s="214"/>
      <c r="U23" s="214"/>
      <c r="V23" s="214"/>
    </row>
    <row r="24" spans="1:22" s="215" customFormat="1" ht="33.75" customHeight="1" x14ac:dyDescent="0.25">
      <c r="A24" s="214"/>
      <c r="B24" s="214"/>
      <c r="C24" s="327" t="s">
        <v>239</v>
      </c>
      <c r="D24" s="333">
        <v>50000</v>
      </c>
      <c r="E24" s="525">
        <v>30000</v>
      </c>
      <c r="F24" s="525">
        <v>25000</v>
      </c>
      <c r="G24" s="211"/>
      <c r="H24" s="525"/>
      <c r="I24" s="490"/>
      <c r="J24" s="211"/>
      <c r="K24" s="525"/>
      <c r="L24" s="500"/>
      <c r="M24" s="212">
        <f t="shared" si="0"/>
        <v>50000</v>
      </c>
      <c r="N24" s="72">
        <f t="shared" si="1"/>
        <v>30000</v>
      </c>
      <c r="O24" s="72">
        <f t="shared" si="2"/>
        <v>25000</v>
      </c>
      <c r="P24" s="214"/>
      <c r="Q24" s="214"/>
      <c r="R24" s="214"/>
      <c r="S24" s="214"/>
      <c r="T24" s="214"/>
      <c r="U24" s="214"/>
      <c r="V24" s="214"/>
    </row>
    <row r="25" spans="1:22" s="215" customFormat="1" ht="21.75" customHeight="1" thickBot="1" x14ac:dyDescent="0.3">
      <c r="A25" s="214"/>
      <c r="B25" s="214"/>
      <c r="C25" s="335" t="s">
        <v>172</v>
      </c>
      <c r="D25" s="336">
        <v>5000</v>
      </c>
      <c r="E25" s="526">
        <v>5000</v>
      </c>
      <c r="F25" s="526">
        <v>0</v>
      </c>
      <c r="G25" s="337"/>
      <c r="H25" s="526"/>
      <c r="I25" s="491"/>
      <c r="J25" s="337"/>
      <c r="K25" s="526"/>
      <c r="L25" s="502"/>
      <c r="M25" s="338">
        <f t="shared" si="0"/>
        <v>5000</v>
      </c>
      <c r="N25" s="339">
        <f t="shared" si="1"/>
        <v>5000</v>
      </c>
      <c r="O25" s="339">
        <f t="shared" si="2"/>
        <v>0</v>
      </c>
      <c r="P25" s="214"/>
      <c r="Q25" s="214"/>
      <c r="R25" s="214"/>
      <c r="S25" s="214"/>
      <c r="T25" s="214"/>
      <c r="U25" s="214"/>
      <c r="V25" s="214"/>
    </row>
    <row r="26" spans="1:22" s="33" customFormat="1" ht="20.100000000000001" customHeight="1" thickBot="1" x14ac:dyDescent="0.3">
      <c r="C26" s="340" t="s">
        <v>94</v>
      </c>
      <c r="D26" s="341">
        <f t="shared" ref="D26:L26" si="8">SUM(D6+D7+D8+D9+D10+D18+D19+D20)</f>
        <v>2655975</v>
      </c>
      <c r="E26" s="342">
        <f t="shared" si="8"/>
        <v>4004881</v>
      </c>
      <c r="F26" s="342">
        <f t="shared" ref="F26" si="9">SUM(F6+F7+F8+F9+F10+F18+F19+F20)</f>
        <v>4265940</v>
      </c>
      <c r="G26" s="343">
        <f t="shared" si="8"/>
        <v>564837</v>
      </c>
      <c r="H26" s="359">
        <f t="shared" si="8"/>
        <v>596766</v>
      </c>
      <c r="I26" s="359">
        <f t="shared" si="8"/>
        <v>601078</v>
      </c>
      <c r="J26" s="343">
        <f t="shared" si="8"/>
        <v>1249299</v>
      </c>
      <c r="K26" s="359">
        <f t="shared" si="8"/>
        <v>1340137</v>
      </c>
      <c r="L26" s="344">
        <f t="shared" si="8"/>
        <v>1348176</v>
      </c>
      <c r="M26" s="345">
        <f t="shared" si="0"/>
        <v>4470111</v>
      </c>
      <c r="N26" s="345">
        <f t="shared" si="1"/>
        <v>5941784</v>
      </c>
      <c r="O26" s="345">
        <f t="shared" si="2"/>
        <v>6215194</v>
      </c>
      <c r="P26" s="32"/>
      <c r="Q26" s="32"/>
      <c r="R26" s="32"/>
      <c r="S26" s="32"/>
      <c r="T26" s="32"/>
      <c r="U26" s="32"/>
      <c r="V26" s="32"/>
    </row>
    <row r="27" spans="1:22" s="33" customFormat="1" ht="20.100000000000001" customHeight="1" x14ac:dyDescent="0.25">
      <c r="C27" s="320" t="s">
        <v>40</v>
      </c>
      <c r="D27" s="328">
        <v>106549</v>
      </c>
      <c r="E27" s="527">
        <v>687942</v>
      </c>
      <c r="F27" s="527">
        <v>687942</v>
      </c>
      <c r="G27" s="122"/>
      <c r="H27" s="527"/>
      <c r="I27" s="486"/>
      <c r="J27" s="122"/>
      <c r="K27" s="527"/>
      <c r="L27" s="496"/>
      <c r="M27" s="72">
        <f t="shared" si="0"/>
        <v>106549</v>
      </c>
      <c r="N27" s="72">
        <f t="shared" si="1"/>
        <v>687942</v>
      </c>
      <c r="O27" s="72">
        <f t="shared" si="2"/>
        <v>687942</v>
      </c>
      <c r="P27" s="32"/>
      <c r="Q27" s="32"/>
      <c r="R27" s="32"/>
      <c r="S27" s="32"/>
      <c r="T27" s="32"/>
      <c r="U27" s="32"/>
      <c r="V27" s="32"/>
    </row>
    <row r="28" spans="1:22" s="33" customFormat="1" ht="20.100000000000001" customHeight="1" x14ac:dyDescent="0.25">
      <c r="C28" s="321" t="s">
        <v>142</v>
      </c>
      <c r="D28" s="329">
        <v>25000</v>
      </c>
      <c r="E28" s="521">
        <v>40010</v>
      </c>
      <c r="F28" s="521">
        <v>40010</v>
      </c>
      <c r="G28" s="123"/>
      <c r="H28" s="521"/>
      <c r="I28" s="487"/>
      <c r="J28" s="123"/>
      <c r="K28" s="521"/>
      <c r="L28" s="497"/>
      <c r="M28" s="90">
        <f t="shared" si="0"/>
        <v>25000</v>
      </c>
      <c r="N28" s="72">
        <f t="shared" si="1"/>
        <v>40010</v>
      </c>
      <c r="O28" s="72">
        <f t="shared" si="2"/>
        <v>40010</v>
      </c>
      <c r="P28" s="32"/>
      <c r="Q28" s="32"/>
      <c r="R28" s="32"/>
      <c r="S28" s="32"/>
      <c r="T28" s="32"/>
      <c r="U28" s="32"/>
      <c r="V28" s="32"/>
    </row>
    <row r="29" spans="1:22" s="26" customFormat="1" ht="25.5" customHeight="1" x14ac:dyDescent="0.25">
      <c r="C29" s="321" t="s">
        <v>44</v>
      </c>
      <c r="D29" s="334">
        <v>1525601</v>
      </c>
      <c r="E29" s="528">
        <v>1591204</v>
      </c>
      <c r="F29" s="528">
        <v>1608165</v>
      </c>
      <c r="G29" s="126"/>
      <c r="H29" s="530"/>
      <c r="I29" s="493"/>
      <c r="J29" s="126"/>
      <c r="K29" s="530"/>
      <c r="L29" s="503"/>
      <c r="M29" s="90">
        <f t="shared" si="0"/>
        <v>1525601</v>
      </c>
      <c r="N29" s="72">
        <f t="shared" si="1"/>
        <v>1591204</v>
      </c>
      <c r="O29" s="72">
        <f t="shared" si="2"/>
        <v>1608165</v>
      </c>
    </row>
    <row r="30" spans="1:22" s="26" customFormat="1" ht="25.5" customHeight="1" x14ac:dyDescent="0.25">
      <c r="C30" s="321" t="s">
        <v>222</v>
      </c>
      <c r="D30" s="334"/>
      <c r="E30" s="528">
        <v>2388559</v>
      </c>
      <c r="F30" s="528">
        <v>2388559</v>
      </c>
      <c r="G30" s="149"/>
      <c r="H30" s="530"/>
      <c r="I30" s="493"/>
      <c r="J30" s="149"/>
      <c r="K30" s="530"/>
      <c r="L30" s="503"/>
      <c r="M30" s="90">
        <f t="shared" si="0"/>
        <v>0</v>
      </c>
      <c r="N30" s="72">
        <f t="shared" si="1"/>
        <v>2388559</v>
      </c>
      <c r="O30" s="72">
        <f t="shared" si="2"/>
        <v>2388559</v>
      </c>
    </row>
    <row r="31" spans="1:22" s="26" customFormat="1" ht="25.5" customHeight="1" thickBot="1" x14ac:dyDescent="0.3">
      <c r="C31" s="346" t="s">
        <v>219</v>
      </c>
      <c r="D31" s="347"/>
      <c r="E31" s="529">
        <v>80000</v>
      </c>
      <c r="F31" s="529">
        <v>80000</v>
      </c>
      <c r="G31" s="348"/>
      <c r="H31" s="531"/>
      <c r="I31" s="494"/>
      <c r="J31" s="348"/>
      <c r="K31" s="531"/>
      <c r="L31" s="504"/>
      <c r="M31" s="349">
        <f t="shared" si="0"/>
        <v>0</v>
      </c>
      <c r="N31" s="349">
        <f t="shared" si="1"/>
        <v>80000</v>
      </c>
      <c r="O31" s="349">
        <f t="shared" si="2"/>
        <v>80000</v>
      </c>
    </row>
    <row r="32" spans="1:22" s="26" customFormat="1" ht="25.5" customHeight="1" thickBot="1" x14ac:dyDescent="0.3">
      <c r="C32" s="340" t="s">
        <v>95</v>
      </c>
      <c r="D32" s="355">
        <f>(D29+D27+D28)</f>
        <v>1657150</v>
      </c>
      <c r="E32" s="356">
        <f>SUM(E27:E31)</f>
        <v>4787715</v>
      </c>
      <c r="F32" s="356">
        <f>SUM(F27:F31)</f>
        <v>4804676</v>
      </c>
      <c r="G32" s="357">
        <f t="shared" ref="G32:L32" si="10">(G29+G27)</f>
        <v>0</v>
      </c>
      <c r="H32" s="345">
        <f t="shared" si="10"/>
        <v>0</v>
      </c>
      <c r="I32" s="345">
        <f t="shared" si="10"/>
        <v>0</v>
      </c>
      <c r="J32" s="357">
        <f t="shared" si="10"/>
        <v>0</v>
      </c>
      <c r="K32" s="345">
        <f t="shared" si="10"/>
        <v>0</v>
      </c>
      <c r="L32" s="358">
        <f t="shared" si="10"/>
        <v>0</v>
      </c>
      <c r="M32" s="345">
        <f>(M29+M27+M28)</f>
        <v>1657150</v>
      </c>
      <c r="N32" s="345">
        <f>SUM(E32+H32+K32)</f>
        <v>4787715</v>
      </c>
      <c r="O32" s="345">
        <f>SUM(F32+I32+L32)</f>
        <v>4804676</v>
      </c>
    </row>
    <row r="33" spans="3:22" ht="25.5" customHeight="1" thickBot="1" x14ac:dyDescent="0.3">
      <c r="C33" s="350" t="s">
        <v>48</v>
      </c>
      <c r="D33" s="351">
        <f t="shared" ref="D33:M33" si="11">SUM(D26+D32)</f>
        <v>4313125</v>
      </c>
      <c r="E33" s="352">
        <f t="shared" si="11"/>
        <v>8792596</v>
      </c>
      <c r="F33" s="352">
        <f t="shared" ref="F33" si="12">SUM(F26+F32)</f>
        <v>9070616</v>
      </c>
      <c r="G33" s="354">
        <f t="shared" si="11"/>
        <v>564837</v>
      </c>
      <c r="H33" s="352">
        <f t="shared" si="11"/>
        <v>596766</v>
      </c>
      <c r="I33" s="352">
        <f t="shared" si="11"/>
        <v>601078</v>
      </c>
      <c r="J33" s="354">
        <f t="shared" si="11"/>
        <v>1249299</v>
      </c>
      <c r="K33" s="352">
        <f>SUM(K26+K32)</f>
        <v>1340137</v>
      </c>
      <c r="L33" s="353">
        <f>SUM(L26+L32)</f>
        <v>1348176</v>
      </c>
      <c r="M33" s="352">
        <f t="shared" si="11"/>
        <v>6127261</v>
      </c>
      <c r="N33" s="72">
        <f>SUM(E33+H33+K33)</f>
        <v>10729499</v>
      </c>
      <c r="O33" s="72">
        <f>SUM(F33+I33+L33)</f>
        <v>11019870</v>
      </c>
      <c r="P33" s="26"/>
      <c r="Q33" s="26"/>
      <c r="R33" s="26"/>
      <c r="S33" s="26"/>
      <c r="T33" s="26"/>
      <c r="U33" s="26"/>
      <c r="V33" s="26"/>
    </row>
  </sheetData>
  <sheetProtection selectLockedCells="1" selectUnlockedCells="1"/>
  <mergeCells count="7">
    <mergeCell ref="C1:N1"/>
    <mergeCell ref="C2:N2"/>
    <mergeCell ref="C4:C5"/>
    <mergeCell ref="D4:F4"/>
    <mergeCell ref="G4:I4"/>
    <mergeCell ref="J4:L4"/>
    <mergeCell ref="M4:O4"/>
  </mergeCells>
  <printOptions horizontalCentered="1"/>
  <pageMargins left="0.39370078740157483" right="0" top="0.62992125984251968" bottom="0.31496062992125984" header="0.27559055118110237" footer="0.51181102362204722"/>
  <pageSetup paperSize="9" scale="59" firstPageNumber="0" orientation="landscape" horizontalDpi="300" verticalDpi="300" r:id="rId1"/>
  <headerFooter alignWithMargins="0">
    <oddHeader xml:space="preserve">&amp;L&amp;11 4. melléklet a 28/2017.(XII.21.)önkormányzati rendelethez
4. melléklet a 24/2016.(XII.16.)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2"/>
  <sheetViews>
    <sheetView topLeftCell="E1" zoomScale="60" zoomScaleNormal="60" workbookViewId="0">
      <pane ySplit="6" topLeftCell="A155" activePane="bottomLeft" state="frozen"/>
      <selection pane="bottomLeft" activeCell="A4" sqref="A4:S166"/>
    </sheetView>
  </sheetViews>
  <sheetFormatPr defaultRowHeight="12.75" x14ac:dyDescent="0.2"/>
  <cols>
    <col min="1" max="1" width="23.7109375" bestFit="1" customWidth="1"/>
    <col min="2" max="2" width="13.7109375" bestFit="1" customWidth="1"/>
    <col min="3" max="3" width="160.5703125" bestFit="1" customWidth="1"/>
    <col min="4" max="4" width="20.5703125" bestFit="1" customWidth="1"/>
    <col min="5" max="6" width="16.5703125" bestFit="1" customWidth="1"/>
    <col min="7" max="8" width="20.5703125" customWidth="1"/>
    <col min="9" max="9" width="13.7109375" bestFit="1" customWidth="1"/>
    <col min="10" max="10" width="17.5703125" customWidth="1"/>
    <col min="11" max="11" width="15.5703125" customWidth="1"/>
    <col min="12" max="12" width="17" customWidth="1"/>
    <col min="13" max="13" width="14.85546875" bestFit="1" customWidth="1"/>
    <col min="14" max="14" width="17.7109375" bestFit="1" customWidth="1"/>
    <col min="15" max="15" width="20.5703125" customWidth="1"/>
    <col min="16" max="16" width="20.85546875" customWidth="1"/>
    <col min="17" max="17" width="31.42578125" bestFit="1" customWidth="1"/>
    <col min="18" max="18" width="16.42578125" bestFit="1" customWidth="1"/>
    <col min="19" max="19" width="20.140625" bestFit="1" customWidth="1"/>
  </cols>
  <sheetData>
    <row r="1" spans="1:19" ht="20.25" x14ac:dyDescent="0.3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50"/>
    </row>
    <row r="2" spans="1:19" ht="99" customHeight="1" x14ac:dyDescent="0.35">
      <c r="A2" s="640"/>
      <c r="B2" s="1441" t="s">
        <v>345</v>
      </c>
      <c r="C2" s="1441"/>
      <c r="D2" s="1441"/>
      <c r="E2" s="1441"/>
      <c r="F2" s="1441"/>
      <c r="G2" s="1441"/>
      <c r="H2" s="1441"/>
      <c r="I2" s="1441"/>
      <c r="J2" s="1441"/>
      <c r="K2" s="1441"/>
      <c r="L2" s="1441"/>
      <c r="M2" s="1441"/>
      <c r="N2" s="1441"/>
      <c r="O2" s="1441"/>
      <c r="P2" s="1441"/>
      <c r="Q2" s="1441"/>
      <c r="R2" s="1441"/>
      <c r="S2" s="1441"/>
    </row>
    <row r="3" spans="1:19" ht="27.75" thickBot="1" x14ac:dyDescent="0.4">
      <c r="A3" s="1442"/>
      <c r="B3" s="1442"/>
      <c r="C3" s="1442"/>
      <c r="D3" s="1442"/>
      <c r="E3" s="1442"/>
      <c r="F3" s="1442"/>
      <c r="G3" s="1442"/>
      <c r="H3" s="1442"/>
      <c r="I3" s="1442"/>
      <c r="J3" s="1442"/>
      <c r="K3" s="1442"/>
      <c r="L3" s="1442"/>
      <c r="M3" s="1442"/>
      <c r="N3" s="1442"/>
      <c r="O3" s="1442"/>
      <c r="P3" s="1442"/>
      <c r="Q3" s="1442"/>
      <c r="R3" s="1442"/>
      <c r="S3" s="1442"/>
    </row>
    <row r="4" spans="1:19" ht="20.25" x14ac:dyDescent="0.3">
      <c r="A4" s="1443" t="s">
        <v>2</v>
      </c>
      <c r="B4" s="1444"/>
      <c r="C4" s="1444"/>
      <c r="D4" s="1444"/>
      <c r="E4" s="1444" t="s">
        <v>96</v>
      </c>
      <c r="F4" s="1444" t="s">
        <v>344</v>
      </c>
      <c r="G4" s="1447" t="s">
        <v>343</v>
      </c>
      <c r="H4" s="1447"/>
      <c r="I4" s="1447"/>
      <c r="J4" s="1447"/>
      <c r="K4" s="1447"/>
      <c r="L4" s="1447"/>
      <c r="M4" s="1447" t="s">
        <v>342</v>
      </c>
      <c r="N4" s="1447"/>
      <c r="O4" s="1447"/>
      <c r="P4" s="1447"/>
      <c r="Q4" s="1447" t="s">
        <v>60</v>
      </c>
      <c r="R4" s="1447"/>
      <c r="S4" s="1448" t="s">
        <v>341</v>
      </c>
    </row>
    <row r="5" spans="1:19" ht="12.75" customHeight="1" x14ac:dyDescent="0.2">
      <c r="A5" s="1445"/>
      <c r="B5" s="1446"/>
      <c r="C5" s="1446"/>
      <c r="D5" s="1446"/>
      <c r="E5" s="1446"/>
      <c r="F5" s="1446"/>
      <c r="G5" s="1450" t="s">
        <v>6</v>
      </c>
      <c r="H5" s="1450" t="s">
        <v>340</v>
      </c>
      <c r="I5" s="1450" t="s">
        <v>339</v>
      </c>
      <c r="J5" s="1450" t="s">
        <v>50</v>
      </c>
      <c r="K5" s="1450" t="s">
        <v>338</v>
      </c>
      <c r="L5" s="1450" t="s">
        <v>20</v>
      </c>
      <c r="M5" s="1446" t="s">
        <v>63</v>
      </c>
      <c r="N5" s="1446" t="s">
        <v>62</v>
      </c>
      <c r="O5" s="1450" t="s">
        <v>33</v>
      </c>
      <c r="P5" s="1451" t="s">
        <v>36</v>
      </c>
      <c r="Q5" s="1451" t="s">
        <v>337</v>
      </c>
      <c r="R5" s="1450" t="s">
        <v>336</v>
      </c>
      <c r="S5" s="1449"/>
    </row>
    <row r="6" spans="1:19" ht="66" customHeight="1" x14ac:dyDescent="0.2">
      <c r="A6" s="1445"/>
      <c r="B6" s="1446"/>
      <c r="C6" s="1446"/>
      <c r="D6" s="1446"/>
      <c r="E6" s="1446"/>
      <c r="F6" s="1446"/>
      <c r="G6" s="1450"/>
      <c r="H6" s="1450"/>
      <c r="I6" s="1450"/>
      <c r="J6" s="1450"/>
      <c r="K6" s="1450"/>
      <c r="L6" s="1450"/>
      <c r="M6" s="1446"/>
      <c r="N6" s="1446"/>
      <c r="O6" s="1450"/>
      <c r="P6" s="1451"/>
      <c r="Q6" s="1451"/>
      <c r="R6" s="1450"/>
      <c r="S6" s="1449"/>
    </row>
    <row r="7" spans="1:19" ht="20.25" x14ac:dyDescent="0.3">
      <c r="A7" s="1378" t="s">
        <v>249</v>
      </c>
      <c r="B7" s="635" t="s">
        <v>334</v>
      </c>
      <c r="C7" s="634" t="s">
        <v>335</v>
      </c>
      <c r="D7" s="629" t="s">
        <v>3</v>
      </c>
      <c r="E7" s="628">
        <v>200000</v>
      </c>
      <c r="F7" s="628">
        <f t="shared" ref="F7:F38" si="0">SUM(G7:S7)</f>
        <v>0</v>
      </c>
      <c r="G7" s="638"/>
      <c r="H7" s="638"/>
      <c r="I7" s="638"/>
      <c r="J7" s="638"/>
      <c r="K7" s="628"/>
      <c r="L7" s="638"/>
      <c r="M7" s="638"/>
      <c r="N7" s="638"/>
      <c r="O7" s="638"/>
      <c r="P7" s="638"/>
      <c r="Q7" s="638"/>
      <c r="R7" s="636"/>
      <c r="S7" s="627"/>
    </row>
    <row r="8" spans="1:19" ht="20.25" x14ac:dyDescent="0.3">
      <c r="A8" s="1378"/>
      <c r="B8" s="635"/>
      <c r="C8" s="634"/>
      <c r="D8" s="629" t="s">
        <v>225</v>
      </c>
      <c r="E8" s="628"/>
      <c r="F8" s="628">
        <f t="shared" si="0"/>
        <v>0</v>
      </c>
      <c r="G8" s="638"/>
      <c r="H8" s="638"/>
      <c r="I8" s="638"/>
      <c r="J8" s="638"/>
      <c r="K8" s="628"/>
      <c r="L8" s="638"/>
      <c r="M8" s="638"/>
      <c r="N8" s="638"/>
      <c r="O8" s="638"/>
      <c r="P8" s="638"/>
      <c r="Q8" s="638"/>
      <c r="R8" s="636"/>
      <c r="S8" s="627"/>
    </row>
    <row r="9" spans="1:19" ht="20.25" x14ac:dyDescent="0.3">
      <c r="A9" s="1378"/>
      <c r="B9" s="635"/>
      <c r="C9" s="634"/>
      <c r="D9" s="629" t="s">
        <v>235</v>
      </c>
      <c r="E9" s="628"/>
      <c r="F9" s="628">
        <f t="shared" si="0"/>
        <v>0</v>
      </c>
      <c r="G9" s="638"/>
      <c r="H9" s="638"/>
      <c r="I9" s="638"/>
      <c r="J9" s="638"/>
      <c r="K9" s="628"/>
      <c r="L9" s="638"/>
      <c r="M9" s="638"/>
      <c r="N9" s="638"/>
      <c r="O9" s="638"/>
      <c r="P9" s="638"/>
      <c r="Q9" s="638"/>
      <c r="R9" s="636"/>
      <c r="S9" s="627"/>
    </row>
    <row r="10" spans="1:19" ht="20.25" x14ac:dyDescent="0.3">
      <c r="A10" s="1378" t="s">
        <v>249</v>
      </c>
      <c r="B10" s="635" t="s">
        <v>334</v>
      </c>
      <c r="C10" s="634" t="s">
        <v>333</v>
      </c>
      <c r="D10" s="629" t="s">
        <v>3</v>
      </c>
      <c r="E10" s="628">
        <v>20661</v>
      </c>
      <c r="F10" s="628">
        <f t="shared" si="0"/>
        <v>249366</v>
      </c>
      <c r="G10" s="638">
        <v>58366</v>
      </c>
      <c r="H10" s="638">
        <v>15045</v>
      </c>
      <c r="I10" s="638">
        <v>150370</v>
      </c>
      <c r="J10" s="638">
        <v>18000</v>
      </c>
      <c r="K10" s="628"/>
      <c r="L10" s="638"/>
      <c r="M10" s="638">
        <v>3775</v>
      </c>
      <c r="N10" s="638">
        <v>3810</v>
      </c>
      <c r="O10" s="638"/>
      <c r="P10" s="638"/>
      <c r="Q10" s="638"/>
      <c r="R10" s="636"/>
      <c r="S10" s="627"/>
    </row>
    <row r="11" spans="1:19" ht="20.25" x14ac:dyDescent="0.3">
      <c r="A11" s="1378"/>
      <c r="B11" s="635"/>
      <c r="C11" s="634"/>
      <c r="D11" s="629" t="s">
        <v>225</v>
      </c>
      <c r="E11" s="628">
        <v>42924</v>
      </c>
      <c r="F11" s="628">
        <f t="shared" si="0"/>
        <v>266546</v>
      </c>
      <c r="G11" s="638">
        <v>57698</v>
      </c>
      <c r="H11" s="638">
        <v>15530</v>
      </c>
      <c r="I11" s="638">
        <v>179533</v>
      </c>
      <c r="J11" s="638">
        <v>6639</v>
      </c>
      <c r="K11" s="638"/>
      <c r="L11" s="638"/>
      <c r="M11" s="638">
        <v>921</v>
      </c>
      <c r="N11" s="638">
        <v>6225</v>
      </c>
      <c r="O11" s="638"/>
      <c r="P11" s="638"/>
      <c r="Q11" s="638"/>
      <c r="R11" s="638"/>
      <c r="S11" s="639"/>
    </row>
    <row r="12" spans="1:19" ht="20.25" x14ac:dyDescent="0.3">
      <c r="A12" s="1378"/>
      <c r="B12" s="635"/>
      <c r="C12" s="634"/>
      <c r="D12" s="629" t="s">
        <v>235</v>
      </c>
      <c r="E12" s="628">
        <v>43985</v>
      </c>
      <c r="F12" s="628">
        <f t="shared" si="0"/>
        <v>281897</v>
      </c>
      <c r="G12" s="638">
        <v>57808</v>
      </c>
      <c r="H12" s="638">
        <v>15578</v>
      </c>
      <c r="I12" s="638">
        <v>192474</v>
      </c>
      <c r="J12" s="638">
        <v>6839</v>
      </c>
      <c r="K12" s="638"/>
      <c r="L12" s="638"/>
      <c r="M12" s="638">
        <v>1093</v>
      </c>
      <c r="N12" s="638">
        <v>8105</v>
      </c>
      <c r="O12" s="638"/>
      <c r="P12" s="638"/>
      <c r="Q12" s="638"/>
      <c r="R12" s="638"/>
      <c r="S12" s="639"/>
    </row>
    <row r="13" spans="1:19" ht="20.25" x14ac:dyDescent="0.3">
      <c r="A13" s="1378" t="s">
        <v>262</v>
      </c>
      <c r="B13" s="635" t="s">
        <v>332</v>
      </c>
      <c r="C13" s="634" t="s">
        <v>331</v>
      </c>
      <c r="D13" s="629" t="s">
        <v>3</v>
      </c>
      <c r="E13" s="628"/>
      <c r="F13" s="628">
        <f t="shared" si="0"/>
        <v>3600</v>
      </c>
      <c r="G13" s="637"/>
      <c r="H13" s="637"/>
      <c r="I13" s="637">
        <v>3600</v>
      </c>
      <c r="J13" s="637"/>
      <c r="K13" s="628"/>
      <c r="L13" s="637"/>
      <c r="M13" s="637"/>
      <c r="N13" s="637"/>
      <c r="O13" s="637"/>
      <c r="P13" s="637"/>
      <c r="Q13" s="637"/>
      <c r="R13" s="636"/>
      <c r="S13" s="627"/>
    </row>
    <row r="14" spans="1:19" ht="20.25" x14ac:dyDescent="0.3">
      <c r="A14" s="1378"/>
      <c r="B14" s="635"/>
      <c r="C14" s="634"/>
      <c r="D14" s="629" t="s">
        <v>225</v>
      </c>
      <c r="E14" s="628">
        <v>16160</v>
      </c>
      <c r="F14" s="628">
        <f t="shared" si="0"/>
        <v>19942</v>
      </c>
      <c r="G14" s="628"/>
      <c r="H14" s="628"/>
      <c r="I14" s="638">
        <v>3782</v>
      </c>
      <c r="J14" s="638">
        <v>16160</v>
      </c>
      <c r="K14" s="628"/>
      <c r="L14" s="628"/>
      <c r="M14" s="628"/>
      <c r="N14" s="628"/>
      <c r="O14" s="628"/>
      <c r="P14" s="628"/>
      <c r="Q14" s="628"/>
      <c r="R14" s="628"/>
      <c r="S14" s="633"/>
    </row>
    <row r="15" spans="1:19" ht="20.25" x14ac:dyDescent="0.3">
      <c r="A15" s="1378"/>
      <c r="B15" s="635"/>
      <c r="C15" s="634"/>
      <c r="D15" s="629" t="s">
        <v>235</v>
      </c>
      <c r="E15" s="628">
        <v>16160</v>
      </c>
      <c r="F15" s="628">
        <f t="shared" si="0"/>
        <v>19942</v>
      </c>
      <c r="G15" s="628"/>
      <c r="H15" s="628"/>
      <c r="I15" s="638">
        <v>3782</v>
      </c>
      <c r="J15" s="638">
        <v>16160</v>
      </c>
      <c r="K15" s="628"/>
      <c r="L15" s="628"/>
      <c r="M15" s="628"/>
      <c r="N15" s="628"/>
      <c r="O15" s="628"/>
      <c r="P15" s="628"/>
      <c r="Q15" s="628"/>
      <c r="R15" s="628"/>
      <c r="S15" s="633"/>
    </row>
    <row r="16" spans="1:19" ht="20.25" x14ac:dyDescent="0.3">
      <c r="A16" s="1378" t="s">
        <v>246</v>
      </c>
      <c r="B16" s="635" t="s">
        <v>330</v>
      </c>
      <c r="C16" s="634" t="s">
        <v>329</v>
      </c>
      <c r="D16" s="629" t="s">
        <v>3</v>
      </c>
      <c r="E16" s="628">
        <v>8255</v>
      </c>
      <c r="F16" s="628">
        <f t="shared" si="0"/>
        <v>15655</v>
      </c>
      <c r="G16" s="638"/>
      <c r="H16" s="638"/>
      <c r="I16" s="638">
        <v>15655</v>
      </c>
      <c r="J16" s="638"/>
      <c r="K16" s="628"/>
      <c r="L16" s="638"/>
      <c r="M16" s="638"/>
      <c r="N16" s="638"/>
      <c r="O16" s="638"/>
      <c r="P16" s="638"/>
      <c r="Q16" s="638"/>
      <c r="R16" s="636"/>
      <c r="S16" s="627"/>
    </row>
    <row r="17" spans="1:19" ht="20.25" x14ac:dyDescent="0.3">
      <c r="A17" s="1378"/>
      <c r="B17" s="635"/>
      <c r="C17" s="634"/>
      <c r="D17" s="629" t="s">
        <v>225</v>
      </c>
      <c r="E17" s="628">
        <v>8851</v>
      </c>
      <c r="F17" s="628">
        <f t="shared" si="0"/>
        <v>20358</v>
      </c>
      <c r="G17" s="638"/>
      <c r="H17" s="638"/>
      <c r="I17" s="638">
        <v>20358</v>
      </c>
      <c r="J17" s="638"/>
      <c r="K17" s="628"/>
      <c r="L17" s="638"/>
      <c r="M17" s="638"/>
      <c r="N17" s="638"/>
      <c r="O17" s="638"/>
      <c r="P17" s="638"/>
      <c r="Q17" s="638"/>
      <c r="R17" s="636"/>
      <c r="S17" s="627"/>
    </row>
    <row r="18" spans="1:19" ht="20.25" x14ac:dyDescent="0.3">
      <c r="A18" s="1378"/>
      <c r="B18" s="635"/>
      <c r="C18" s="634"/>
      <c r="D18" s="629" t="s">
        <v>235</v>
      </c>
      <c r="E18" s="628">
        <v>10466</v>
      </c>
      <c r="F18" s="628">
        <f t="shared" si="0"/>
        <v>21973</v>
      </c>
      <c r="G18" s="638"/>
      <c r="H18" s="638"/>
      <c r="I18" s="638">
        <v>20421</v>
      </c>
      <c r="J18" s="638"/>
      <c r="K18" s="628"/>
      <c r="L18" s="638"/>
      <c r="M18" s="638">
        <v>1053</v>
      </c>
      <c r="N18" s="638">
        <v>499</v>
      </c>
      <c r="O18" s="638"/>
      <c r="P18" s="638"/>
      <c r="Q18" s="638"/>
      <c r="R18" s="636"/>
      <c r="S18" s="627"/>
    </row>
    <row r="19" spans="1:19" ht="20.25" x14ac:dyDescent="0.3">
      <c r="A19" s="1378" t="s">
        <v>246</v>
      </c>
      <c r="B19" s="635" t="s">
        <v>328</v>
      </c>
      <c r="C19" s="634" t="s">
        <v>327</v>
      </c>
      <c r="D19" s="629" t="s">
        <v>3</v>
      </c>
      <c r="E19" s="628">
        <f>764309</f>
        <v>764309</v>
      </c>
      <c r="F19" s="628">
        <f t="shared" si="0"/>
        <v>306844</v>
      </c>
      <c r="G19" s="638"/>
      <c r="H19" s="638"/>
      <c r="I19" s="638">
        <v>76327</v>
      </c>
      <c r="J19" s="638">
        <v>30000</v>
      </c>
      <c r="K19" s="628"/>
      <c r="L19" s="638"/>
      <c r="M19" s="638">
        <f>7350</f>
        <v>7350</v>
      </c>
      <c r="N19" s="638">
        <v>193167</v>
      </c>
      <c r="O19" s="638"/>
      <c r="P19" s="638"/>
      <c r="Q19" s="638"/>
      <c r="R19" s="636"/>
      <c r="S19" s="627"/>
    </row>
    <row r="20" spans="1:19" ht="20.25" x14ac:dyDescent="0.3">
      <c r="A20" s="1378"/>
      <c r="B20" s="635"/>
      <c r="C20" s="634"/>
      <c r="D20" s="629" t="s">
        <v>225</v>
      </c>
      <c r="E20" s="628">
        <v>849158</v>
      </c>
      <c r="F20" s="628">
        <f t="shared" si="0"/>
        <v>320765</v>
      </c>
      <c r="G20" s="628"/>
      <c r="H20" s="638"/>
      <c r="I20" s="638">
        <v>62438</v>
      </c>
      <c r="J20" s="638">
        <v>30000</v>
      </c>
      <c r="K20" s="638"/>
      <c r="L20" s="638"/>
      <c r="M20" s="638">
        <v>18085</v>
      </c>
      <c r="N20" s="638">
        <v>210242</v>
      </c>
      <c r="O20" s="638"/>
      <c r="P20" s="638"/>
      <c r="Q20" s="638"/>
      <c r="R20" s="638"/>
      <c r="S20" s="639"/>
    </row>
    <row r="21" spans="1:19" ht="20.25" x14ac:dyDescent="0.3">
      <c r="A21" s="1378"/>
      <c r="B21" s="635"/>
      <c r="C21" s="634"/>
      <c r="D21" s="629" t="s">
        <v>235</v>
      </c>
      <c r="E21" s="628">
        <v>875575</v>
      </c>
      <c r="F21" s="628">
        <f t="shared" si="0"/>
        <v>359781</v>
      </c>
      <c r="G21" s="628"/>
      <c r="H21" s="638"/>
      <c r="I21" s="638">
        <v>72662</v>
      </c>
      <c r="J21" s="638">
        <v>30000</v>
      </c>
      <c r="K21" s="638"/>
      <c r="L21" s="638"/>
      <c r="M21" s="638">
        <v>17735</v>
      </c>
      <c r="N21" s="638">
        <v>239384</v>
      </c>
      <c r="O21" s="638"/>
      <c r="P21" s="638"/>
      <c r="Q21" s="638"/>
      <c r="R21" s="638"/>
      <c r="S21" s="639"/>
    </row>
    <row r="22" spans="1:19" ht="20.25" x14ac:dyDescent="0.3">
      <c r="A22" s="1378" t="s">
        <v>262</v>
      </c>
      <c r="B22" s="635" t="s">
        <v>323</v>
      </c>
      <c r="C22" s="634" t="s">
        <v>326</v>
      </c>
      <c r="D22" s="629" t="s">
        <v>3</v>
      </c>
      <c r="E22" s="628"/>
      <c r="F22" s="628">
        <f t="shared" si="0"/>
        <v>3075</v>
      </c>
      <c r="G22" s="637">
        <v>2050</v>
      </c>
      <c r="H22" s="637">
        <v>1025</v>
      </c>
      <c r="I22" s="637"/>
      <c r="J22" s="637"/>
      <c r="K22" s="638"/>
      <c r="L22" s="637"/>
      <c r="M22" s="637"/>
      <c r="N22" s="637"/>
      <c r="O22" s="637"/>
      <c r="P22" s="637"/>
      <c r="Q22" s="637"/>
      <c r="R22" s="636"/>
      <c r="S22" s="627"/>
    </row>
    <row r="23" spans="1:19" ht="20.25" x14ac:dyDescent="0.3">
      <c r="A23" s="1378"/>
      <c r="B23" s="635"/>
      <c r="C23" s="634"/>
      <c r="D23" s="629" t="s">
        <v>225</v>
      </c>
      <c r="E23" s="628"/>
      <c r="F23" s="628">
        <f t="shared" si="0"/>
        <v>3075</v>
      </c>
      <c r="G23" s="637">
        <v>2050</v>
      </c>
      <c r="H23" s="637">
        <v>1025</v>
      </c>
      <c r="I23" s="637"/>
      <c r="J23" s="637"/>
      <c r="K23" s="628"/>
      <c r="L23" s="637"/>
      <c r="M23" s="637"/>
      <c r="N23" s="637"/>
      <c r="O23" s="637"/>
      <c r="P23" s="637"/>
      <c r="Q23" s="637"/>
      <c r="R23" s="636"/>
      <c r="S23" s="627"/>
    </row>
    <row r="24" spans="1:19" ht="20.25" x14ac:dyDescent="0.3">
      <c r="A24" s="1378"/>
      <c r="B24" s="635"/>
      <c r="C24" s="634"/>
      <c r="D24" s="629" t="s">
        <v>235</v>
      </c>
      <c r="E24" s="628"/>
      <c r="F24" s="628">
        <f t="shared" si="0"/>
        <v>3075</v>
      </c>
      <c r="G24" s="637">
        <v>2047</v>
      </c>
      <c r="H24" s="637">
        <v>1025</v>
      </c>
      <c r="I24" s="637">
        <v>3</v>
      </c>
      <c r="J24" s="637"/>
      <c r="K24" s="628"/>
      <c r="L24" s="637"/>
      <c r="M24" s="637"/>
      <c r="N24" s="637"/>
      <c r="O24" s="637"/>
      <c r="P24" s="637"/>
      <c r="Q24" s="637"/>
      <c r="R24" s="636"/>
      <c r="S24" s="627"/>
    </row>
    <row r="25" spans="1:19" ht="20.25" x14ac:dyDescent="0.3">
      <c r="A25" s="1378" t="s">
        <v>262</v>
      </c>
      <c r="B25" s="635" t="s">
        <v>323</v>
      </c>
      <c r="C25" s="634" t="s">
        <v>325</v>
      </c>
      <c r="D25" s="629" t="s">
        <v>3</v>
      </c>
      <c r="E25" s="628">
        <v>1524</v>
      </c>
      <c r="F25" s="628">
        <f t="shared" si="0"/>
        <v>4700</v>
      </c>
      <c r="G25" s="637">
        <v>2646</v>
      </c>
      <c r="H25" s="637">
        <v>1354</v>
      </c>
      <c r="I25" s="637">
        <f>1700-1000</f>
        <v>700</v>
      </c>
      <c r="J25" s="637"/>
      <c r="K25" s="628"/>
      <c r="L25" s="637"/>
      <c r="M25" s="637"/>
      <c r="N25" s="637"/>
      <c r="O25" s="637"/>
      <c r="P25" s="637"/>
      <c r="Q25" s="637"/>
      <c r="R25" s="636"/>
      <c r="S25" s="627"/>
    </row>
    <row r="26" spans="1:19" ht="20.25" x14ac:dyDescent="0.3">
      <c r="A26" s="1378"/>
      <c r="B26" s="635"/>
      <c r="C26" s="634"/>
      <c r="D26" s="629" t="s">
        <v>225</v>
      </c>
      <c r="E26" s="628">
        <v>1524</v>
      </c>
      <c r="F26" s="628">
        <f t="shared" si="0"/>
        <v>4700</v>
      </c>
      <c r="G26" s="637">
        <v>2646</v>
      </c>
      <c r="H26" s="637">
        <v>1354</v>
      </c>
      <c r="I26" s="637">
        <v>700</v>
      </c>
      <c r="J26" s="637"/>
      <c r="K26" s="628"/>
      <c r="L26" s="637"/>
      <c r="M26" s="637"/>
      <c r="N26" s="637"/>
      <c r="O26" s="637"/>
      <c r="P26" s="637"/>
      <c r="Q26" s="637"/>
      <c r="R26" s="636"/>
      <c r="S26" s="639"/>
    </row>
    <row r="27" spans="1:19" ht="20.25" x14ac:dyDescent="0.3">
      <c r="A27" s="1378"/>
      <c r="B27" s="635"/>
      <c r="C27" s="634"/>
      <c r="D27" s="629" t="s">
        <v>235</v>
      </c>
      <c r="E27" s="628">
        <v>2159</v>
      </c>
      <c r="F27" s="628">
        <f t="shared" si="0"/>
        <v>5200</v>
      </c>
      <c r="G27" s="637">
        <v>1919</v>
      </c>
      <c r="H27" s="637">
        <v>1354</v>
      </c>
      <c r="I27" s="637">
        <v>1927</v>
      </c>
      <c r="J27" s="637"/>
      <c r="K27" s="628"/>
      <c r="L27" s="637"/>
      <c r="M27" s="637"/>
      <c r="N27" s="637"/>
      <c r="O27" s="637"/>
      <c r="P27" s="637"/>
      <c r="Q27" s="637"/>
      <c r="R27" s="636"/>
      <c r="S27" s="639"/>
    </row>
    <row r="28" spans="1:19" ht="20.25" x14ac:dyDescent="0.3">
      <c r="A28" s="1378" t="s">
        <v>262</v>
      </c>
      <c r="B28" s="635" t="s">
        <v>323</v>
      </c>
      <c r="C28" s="634" t="s">
        <v>324</v>
      </c>
      <c r="D28" s="629" t="s">
        <v>3</v>
      </c>
      <c r="E28" s="628"/>
      <c r="F28" s="628">
        <f t="shared" si="0"/>
        <v>9120</v>
      </c>
      <c r="G28" s="637">
        <v>6080</v>
      </c>
      <c r="H28" s="637">
        <v>3040</v>
      </c>
      <c r="I28" s="637"/>
      <c r="J28" s="637"/>
      <c r="K28" s="628"/>
      <c r="L28" s="637"/>
      <c r="M28" s="637"/>
      <c r="N28" s="637"/>
      <c r="O28" s="637"/>
      <c r="P28" s="637"/>
      <c r="Q28" s="637"/>
      <c r="R28" s="636"/>
      <c r="S28" s="627"/>
    </row>
    <row r="29" spans="1:19" ht="20.25" x14ac:dyDescent="0.3">
      <c r="A29" s="1378"/>
      <c r="B29" s="635"/>
      <c r="C29" s="634"/>
      <c r="D29" s="629" t="s">
        <v>225</v>
      </c>
      <c r="E29" s="628"/>
      <c r="F29" s="628">
        <f t="shared" si="0"/>
        <v>11181</v>
      </c>
      <c r="G29" s="637">
        <v>7776</v>
      </c>
      <c r="H29" s="637">
        <v>3405</v>
      </c>
      <c r="I29" s="637"/>
      <c r="J29" s="637"/>
      <c r="K29" s="628"/>
      <c r="L29" s="637"/>
      <c r="M29" s="637"/>
      <c r="N29" s="637"/>
      <c r="O29" s="637"/>
      <c r="P29" s="637"/>
      <c r="Q29" s="637"/>
      <c r="R29" s="636"/>
      <c r="S29" s="627"/>
    </row>
    <row r="30" spans="1:19" ht="20.25" x14ac:dyDescent="0.3">
      <c r="A30" s="1378"/>
      <c r="B30" s="635"/>
      <c r="C30" s="634"/>
      <c r="D30" s="629" t="s">
        <v>235</v>
      </c>
      <c r="E30" s="628"/>
      <c r="F30" s="628">
        <f t="shared" si="0"/>
        <v>11937</v>
      </c>
      <c r="G30" s="637">
        <v>5544</v>
      </c>
      <c r="H30" s="637">
        <v>3405</v>
      </c>
      <c r="I30" s="637">
        <v>2988</v>
      </c>
      <c r="J30" s="637"/>
      <c r="K30" s="628"/>
      <c r="L30" s="637"/>
      <c r="M30" s="637"/>
      <c r="N30" s="637"/>
      <c r="O30" s="637"/>
      <c r="P30" s="637"/>
      <c r="Q30" s="637"/>
      <c r="R30" s="636"/>
      <c r="S30" s="627"/>
    </row>
    <row r="31" spans="1:19" ht="20.25" x14ac:dyDescent="0.3">
      <c r="A31" s="1378" t="s">
        <v>262</v>
      </c>
      <c r="B31" s="635" t="s">
        <v>323</v>
      </c>
      <c r="C31" s="634" t="s">
        <v>322</v>
      </c>
      <c r="D31" s="629" t="s">
        <v>3</v>
      </c>
      <c r="E31" s="628"/>
      <c r="F31" s="628">
        <f t="shared" si="0"/>
        <v>6190</v>
      </c>
      <c r="G31" s="637">
        <v>4500</v>
      </c>
      <c r="H31" s="637">
        <v>1690</v>
      </c>
      <c r="I31" s="637"/>
      <c r="J31" s="637"/>
      <c r="K31" s="628"/>
      <c r="L31" s="637"/>
      <c r="M31" s="637"/>
      <c r="N31" s="637"/>
      <c r="O31" s="637"/>
      <c r="P31" s="637"/>
      <c r="Q31" s="637"/>
      <c r="R31" s="636"/>
      <c r="S31" s="627"/>
    </row>
    <row r="32" spans="1:19" ht="20.25" x14ac:dyDescent="0.3">
      <c r="A32" s="1378"/>
      <c r="B32" s="635"/>
      <c r="C32" s="634"/>
      <c r="D32" s="629" t="s">
        <v>225</v>
      </c>
      <c r="E32" s="628"/>
      <c r="F32" s="628">
        <f t="shared" si="0"/>
        <v>5497</v>
      </c>
      <c r="G32" s="637">
        <v>3932</v>
      </c>
      <c r="H32" s="637">
        <v>1565</v>
      </c>
      <c r="I32" s="637"/>
      <c r="J32" s="637"/>
      <c r="K32" s="628"/>
      <c r="L32" s="637"/>
      <c r="M32" s="637"/>
      <c r="N32" s="637"/>
      <c r="O32" s="637"/>
      <c r="P32" s="637"/>
      <c r="Q32" s="637"/>
      <c r="R32" s="636"/>
      <c r="S32" s="627"/>
    </row>
    <row r="33" spans="1:19" ht="20.25" x14ac:dyDescent="0.3">
      <c r="A33" s="1378"/>
      <c r="B33" s="635"/>
      <c r="C33" s="634"/>
      <c r="D33" s="629" t="s">
        <v>235</v>
      </c>
      <c r="E33" s="628"/>
      <c r="F33" s="628">
        <f t="shared" si="0"/>
        <v>5111</v>
      </c>
      <c r="G33" s="637">
        <v>3546</v>
      </c>
      <c r="H33" s="637">
        <v>1565</v>
      </c>
      <c r="I33" s="637"/>
      <c r="J33" s="637"/>
      <c r="K33" s="628"/>
      <c r="L33" s="637"/>
      <c r="M33" s="637"/>
      <c r="N33" s="637"/>
      <c r="O33" s="637"/>
      <c r="P33" s="637"/>
      <c r="Q33" s="637"/>
      <c r="R33" s="636"/>
      <c r="S33" s="627"/>
    </row>
    <row r="34" spans="1:19" ht="20.25" x14ac:dyDescent="0.3">
      <c r="A34" s="1378" t="s">
        <v>249</v>
      </c>
      <c r="B34" s="635" t="s">
        <v>321</v>
      </c>
      <c r="C34" s="634" t="s">
        <v>320</v>
      </c>
      <c r="D34" s="629" t="s">
        <v>3</v>
      </c>
      <c r="E34" s="628">
        <v>999690</v>
      </c>
      <c r="F34" s="628">
        <f t="shared" si="0"/>
        <v>25000</v>
      </c>
      <c r="G34" s="638"/>
      <c r="H34" s="638"/>
      <c r="I34" s="638"/>
      <c r="J34" s="638"/>
      <c r="K34" s="628"/>
      <c r="L34" s="638"/>
      <c r="M34" s="638"/>
      <c r="N34" s="638"/>
      <c r="O34" s="638"/>
      <c r="P34" s="638"/>
      <c r="Q34" s="638">
        <v>25000</v>
      </c>
      <c r="R34" s="636"/>
      <c r="S34" s="627"/>
    </row>
    <row r="35" spans="1:19" ht="20.25" x14ac:dyDescent="0.3">
      <c r="A35" s="1378"/>
      <c r="B35" s="635"/>
      <c r="C35" s="634"/>
      <c r="D35" s="629" t="s">
        <v>225</v>
      </c>
      <c r="E35" s="628">
        <v>1164716</v>
      </c>
      <c r="F35" s="628">
        <f t="shared" si="0"/>
        <v>40010</v>
      </c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38">
        <v>40010</v>
      </c>
      <c r="R35" s="638"/>
      <c r="S35" s="639"/>
    </row>
    <row r="36" spans="1:19" ht="20.25" x14ac:dyDescent="0.3">
      <c r="A36" s="1378"/>
      <c r="B36" s="635"/>
      <c r="C36" s="634"/>
      <c r="D36" s="629" t="s">
        <v>235</v>
      </c>
      <c r="E36" s="628">
        <v>1217121</v>
      </c>
      <c r="F36" s="628">
        <f t="shared" si="0"/>
        <v>40010</v>
      </c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38">
        <v>40010</v>
      </c>
      <c r="R36" s="638"/>
      <c r="S36" s="639"/>
    </row>
    <row r="37" spans="1:19" ht="20.25" x14ac:dyDescent="0.3">
      <c r="A37" s="1378" t="s">
        <v>249</v>
      </c>
      <c r="B37" s="635" t="s">
        <v>319</v>
      </c>
      <c r="C37" s="634" t="s">
        <v>318</v>
      </c>
      <c r="D37" s="629" t="s">
        <v>3</v>
      </c>
      <c r="E37" s="628"/>
      <c r="F37" s="628">
        <f t="shared" si="0"/>
        <v>0</v>
      </c>
      <c r="G37" s="637"/>
      <c r="H37" s="637"/>
      <c r="I37" s="637"/>
      <c r="J37" s="637"/>
      <c r="K37" s="628"/>
      <c r="L37" s="637"/>
      <c r="M37" s="637"/>
      <c r="N37" s="637"/>
      <c r="O37" s="637"/>
      <c r="P37" s="637"/>
      <c r="Q37" s="637"/>
      <c r="R37" s="636"/>
      <c r="S37" s="627"/>
    </row>
    <row r="38" spans="1:19" ht="20.25" x14ac:dyDescent="0.3">
      <c r="A38" s="1378"/>
      <c r="B38" s="635"/>
      <c r="C38" s="1382"/>
      <c r="D38" s="629" t="s">
        <v>225</v>
      </c>
      <c r="E38" s="649"/>
      <c r="F38" s="628">
        <f t="shared" si="0"/>
        <v>15213</v>
      </c>
      <c r="G38" s="649"/>
      <c r="H38" s="649"/>
      <c r="I38" s="648">
        <v>77</v>
      </c>
      <c r="J38" s="648">
        <v>15136</v>
      </c>
      <c r="K38" s="649"/>
      <c r="L38" s="649"/>
      <c r="M38" s="649"/>
      <c r="N38" s="649"/>
      <c r="O38" s="649"/>
      <c r="P38" s="649"/>
      <c r="Q38" s="648"/>
      <c r="R38" s="648"/>
      <c r="S38" s="647"/>
    </row>
    <row r="39" spans="1:19" ht="20.25" x14ac:dyDescent="0.3">
      <c r="A39" s="1378"/>
      <c r="B39" s="635"/>
      <c r="C39" s="1382"/>
      <c r="D39" s="629" t="s">
        <v>235</v>
      </c>
      <c r="E39" s="649"/>
      <c r="F39" s="628">
        <f t="shared" ref="F39:F70" si="1">SUM(G39:S39)</f>
        <v>9213</v>
      </c>
      <c r="G39" s="649"/>
      <c r="H39" s="649"/>
      <c r="I39" s="648">
        <v>77</v>
      </c>
      <c r="J39" s="648">
        <v>9136</v>
      </c>
      <c r="K39" s="649"/>
      <c r="L39" s="649"/>
      <c r="M39" s="649"/>
      <c r="N39" s="649"/>
      <c r="O39" s="649"/>
      <c r="P39" s="649"/>
      <c r="Q39" s="648"/>
      <c r="R39" s="648"/>
      <c r="S39" s="647"/>
    </row>
    <row r="40" spans="1:19" ht="20.25" x14ac:dyDescent="0.3">
      <c r="A40" s="1378" t="s">
        <v>249</v>
      </c>
      <c r="B40" s="635" t="s">
        <v>317</v>
      </c>
      <c r="C40" s="634" t="s">
        <v>316</v>
      </c>
      <c r="D40" s="629" t="s">
        <v>3</v>
      </c>
      <c r="E40" s="628"/>
      <c r="F40" s="628">
        <f t="shared" si="1"/>
        <v>1859736</v>
      </c>
      <c r="G40" s="637"/>
      <c r="H40" s="637"/>
      <c r="I40" s="637"/>
      <c r="J40" s="637">
        <v>334135</v>
      </c>
      <c r="K40" s="628"/>
      <c r="L40" s="637"/>
      <c r="M40" s="637"/>
      <c r="N40" s="637"/>
      <c r="O40" s="637"/>
      <c r="P40" s="637"/>
      <c r="Q40" s="637"/>
      <c r="R40" s="638">
        <v>1525601</v>
      </c>
      <c r="S40" s="627"/>
    </row>
    <row r="41" spans="1:19" ht="20.25" x14ac:dyDescent="0.3">
      <c r="A41" s="1378"/>
      <c r="B41" s="635"/>
      <c r="C41" s="634"/>
      <c r="D41" s="629" t="s">
        <v>225</v>
      </c>
      <c r="E41" s="628"/>
      <c r="F41" s="628">
        <f t="shared" si="1"/>
        <v>1960657</v>
      </c>
      <c r="G41" s="628"/>
      <c r="H41" s="628"/>
      <c r="I41" s="628"/>
      <c r="J41" s="638">
        <v>369453</v>
      </c>
      <c r="K41" s="628"/>
      <c r="L41" s="628"/>
      <c r="M41" s="628"/>
      <c r="N41" s="628"/>
      <c r="O41" s="628"/>
      <c r="P41" s="628"/>
      <c r="Q41" s="638"/>
      <c r="R41" s="638">
        <v>1591204</v>
      </c>
      <c r="S41" s="639"/>
    </row>
    <row r="42" spans="1:19" ht="20.25" x14ac:dyDescent="0.3">
      <c r="A42" s="1378"/>
      <c r="B42" s="635"/>
      <c r="C42" s="634"/>
      <c r="D42" s="629" t="s">
        <v>235</v>
      </c>
      <c r="E42" s="628">
        <v>886</v>
      </c>
      <c r="F42" s="628">
        <f t="shared" si="1"/>
        <v>2008718</v>
      </c>
      <c r="G42" s="628"/>
      <c r="H42" s="628"/>
      <c r="I42" s="628"/>
      <c r="J42" s="638">
        <v>400553</v>
      </c>
      <c r="K42" s="628"/>
      <c r="L42" s="628"/>
      <c r="M42" s="628"/>
      <c r="N42" s="628"/>
      <c r="O42" s="628"/>
      <c r="P42" s="628"/>
      <c r="Q42" s="638"/>
      <c r="R42" s="638">
        <v>1608165</v>
      </c>
      <c r="S42" s="639"/>
    </row>
    <row r="43" spans="1:19" ht="20.25" x14ac:dyDescent="0.3">
      <c r="A43" s="1378" t="s">
        <v>246</v>
      </c>
      <c r="B43" s="635" t="s">
        <v>315</v>
      </c>
      <c r="C43" s="634" t="s">
        <v>314</v>
      </c>
      <c r="D43" s="629" t="s">
        <v>3</v>
      </c>
      <c r="E43" s="628"/>
      <c r="F43" s="628">
        <f t="shared" si="1"/>
        <v>5000</v>
      </c>
      <c r="G43" s="637"/>
      <c r="H43" s="637"/>
      <c r="I43" s="637"/>
      <c r="J43" s="637">
        <v>5000</v>
      </c>
      <c r="K43" s="628"/>
      <c r="L43" s="637"/>
      <c r="M43" s="637"/>
      <c r="N43" s="637"/>
      <c r="O43" s="637"/>
      <c r="P43" s="637"/>
      <c r="Q43" s="637"/>
      <c r="R43" s="636"/>
      <c r="S43" s="627"/>
    </row>
    <row r="44" spans="1:19" ht="20.25" x14ac:dyDescent="0.3">
      <c r="A44" s="1378"/>
      <c r="B44" s="635"/>
      <c r="C44" s="634"/>
      <c r="D44" s="629" t="s">
        <v>225</v>
      </c>
      <c r="E44" s="628"/>
      <c r="F44" s="628">
        <f t="shared" si="1"/>
        <v>4000</v>
      </c>
      <c r="G44" s="637"/>
      <c r="H44" s="637"/>
      <c r="I44" s="637"/>
      <c r="J44" s="637">
        <v>4000</v>
      </c>
      <c r="K44" s="628"/>
      <c r="L44" s="637"/>
      <c r="M44" s="637"/>
      <c r="N44" s="637"/>
      <c r="O44" s="637"/>
      <c r="P44" s="637"/>
      <c r="Q44" s="637"/>
      <c r="R44" s="636"/>
      <c r="S44" s="627"/>
    </row>
    <row r="45" spans="1:19" ht="20.25" x14ac:dyDescent="0.3">
      <c r="A45" s="1378"/>
      <c r="B45" s="635"/>
      <c r="C45" s="634"/>
      <c r="D45" s="629" t="s">
        <v>235</v>
      </c>
      <c r="E45" s="628"/>
      <c r="F45" s="628">
        <f t="shared" si="1"/>
        <v>4000</v>
      </c>
      <c r="G45" s="637"/>
      <c r="H45" s="637"/>
      <c r="I45" s="637"/>
      <c r="J45" s="637">
        <v>4000</v>
      </c>
      <c r="K45" s="628"/>
      <c r="L45" s="637"/>
      <c r="M45" s="637"/>
      <c r="N45" s="637"/>
      <c r="O45" s="637"/>
      <c r="P45" s="637"/>
      <c r="Q45" s="637"/>
      <c r="R45" s="636"/>
      <c r="S45" s="627"/>
    </row>
    <row r="46" spans="1:19" ht="20.25" x14ac:dyDescent="0.3">
      <c r="A46" s="1378" t="s">
        <v>246</v>
      </c>
      <c r="B46" s="635" t="s">
        <v>313</v>
      </c>
      <c r="C46" s="634" t="s">
        <v>312</v>
      </c>
      <c r="D46" s="629" t="s">
        <v>3</v>
      </c>
      <c r="E46" s="628"/>
      <c r="F46" s="628">
        <f t="shared" si="1"/>
        <v>240</v>
      </c>
      <c r="G46" s="637"/>
      <c r="H46" s="637"/>
      <c r="I46" s="637">
        <v>240</v>
      </c>
      <c r="J46" s="637"/>
      <c r="K46" s="628"/>
      <c r="L46" s="637"/>
      <c r="M46" s="637"/>
      <c r="N46" s="637"/>
      <c r="O46" s="637"/>
      <c r="P46" s="637"/>
      <c r="Q46" s="637"/>
      <c r="R46" s="636"/>
      <c r="S46" s="627"/>
    </row>
    <row r="47" spans="1:19" ht="20.25" x14ac:dyDescent="0.3">
      <c r="A47" s="1378"/>
      <c r="B47" s="635"/>
      <c r="C47" s="634"/>
      <c r="D47" s="629" t="s">
        <v>225</v>
      </c>
      <c r="E47" s="628"/>
      <c r="F47" s="628">
        <f t="shared" si="1"/>
        <v>240</v>
      </c>
      <c r="G47" s="637"/>
      <c r="H47" s="637"/>
      <c r="I47" s="637">
        <v>240</v>
      </c>
      <c r="J47" s="637"/>
      <c r="K47" s="628"/>
      <c r="L47" s="637"/>
      <c r="M47" s="637"/>
      <c r="N47" s="637"/>
      <c r="O47" s="637"/>
      <c r="P47" s="637"/>
      <c r="Q47" s="637"/>
      <c r="R47" s="636"/>
      <c r="S47" s="627"/>
    </row>
    <row r="48" spans="1:19" ht="20.25" x14ac:dyDescent="0.3">
      <c r="A48" s="1378"/>
      <c r="B48" s="635"/>
      <c r="C48" s="634"/>
      <c r="D48" s="629" t="s">
        <v>235</v>
      </c>
      <c r="E48" s="628"/>
      <c r="F48" s="628">
        <f t="shared" si="1"/>
        <v>240</v>
      </c>
      <c r="G48" s="637"/>
      <c r="H48" s="637"/>
      <c r="I48" s="637">
        <v>240</v>
      </c>
      <c r="J48" s="637"/>
      <c r="K48" s="628"/>
      <c r="L48" s="637"/>
      <c r="M48" s="637"/>
      <c r="N48" s="637"/>
      <c r="O48" s="637"/>
      <c r="P48" s="637"/>
      <c r="Q48" s="637"/>
      <c r="R48" s="636"/>
      <c r="S48" s="627"/>
    </row>
    <row r="49" spans="1:19" ht="20.25" x14ac:dyDescent="0.3">
      <c r="A49" s="1378" t="s">
        <v>246</v>
      </c>
      <c r="B49" s="635" t="s">
        <v>311</v>
      </c>
      <c r="C49" s="634" t="s">
        <v>310</v>
      </c>
      <c r="D49" s="629" t="s">
        <v>3</v>
      </c>
      <c r="E49" s="628">
        <v>128050</v>
      </c>
      <c r="F49" s="628">
        <f t="shared" si="1"/>
        <v>148056</v>
      </c>
      <c r="G49" s="638">
        <v>129600</v>
      </c>
      <c r="H49" s="638">
        <v>17496</v>
      </c>
      <c r="I49" s="638">
        <v>960</v>
      </c>
      <c r="J49" s="638"/>
      <c r="K49" s="628"/>
      <c r="L49" s="638"/>
      <c r="M49" s="638"/>
      <c r="N49" s="638"/>
      <c r="O49" s="638"/>
      <c r="P49" s="638"/>
      <c r="Q49" s="638"/>
      <c r="R49" s="636"/>
      <c r="S49" s="627"/>
    </row>
    <row r="50" spans="1:19" ht="20.25" x14ac:dyDescent="0.3">
      <c r="A50" s="1378"/>
      <c r="B50" s="635"/>
      <c r="C50" s="634"/>
      <c r="D50" s="629" t="s">
        <v>225</v>
      </c>
      <c r="E50" s="628">
        <v>128050</v>
      </c>
      <c r="F50" s="628">
        <f t="shared" si="1"/>
        <v>148056</v>
      </c>
      <c r="G50" s="638">
        <v>129600</v>
      </c>
      <c r="H50" s="638">
        <v>17496</v>
      </c>
      <c r="I50" s="638">
        <v>960</v>
      </c>
      <c r="J50" s="638"/>
      <c r="K50" s="628"/>
      <c r="L50" s="638"/>
      <c r="M50" s="638"/>
      <c r="N50" s="638"/>
      <c r="O50" s="638"/>
      <c r="P50" s="638"/>
      <c r="Q50" s="638"/>
      <c r="R50" s="636"/>
      <c r="S50" s="627"/>
    </row>
    <row r="51" spans="1:19" ht="20.25" x14ac:dyDescent="0.3">
      <c r="A51" s="1378"/>
      <c r="B51" s="635"/>
      <c r="C51" s="634"/>
      <c r="D51" s="629" t="s">
        <v>235</v>
      </c>
      <c r="E51" s="628">
        <v>128812</v>
      </c>
      <c r="F51" s="628">
        <f t="shared" si="1"/>
        <v>148818</v>
      </c>
      <c r="G51" s="638">
        <v>124800</v>
      </c>
      <c r="H51" s="638">
        <v>17496</v>
      </c>
      <c r="I51" s="638">
        <v>1760</v>
      </c>
      <c r="J51" s="638"/>
      <c r="K51" s="628"/>
      <c r="L51" s="638"/>
      <c r="M51" s="638"/>
      <c r="N51" s="638">
        <v>4762</v>
      </c>
      <c r="O51" s="638"/>
      <c r="P51" s="638"/>
      <c r="Q51" s="638"/>
      <c r="R51" s="636"/>
      <c r="S51" s="627"/>
    </row>
    <row r="52" spans="1:19" ht="20.25" x14ac:dyDescent="0.3">
      <c r="A52" s="1378" t="s">
        <v>246</v>
      </c>
      <c r="B52" s="635" t="s">
        <v>309</v>
      </c>
      <c r="C52" s="634" t="s">
        <v>308</v>
      </c>
      <c r="D52" s="629" t="s">
        <v>3</v>
      </c>
      <c r="E52" s="628"/>
      <c r="F52" s="628">
        <f t="shared" si="1"/>
        <v>9850</v>
      </c>
      <c r="G52" s="638"/>
      <c r="H52" s="638"/>
      <c r="I52" s="638">
        <v>9850</v>
      </c>
      <c r="J52" s="638"/>
      <c r="K52" s="628"/>
      <c r="L52" s="638"/>
      <c r="M52" s="638"/>
      <c r="N52" s="638"/>
      <c r="O52" s="638"/>
      <c r="P52" s="638"/>
      <c r="Q52" s="638"/>
      <c r="R52" s="636"/>
      <c r="S52" s="627"/>
    </row>
    <row r="53" spans="1:19" ht="20.25" x14ac:dyDescent="0.3">
      <c r="A53" s="1378"/>
      <c r="B53" s="635"/>
      <c r="C53" s="634"/>
      <c r="D53" s="629" t="s">
        <v>225</v>
      </c>
      <c r="E53" s="628"/>
      <c r="F53" s="628">
        <f t="shared" si="1"/>
        <v>9850</v>
      </c>
      <c r="G53" s="638"/>
      <c r="H53" s="638"/>
      <c r="I53" s="638">
        <v>9850</v>
      </c>
      <c r="J53" s="638"/>
      <c r="K53" s="628"/>
      <c r="L53" s="638"/>
      <c r="M53" s="638"/>
      <c r="N53" s="638"/>
      <c r="O53" s="638"/>
      <c r="P53" s="638"/>
      <c r="Q53" s="638"/>
      <c r="R53" s="636"/>
      <c r="S53" s="627"/>
    </row>
    <row r="54" spans="1:19" ht="20.25" x14ac:dyDescent="0.3">
      <c r="A54" s="1378"/>
      <c r="B54" s="635"/>
      <c r="C54" s="634"/>
      <c r="D54" s="629" t="s">
        <v>235</v>
      </c>
      <c r="E54" s="628"/>
      <c r="F54" s="628">
        <f t="shared" si="1"/>
        <v>9850</v>
      </c>
      <c r="G54" s="638"/>
      <c r="H54" s="638"/>
      <c r="I54" s="638">
        <v>9850</v>
      </c>
      <c r="J54" s="638"/>
      <c r="K54" s="628"/>
      <c r="L54" s="638"/>
      <c r="M54" s="638"/>
      <c r="N54" s="638"/>
      <c r="O54" s="638"/>
      <c r="P54" s="638"/>
      <c r="Q54" s="638"/>
      <c r="R54" s="636"/>
      <c r="S54" s="627"/>
    </row>
    <row r="55" spans="1:19" ht="20.25" x14ac:dyDescent="0.3">
      <c r="A55" s="1378" t="s">
        <v>246</v>
      </c>
      <c r="B55" s="635" t="s">
        <v>307</v>
      </c>
      <c r="C55" s="634" t="s">
        <v>306</v>
      </c>
      <c r="D55" s="629" t="s">
        <v>3</v>
      </c>
      <c r="E55" s="628">
        <v>3810</v>
      </c>
      <c r="F55" s="628">
        <f t="shared" si="1"/>
        <v>101057</v>
      </c>
      <c r="G55" s="638"/>
      <c r="H55" s="638"/>
      <c r="I55" s="638">
        <v>11970</v>
      </c>
      <c r="J55" s="638"/>
      <c r="K55" s="628"/>
      <c r="L55" s="638"/>
      <c r="M55" s="638">
        <v>79737</v>
      </c>
      <c r="N55" s="638">
        <v>9350</v>
      </c>
      <c r="O55" s="638"/>
      <c r="P55" s="638"/>
      <c r="Q55" s="638"/>
      <c r="R55" s="636"/>
      <c r="S55" s="627"/>
    </row>
    <row r="56" spans="1:19" ht="20.25" x14ac:dyDescent="0.3">
      <c r="A56" s="1378"/>
      <c r="B56" s="635"/>
      <c r="C56" s="634"/>
      <c r="D56" s="629" t="s">
        <v>225</v>
      </c>
      <c r="E56" s="628">
        <v>3810</v>
      </c>
      <c r="F56" s="628">
        <f t="shared" si="1"/>
        <v>62475</v>
      </c>
      <c r="G56" s="628"/>
      <c r="H56" s="628"/>
      <c r="I56" s="638">
        <v>13806</v>
      </c>
      <c r="J56" s="638"/>
      <c r="K56" s="638"/>
      <c r="L56" s="638"/>
      <c r="M56" s="638">
        <v>21111</v>
      </c>
      <c r="N56" s="638">
        <v>27558</v>
      </c>
      <c r="O56" s="638"/>
      <c r="P56" s="628"/>
      <c r="Q56" s="638"/>
      <c r="R56" s="638"/>
      <c r="S56" s="639"/>
    </row>
    <row r="57" spans="1:19" ht="20.25" x14ac:dyDescent="0.3">
      <c r="A57" s="1378"/>
      <c r="B57" s="635"/>
      <c r="C57" s="634"/>
      <c r="D57" s="629" t="s">
        <v>235</v>
      </c>
      <c r="E57" s="628">
        <v>3810</v>
      </c>
      <c r="F57" s="628">
        <f t="shared" si="1"/>
        <v>55799</v>
      </c>
      <c r="G57" s="628"/>
      <c r="H57" s="628"/>
      <c r="I57" s="638">
        <v>10988</v>
      </c>
      <c r="J57" s="638"/>
      <c r="K57" s="638"/>
      <c r="L57" s="638"/>
      <c r="M57" s="638">
        <v>21111</v>
      </c>
      <c r="N57" s="638">
        <v>23700</v>
      </c>
      <c r="O57" s="638"/>
      <c r="P57" s="628"/>
      <c r="Q57" s="638"/>
      <c r="R57" s="638"/>
      <c r="S57" s="639"/>
    </row>
    <row r="58" spans="1:19" ht="20.25" x14ac:dyDescent="0.3">
      <c r="A58" s="1378" t="s">
        <v>246</v>
      </c>
      <c r="B58" s="635" t="s">
        <v>305</v>
      </c>
      <c r="C58" s="634" t="s">
        <v>304</v>
      </c>
      <c r="D58" s="629" t="s">
        <v>3</v>
      </c>
      <c r="E58" s="628"/>
      <c r="F58" s="628">
        <f t="shared" si="1"/>
        <v>35280</v>
      </c>
      <c r="G58" s="638"/>
      <c r="H58" s="638"/>
      <c r="I58" s="638">
        <v>35280</v>
      </c>
      <c r="J58" s="638"/>
      <c r="K58" s="628"/>
      <c r="L58" s="638"/>
      <c r="M58" s="638"/>
      <c r="N58" s="638"/>
      <c r="O58" s="638"/>
      <c r="P58" s="638"/>
      <c r="Q58" s="638"/>
      <c r="R58" s="636"/>
      <c r="S58" s="627"/>
    </row>
    <row r="59" spans="1:19" ht="20.25" x14ac:dyDescent="0.3">
      <c r="A59" s="1378"/>
      <c r="B59" s="635"/>
      <c r="C59" s="634"/>
      <c r="D59" s="629" t="s">
        <v>225</v>
      </c>
      <c r="E59" s="628"/>
      <c r="F59" s="628">
        <f t="shared" si="1"/>
        <v>37862</v>
      </c>
      <c r="G59" s="638"/>
      <c r="H59" s="638"/>
      <c r="I59" s="638">
        <v>37862</v>
      </c>
      <c r="J59" s="638"/>
      <c r="K59" s="628"/>
      <c r="L59" s="638"/>
      <c r="M59" s="638"/>
      <c r="N59" s="638"/>
      <c r="O59" s="638"/>
      <c r="P59" s="638"/>
      <c r="Q59" s="638"/>
      <c r="R59" s="636"/>
      <c r="S59" s="627"/>
    </row>
    <row r="60" spans="1:19" ht="20.25" x14ac:dyDescent="0.3">
      <c r="A60" s="1378"/>
      <c r="B60" s="635"/>
      <c r="C60" s="634"/>
      <c r="D60" s="629" t="s">
        <v>235</v>
      </c>
      <c r="E60" s="628"/>
      <c r="F60" s="628">
        <f t="shared" si="1"/>
        <v>37862</v>
      </c>
      <c r="G60" s="638"/>
      <c r="H60" s="638"/>
      <c r="I60" s="638">
        <v>37862</v>
      </c>
      <c r="J60" s="638"/>
      <c r="K60" s="628"/>
      <c r="L60" s="638"/>
      <c r="M60" s="638"/>
      <c r="N60" s="638"/>
      <c r="O60" s="638"/>
      <c r="P60" s="638"/>
      <c r="Q60" s="638"/>
      <c r="R60" s="636"/>
      <c r="S60" s="627"/>
    </row>
    <row r="61" spans="1:19" ht="20.25" x14ac:dyDescent="0.3">
      <c r="A61" s="1378" t="s">
        <v>262</v>
      </c>
      <c r="B61" s="635" t="s">
        <v>303</v>
      </c>
      <c r="C61" s="634" t="s">
        <v>302</v>
      </c>
      <c r="D61" s="629" t="s">
        <v>3</v>
      </c>
      <c r="E61" s="628">
        <v>7000</v>
      </c>
      <c r="F61" s="628">
        <f t="shared" si="1"/>
        <v>38375</v>
      </c>
      <c r="G61" s="638"/>
      <c r="H61" s="638"/>
      <c r="I61" s="638"/>
      <c r="J61" s="638">
        <v>38375</v>
      </c>
      <c r="K61" s="628"/>
      <c r="L61" s="638"/>
      <c r="M61" s="638"/>
      <c r="N61" s="638"/>
      <c r="O61" s="638"/>
      <c r="P61" s="638"/>
      <c r="Q61" s="638"/>
      <c r="R61" s="636"/>
      <c r="S61" s="627"/>
    </row>
    <row r="62" spans="1:19" ht="24" customHeight="1" x14ac:dyDescent="0.3">
      <c r="A62" s="1378"/>
      <c r="B62" s="635"/>
      <c r="C62" s="634"/>
      <c r="D62" s="629" t="s">
        <v>225</v>
      </c>
      <c r="E62" s="628">
        <v>7000</v>
      </c>
      <c r="F62" s="628">
        <f t="shared" si="1"/>
        <v>32830</v>
      </c>
      <c r="G62" s="638"/>
      <c r="H62" s="638"/>
      <c r="I62" s="638"/>
      <c r="J62" s="638">
        <v>32830</v>
      </c>
      <c r="K62" s="628"/>
      <c r="L62" s="638"/>
      <c r="M62" s="638"/>
      <c r="N62" s="638"/>
      <c r="O62" s="638"/>
      <c r="P62" s="638"/>
      <c r="Q62" s="638"/>
      <c r="R62" s="636"/>
      <c r="S62" s="627"/>
    </row>
    <row r="63" spans="1:19" ht="24" customHeight="1" x14ac:dyDescent="0.3">
      <c r="A63" s="1378"/>
      <c r="B63" s="635"/>
      <c r="C63" s="634"/>
      <c r="D63" s="629" t="s">
        <v>235</v>
      </c>
      <c r="E63" s="628">
        <v>7000</v>
      </c>
      <c r="F63" s="628">
        <f t="shared" si="1"/>
        <v>36974</v>
      </c>
      <c r="G63" s="638"/>
      <c r="H63" s="638"/>
      <c r="I63" s="638"/>
      <c r="J63" s="638">
        <v>36974</v>
      </c>
      <c r="K63" s="628"/>
      <c r="L63" s="638"/>
      <c r="M63" s="638"/>
      <c r="N63" s="638"/>
      <c r="O63" s="638"/>
      <c r="P63" s="638"/>
      <c r="Q63" s="638"/>
      <c r="R63" s="636"/>
      <c r="S63" s="627"/>
    </row>
    <row r="64" spans="1:19" ht="19.5" customHeight="1" x14ac:dyDescent="0.3">
      <c r="A64" s="1378" t="s">
        <v>246</v>
      </c>
      <c r="B64" s="635" t="s">
        <v>301</v>
      </c>
      <c r="C64" s="642" t="s">
        <v>300</v>
      </c>
      <c r="D64" s="629" t="s">
        <v>3</v>
      </c>
      <c r="E64" s="628"/>
      <c r="F64" s="628">
        <f t="shared" si="1"/>
        <v>27350</v>
      </c>
      <c r="G64" s="638"/>
      <c r="H64" s="638"/>
      <c r="I64" s="638">
        <v>27350</v>
      </c>
      <c r="J64" s="638"/>
      <c r="K64" s="628"/>
      <c r="L64" s="638"/>
      <c r="M64" s="638"/>
      <c r="N64" s="638"/>
      <c r="O64" s="638"/>
      <c r="P64" s="638"/>
      <c r="Q64" s="638"/>
      <c r="R64" s="636"/>
      <c r="S64" s="627"/>
    </row>
    <row r="65" spans="1:19" ht="20.25" x14ac:dyDescent="0.3">
      <c r="A65" s="1378"/>
      <c r="B65" s="635"/>
      <c r="C65" s="642"/>
      <c r="D65" s="629" t="s">
        <v>225</v>
      </c>
      <c r="E65" s="628"/>
      <c r="F65" s="628">
        <f t="shared" si="1"/>
        <v>39210</v>
      </c>
      <c r="G65" s="638"/>
      <c r="H65" s="638"/>
      <c r="I65" s="638">
        <v>39210</v>
      </c>
      <c r="J65" s="638"/>
      <c r="K65" s="628"/>
      <c r="L65" s="638"/>
      <c r="M65" s="638"/>
      <c r="N65" s="638"/>
      <c r="O65" s="638"/>
      <c r="P65" s="638"/>
      <c r="Q65" s="638"/>
      <c r="R65" s="636"/>
      <c r="S65" s="627"/>
    </row>
    <row r="66" spans="1:19" ht="20.25" x14ac:dyDescent="0.3">
      <c r="A66" s="1378"/>
      <c r="B66" s="635"/>
      <c r="C66" s="642"/>
      <c r="D66" s="629" t="s">
        <v>235</v>
      </c>
      <c r="E66" s="628"/>
      <c r="F66" s="628">
        <f t="shared" si="1"/>
        <v>41344</v>
      </c>
      <c r="G66" s="638"/>
      <c r="H66" s="638"/>
      <c r="I66" s="638">
        <v>41344</v>
      </c>
      <c r="J66" s="638"/>
      <c r="K66" s="628"/>
      <c r="L66" s="638"/>
      <c r="M66" s="638"/>
      <c r="N66" s="638"/>
      <c r="O66" s="638"/>
      <c r="P66" s="638"/>
      <c r="Q66" s="638"/>
      <c r="R66" s="636"/>
      <c r="S66" s="627"/>
    </row>
    <row r="67" spans="1:19" ht="20.25" x14ac:dyDescent="0.3">
      <c r="A67" s="1378" t="s">
        <v>246</v>
      </c>
      <c r="B67" s="635" t="s">
        <v>299</v>
      </c>
      <c r="C67" s="634" t="s">
        <v>298</v>
      </c>
      <c r="D67" s="629" t="s">
        <v>3</v>
      </c>
      <c r="E67" s="628">
        <v>15260</v>
      </c>
      <c r="F67" s="628">
        <f t="shared" si="1"/>
        <v>21260</v>
      </c>
      <c r="G67" s="638"/>
      <c r="H67" s="638"/>
      <c r="I67" s="638">
        <v>6000</v>
      </c>
      <c r="J67" s="638"/>
      <c r="K67" s="628"/>
      <c r="L67" s="638"/>
      <c r="M67" s="638">
        <v>15260</v>
      </c>
      <c r="N67" s="638"/>
      <c r="O67" s="638"/>
      <c r="P67" s="638"/>
      <c r="Q67" s="638"/>
      <c r="R67" s="636"/>
      <c r="S67" s="627"/>
    </row>
    <row r="68" spans="1:19" ht="20.25" x14ac:dyDescent="0.3">
      <c r="A68" s="1378"/>
      <c r="B68" s="635"/>
      <c r="C68" s="634"/>
      <c r="D68" s="646" t="s">
        <v>225</v>
      </c>
      <c r="E68" s="628">
        <v>15260</v>
      </c>
      <c r="F68" s="628">
        <f t="shared" si="1"/>
        <v>25885</v>
      </c>
      <c r="G68" s="638"/>
      <c r="H68" s="638"/>
      <c r="I68" s="638">
        <v>9500</v>
      </c>
      <c r="J68" s="638"/>
      <c r="K68" s="628"/>
      <c r="L68" s="638"/>
      <c r="M68" s="638">
        <v>16385</v>
      </c>
      <c r="N68" s="638"/>
      <c r="O68" s="638"/>
      <c r="P68" s="638"/>
      <c r="Q68" s="638"/>
      <c r="R68" s="636"/>
      <c r="S68" s="627"/>
    </row>
    <row r="69" spans="1:19" ht="20.25" x14ac:dyDescent="0.3">
      <c r="A69" s="1378"/>
      <c r="B69" s="635"/>
      <c r="C69" s="634"/>
      <c r="D69" s="629" t="s">
        <v>235</v>
      </c>
      <c r="E69" s="628">
        <v>23807</v>
      </c>
      <c r="F69" s="628">
        <f t="shared" si="1"/>
        <v>34518</v>
      </c>
      <c r="G69" s="638"/>
      <c r="H69" s="638"/>
      <c r="I69" s="638">
        <v>9500</v>
      </c>
      <c r="J69" s="638"/>
      <c r="K69" s="628"/>
      <c r="L69" s="638"/>
      <c r="M69" s="638">
        <v>24932</v>
      </c>
      <c r="N69" s="638"/>
      <c r="O69" s="638">
        <v>86</v>
      </c>
      <c r="P69" s="638"/>
      <c r="Q69" s="638"/>
      <c r="R69" s="636"/>
      <c r="S69" s="627"/>
    </row>
    <row r="70" spans="1:19" ht="20.25" x14ac:dyDescent="0.3">
      <c r="A70" s="1378" t="s">
        <v>246</v>
      </c>
      <c r="B70" s="635" t="s">
        <v>297</v>
      </c>
      <c r="C70" s="634" t="s">
        <v>296</v>
      </c>
      <c r="D70" s="629" t="s">
        <v>3</v>
      </c>
      <c r="E70" s="628">
        <v>5320</v>
      </c>
      <c r="F70" s="628">
        <f t="shared" si="1"/>
        <v>64651</v>
      </c>
      <c r="G70" s="637">
        <v>400</v>
      </c>
      <c r="H70" s="637">
        <v>200</v>
      </c>
      <c r="I70" s="637">
        <v>28651</v>
      </c>
      <c r="J70" s="637">
        <v>4000</v>
      </c>
      <c r="K70" s="638"/>
      <c r="L70" s="637"/>
      <c r="M70" s="637"/>
      <c r="N70" s="637">
        <v>31400</v>
      </c>
      <c r="O70" s="637"/>
      <c r="P70" s="637"/>
      <c r="Q70" s="637"/>
      <c r="R70" s="636"/>
      <c r="S70" s="627"/>
    </row>
    <row r="71" spans="1:19" ht="20.25" x14ac:dyDescent="0.3">
      <c r="A71" s="1378"/>
      <c r="B71" s="635"/>
      <c r="C71" s="634"/>
      <c r="D71" s="629" t="s">
        <v>225</v>
      </c>
      <c r="E71" s="628">
        <v>5320</v>
      </c>
      <c r="F71" s="628">
        <f t="shared" ref="F71:F102" si="2">SUM(G71:S71)</f>
        <v>71817</v>
      </c>
      <c r="G71" s="638">
        <v>400</v>
      </c>
      <c r="H71" s="638">
        <v>200</v>
      </c>
      <c r="I71" s="638">
        <v>32533</v>
      </c>
      <c r="J71" s="638">
        <v>2107</v>
      </c>
      <c r="K71" s="638"/>
      <c r="L71" s="638"/>
      <c r="M71" s="638">
        <v>607</v>
      </c>
      <c r="N71" s="638">
        <v>35970</v>
      </c>
      <c r="O71" s="638"/>
      <c r="P71" s="628"/>
      <c r="Q71" s="638"/>
      <c r="R71" s="638"/>
      <c r="S71" s="639"/>
    </row>
    <row r="72" spans="1:19" ht="20.25" x14ac:dyDescent="0.3">
      <c r="A72" s="1378"/>
      <c r="B72" s="635"/>
      <c r="C72" s="634"/>
      <c r="D72" s="629" t="s">
        <v>235</v>
      </c>
      <c r="E72" s="628">
        <v>5320</v>
      </c>
      <c r="F72" s="628">
        <f t="shared" si="2"/>
        <v>74992</v>
      </c>
      <c r="G72" s="638">
        <v>400</v>
      </c>
      <c r="H72" s="638">
        <v>200</v>
      </c>
      <c r="I72" s="638">
        <v>32533</v>
      </c>
      <c r="J72" s="638">
        <v>2107</v>
      </c>
      <c r="K72" s="638"/>
      <c r="L72" s="638"/>
      <c r="M72" s="638">
        <v>607</v>
      </c>
      <c r="N72" s="638">
        <v>39145</v>
      </c>
      <c r="O72" s="638"/>
      <c r="P72" s="628"/>
      <c r="Q72" s="638"/>
      <c r="R72" s="638"/>
      <c r="S72" s="639"/>
    </row>
    <row r="73" spans="1:19" ht="20.25" x14ac:dyDescent="0.3">
      <c r="A73" s="1378" t="s">
        <v>262</v>
      </c>
      <c r="B73" s="635" t="s">
        <v>295</v>
      </c>
      <c r="C73" s="634" t="s">
        <v>294</v>
      </c>
      <c r="D73" s="629" t="s">
        <v>3</v>
      </c>
      <c r="E73" s="628">
        <v>800</v>
      </c>
      <c r="F73" s="628">
        <f t="shared" si="2"/>
        <v>0</v>
      </c>
      <c r="G73" s="637"/>
      <c r="H73" s="637"/>
      <c r="I73" s="637"/>
      <c r="J73" s="637"/>
      <c r="K73" s="638"/>
      <c r="L73" s="637"/>
      <c r="M73" s="637"/>
      <c r="N73" s="637"/>
      <c r="O73" s="637"/>
      <c r="P73" s="637"/>
      <c r="Q73" s="637"/>
      <c r="R73" s="636"/>
      <c r="S73" s="627"/>
    </row>
    <row r="74" spans="1:19" ht="20.25" x14ac:dyDescent="0.3">
      <c r="A74" s="1378"/>
      <c r="B74" s="635"/>
      <c r="C74" s="634"/>
      <c r="D74" s="629" t="s">
        <v>225</v>
      </c>
      <c r="E74" s="628">
        <v>800</v>
      </c>
      <c r="F74" s="628">
        <f t="shared" si="2"/>
        <v>0</v>
      </c>
      <c r="G74" s="637"/>
      <c r="H74" s="637"/>
      <c r="I74" s="637"/>
      <c r="J74" s="637"/>
      <c r="K74" s="628"/>
      <c r="L74" s="637"/>
      <c r="M74" s="637"/>
      <c r="N74" s="637"/>
      <c r="O74" s="637"/>
      <c r="P74" s="637"/>
      <c r="Q74" s="637"/>
      <c r="R74" s="636"/>
      <c r="S74" s="627"/>
    </row>
    <row r="75" spans="1:19" ht="20.25" x14ac:dyDescent="0.3">
      <c r="A75" s="1378"/>
      <c r="B75" s="635"/>
      <c r="C75" s="634"/>
      <c r="D75" s="629" t="s">
        <v>235</v>
      </c>
      <c r="E75" s="628">
        <v>800</v>
      </c>
      <c r="F75" s="628">
        <f t="shared" si="2"/>
        <v>0</v>
      </c>
      <c r="G75" s="637"/>
      <c r="H75" s="637"/>
      <c r="I75" s="637"/>
      <c r="J75" s="637"/>
      <c r="K75" s="628"/>
      <c r="L75" s="637"/>
      <c r="M75" s="637"/>
      <c r="N75" s="637"/>
      <c r="O75" s="637"/>
      <c r="P75" s="637"/>
      <c r="Q75" s="637"/>
      <c r="R75" s="636"/>
      <c r="S75" s="627"/>
    </row>
    <row r="76" spans="1:19" ht="20.25" x14ac:dyDescent="0.3">
      <c r="A76" s="1378" t="s">
        <v>246</v>
      </c>
      <c r="B76" s="635" t="s">
        <v>293</v>
      </c>
      <c r="C76" s="629" t="s">
        <v>292</v>
      </c>
      <c r="D76" s="629" t="s">
        <v>3</v>
      </c>
      <c r="E76" s="628"/>
      <c r="F76" s="628">
        <f t="shared" si="2"/>
        <v>61100</v>
      </c>
      <c r="G76" s="638"/>
      <c r="H76" s="638"/>
      <c r="I76" s="638">
        <v>1100</v>
      </c>
      <c r="J76" s="638"/>
      <c r="K76" s="628"/>
      <c r="L76" s="638"/>
      <c r="M76" s="638">
        <v>60000</v>
      </c>
      <c r="N76" s="638"/>
      <c r="O76" s="638"/>
      <c r="P76" s="638"/>
      <c r="Q76" s="638"/>
      <c r="R76" s="636"/>
      <c r="S76" s="627"/>
    </row>
    <row r="77" spans="1:19" ht="20.25" x14ac:dyDescent="0.3">
      <c r="A77" s="1378"/>
      <c r="B77" s="635"/>
      <c r="C77" s="629"/>
      <c r="D77" s="629" t="s">
        <v>225</v>
      </c>
      <c r="E77" s="628"/>
      <c r="F77" s="628">
        <f t="shared" si="2"/>
        <v>1100</v>
      </c>
      <c r="G77" s="638"/>
      <c r="H77" s="638"/>
      <c r="I77" s="638">
        <v>1100</v>
      </c>
      <c r="J77" s="638"/>
      <c r="K77" s="628"/>
      <c r="L77" s="638"/>
      <c r="M77" s="638"/>
      <c r="N77" s="638"/>
      <c r="O77" s="638"/>
      <c r="P77" s="638"/>
      <c r="Q77" s="638"/>
      <c r="R77" s="636"/>
      <c r="S77" s="627"/>
    </row>
    <row r="78" spans="1:19" ht="20.25" x14ac:dyDescent="0.3">
      <c r="A78" s="1378"/>
      <c r="B78" s="635"/>
      <c r="C78" s="629"/>
      <c r="D78" s="629" t="s">
        <v>235</v>
      </c>
      <c r="E78" s="628">
        <v>984</v>
      </c>
      <c r="F78" s="628">
        <f t="shared" si="2"/>
        <v>2160</v>
      </c>
      <c r="G78" s="638"/>
      <c r="H78" s="638"/>
      <c r="I78" s="638">
        <v>1600</v>
      </c>
      <c r="J78" s="638"/>
      <c r="K78" s="628"/>
      <c r="L78" s="638"/>
      <c r="M78" s="638"/>
      <c r="N78" s="638"/>
      <c r="O78" s="638">
        <v>560</v>
      </c>
      <c r="P78" s="638"/>
      <c r="Q78" s="638"/>
      <c r="R78" s="636"/>
      <c r="S78" s="627"/>
    </row>
    <row r="79" spans="1:19" ht="20.25" x14ac:dyDescent="0.3">
      <c r="A79" s="1378" t="s">
        <v>246</v>
      </c>
      <c r="B79" s="635" t="s">
        <v>291</v>
      </c>
      <c r="C79" s="634" t="s">
        <v>290</v>
      </c>
      <c r="D79" s="629" t="s">
        <v>3</v>
      </c>
      <c r="E79" s="628"/>
      <c r="F79" s="628">
        <f t="shared" si="2"/>
        <v>57420</v>
      </c>
      <c r="G79" s="637"/>
      <c r="H79" s="637"/>
      <c r="I79" s="637">
        <f>49420-5000</f>
        <v>44420</v>
      </c>
      <c r="J79" s="637"/>
      <c r="K79" s="628"/>
      <c r="L79" s="637"/>
      <c r="M79" s="637">
        <v>3000</v>
      </c>
      <c r="N79" s="637">
        <v>10000</v>
      </c>
      <c r="O79" s="641"/>
      <c r="P79" s="637"/>
      <c r="Q79" s="637"/>
      <c r="R79" s="636"/>
      <c r="S79" s="627"/>
    </row>
    <row r="80" spans="1:19" ht="20.25" x14ac:dyDescent="0.3">
      <c r="A80" s="1378"/>
      <c r="B80" s="635"/>
      <c r="C80" s="634"/>
      <c r="D80" s="629" t="s">
        <v>225</v>
      </c>
      <c r="E80" s="628"/>
      <c r="F80" s="628">
        <f t="shared" si="2"/>
        <v>56038</v>
      </c>
      <c r="G80" s="637"/>
      <c r="H80" s="637"/>
      <c r="I80" s="637">
        <v>45468</v>
      </c>
      <c r="J80" s="637"/>
      <c r="K80" s="628"/>
      <c r="L80" s="637"/>
      <c r="M80" s="637"/>
      <c r="N80" s="637">
        <v>10570</v>
      </c>
      <c r="O80" s="641"/>
      <c r="P80" s="637"/>
      <c r="Q80" s="637"/>
      <c r="R80" s="636"/>
      <c r="S80" s="627"/>
    </row>
    <row r="81" spans="1:19" ht="20.25" x14ac:dyDescent="0.3">
      <c r="A81" s="1378"/>
      <c r="B81" s="635"/>
      <c r="C81" s="634"/>
      <c r="D81" s="629" t="s">
        <v>235</v>
      </c>
      <c r="E81" s="628"/>
      <c r="F81" s="628">
        <f t="shared" si="2"/>
        <v>56038</v>
      </c>
      <c r="G81" s="637"/>
      <c r="H81" s="637"/>
      <c r="I81" s="637">
        <v>45118</v>
      </c>
      <c r="J81" s="637"/>
      <c r="K81" s="628"/>
      <c r="L81" s="637"/>
      <c r="M81" s="637"/>
      <c r="N81" s="637">
        <v>10920</v>
      </c>
      <c r="O81" s="641"/>
      <c r="P81" s="637"/>
      <c r="Q81" s="637"/>
      <c r="R81" s="636"/>
      <c r="S81" s="627"/>
    </row>
    <row r="82" spans="1:19" ht="20.25" x14ac:dyDescent="0.3">
      <c r="A82" s="1378" t="s">
        <v>246</v>
      </c>
      <c r="B82" s="635" t="s">
        <v>288</v>
      </c>
      <c r="C82" s="634" t="s">
        <v>289</v>
      </c>
      <c r="D82" s="629" t="s">
        <v>3</v>
      </c>
      <c r="E82" s="628"/>
      <c r="F82" s="628">
        <f t="shared" si="2"/>
        <v>74895</v>
      </c>
      <c r="G82" s="638"/>
      <c r="H82" s="638"/>
      <c r="I82" s="638">
        <v>74895</v>
      </c>
      <c r="J82" s="638"/>
      <c r="K82" s="628"/>
      <c r="L82" s="638"/>
      <c r="M82" s="638"/>
      <c r="N82" s="638"/>
      <c r="O82" s="638"/>
      <c r="P82" s="638"/>
      <c r="Q82" s="638"/>
      <c r="R82" s="636"/>
      <c r="S82" s="627"/>
    </row>
    <row r="83" spans="1:19" ht="20.25" x14ac:dyDescent="0.3">
      <c r="A83" s="1378"/>
      <c r="B83" s="635"/>
      <c r="C83" s="634"/>
      <c r="D83" s="629" t="s">
        <v>225</v>
      </c>
      <c r="E83" s="628"/>
      <c r="F83" s="628">
        <f t="shared" si="2"/>
        <v>75119</v>
      </c>
      <c r="G83" s="638"/>
      <c r="H83" s="638"/>
      <c r="I83" s="638">
        <v>75119</v>
      </c>
      <c r="J83" s="638"/>
      <c r="K83" s="628"/>
      <c r="L83" s="638"/>
      <c r="M83" s="638"/>
      <c r="N83" s="638"/>
      <c r="O83" s="638"/>
      <c r="P83" s="638"/>
      <c r="Q83" s="638"/>
      <c r="R83" s="636"/>
      <c r="S83" s="627"/>
    </row>
    <row r="84" spans="1:19" ht="20.25" x14ac:dyDescent="0.3">
      <c r="A84" s="1378"/>
      <c r="B84" s="635"/>
      <c r="C84" s="634"/>
      <c r="D84" s="629" t="s">
        <v>235</v>
      </c>
      <c r="E84" s="628"/>
      <c r="F84" s="628">
        <f t="shared" si="2"/>
        <v>75119</v>
      </c>
      <c r="G84" s="638"/>
      <c r="H84" s="638"/>
      <c r="I84" s="638">
        <v>75119</v>
      </c>
      <c r="J84" s="638"/>
      <c r="K84" s="628"/>
      <c r="L84" s="638"/>
      <c r="M84" s="638"/>
      <c r="N84" s="638"/>
      <c r="O84" s="638"/>
      <c r="P84" s="638"/>
      <c r="Q84" s="638"/>
      <c r="R84" s="636"/>
      <c r="S84" s="627"/>
    </row>
    <row r="85" spans="1:19" ht="20.25" x14ac:dyDescent="0.3">
      <c r="A85" s="1378" t="s">
        <v>246</v>
      </c>
      <c r="B85" s="635" t="s">
        <v>288</v>
      </c>
      <c r="C85" s="634" t="s">
        <v>287</v>
      </c>
      <c r="D85" s="629" t="s">
        <v>3</v>
      </c>
      <c r="E85" s="628"/>
      <c r="F85" s="628">
        <f t="shared" si="2"/>
        <v>10300</v>
      </c>
      <c r="G85" s="637"/>
      <c r="H85" s="637"/>
      <c r="I85" s="637">
        <v>5300</v>
      </c>
      <c r="J85" s="637"/>
      <c r="K85" s="628"/>
      <c r="L85" s="637"/>
      <c r="M85" s="637">
        <v>5000</v>
      </c>
      <c r="N85" s="637"/>
      <c r="O85" s="637"/>
      <c r="P85" s="637"/>
      <c r="Q85" s="637"/>
      <c r="R85" s="636"/>
      <c r="S85" s="627"/>
    </row>
    <row r="86" spans="1:19" ht="20.25" x14ac:dyDescent="0.3">
      <c r="A86" s="1378"/>
      <c r="B86" s="635"/>
      <c r="C86" s="634"/>
      <c r="D86" s="629" t="s">
        <v>225</v>
      </c>
      <c r="E86" s="628"/>
      <c r="F86" s="628">
        <f t="shared" si="2"/>
        <v>8175</v>
      </c>
      <c r="G86" s="637"/>
      <c r="H86" s="637"/>
      <c r="I86" s="637">
        <v>5300</v>
      </c>
      <c r="J86" s="637"/>
      <c r="K86" s="628"/>
      <c r="L86" s="637"/>
      <c r="M86" s="637">
        <v>2875</v>
      </c>
      <c r="N86" s="637"/>
      <c r="O86" s="637"/>
      <c r="P86" s="637"/>
      <c r="Q86" s="637"/>
      <c r="R86" s="636"/>
      <c r="S86" s="627"/>
    </row>
    <row r="87" spans="1:19" ht="20.25" x14ac:dyDescent="0.3">
      <c r="A87" s="1378"/>
      <c r="B87" s="635"/>
      <c r="C87" s="634"/>
      <c r="D87" s="629" t="s">
        <v>235</v>
      </c>
      <c r="E87" s="628"/>
      <c r="F87" s="628">
        <f t="shared" si="2"/>
        <v>8175</v>
      </c>
      <c r="G87" s="637"/>
      <c r="H87" s="637"/>
      <c r="I87" s="637">
        <v>5300</v>
      </c>
      <c r="J87" s="637"/>
      <c r="K87" s="628"/>
      <c r="L87" s="637"/>
      <c r="M87" s="637">
        <v>2875</v>
      </c>
      <c r="N87" s="637"/>
      <c r="O87" s="637"/>
      <c r="P87" s="637"/>
      <c r="Q87" s="637"/>
      <c r="R87" s="636"/>
      <c r="S87" s="627"/>
    </row>
    <row r="88" spans="1:19" ht="20.25" x14ac:dyDescent="0.3">
      <c r="A88" s="1378" t="s">
        <v>246</v>
      </c>
      <c r="B88" s="635" t="s">
        <v>284</v>
      </c>
      <c r="C88" s="634" t="s">
        <v>286</v>
      </c>
      <c r="D88" s="629" t="s">
        <v>3</v>
      </c>
      <c r="E88" s="628"/>
      <c r="F88" s="628">
        <f t="shared" si="2"/>
        <v>4000</v>
      </c>
      <c r="G88" s="637"/>
      <c r="H88" s="637"/>
      <c r="I88" s="637">
        <v>4000</v>
      </c>
      <c r="J88" s="637"/>
      <c r="K88" s="628"/>
      <c r="L88" s="637"/>
      <c r="M88" s="637"/>
      <c r="N88" s="637"/>
      <c r="O88" s="637"/>
      <c r="P88" s="637"/>
      <c r="Q88" s="637"/>
      <c r="R88" s="636"/>
      <c r="S88" s="627"/>
    </row>
    <row r="89" spans="1:19" ht="20.25" x14ac:dyDescent="0.3">
      <c r="A89" s="1378"/>
      <c r="B89" s="635"/>
      <c r="C89" s="634"/>
      <c r="D89" s="629" t="s">
        <v>225</v>
      </c>
      <c r="E89" s="628"/>
      <c r="F89" s="628">
        <f t="shared" si="2"/>
        <v>4000</v>
      </c>
      <c r="G89" s="637"/>
      <c r="H89" s="637"/>
      <c r="I89" s="637">
        <v>4000</v>
      </c>
      <c r="J89" s="637"/>
      <c r="K89" s="628"/>
      <c r="L89" s="637"/>
      <c r="M89" s="637"/>
      <c r="N89" s="637"/>
      <c r="O89" s="637"/>
      <c r="P89" s="637"/>
      <c r="Q89" s="637"/>
      <c r="R89" s="636"/>
      <c r="S89" s="627"/>
    </row>
    <row r="90" spans="1:19" ht="20.25" x14ac:dyDescent="0.3">
      <c r="A90" s="1378"/>
      <c r="B90" s="635"/>
      <c r="C90" s="634"/>
      <c r="D90" s="629" t="s">
        <v>235</v>
      </c>
      <c r="E90" s="628"/>
      <c r="F90" s="628">
        <f t="shared" si="2"/>
        <v>4000</v>
      </c>
      <c r="G90" s="637"/>
      <c r="H90" s="637"/>
      <c r="I90" s="637">
        <v>4000</v>
      </c>
      <c r="J90" s="637"/>
      <c r="K90" s="628"/>
      <c r="L90" s="637"/>
      <c r="M90" s="637"/>
      <c r="N90" s="637"/>
      <c r="O90" s="637"/>
      <c r="P90" s="637"/>
      <c r="Q90" s="637"/>
      <c r="R90" s="636"/>
      <c r="S90" s="627"/>
    </row>
    <row r="91" spans="1:19" ht="20.25" x14ac:dyDescent="0.3">
      <c r="A91" s="1378" t="s">
        <v>246</v>
      </c>
      <c r="B91" s="635" t="s">
        <v>284</v>
      </c>
      <c r="C91" s="634" t="s">
        <v>285</v>
      </c>
      <c r="D91" s="629" t="s">
        <v>3</v>
      </c>
      <c r="E91" s="628">
        <v>96</v>
      </c>
      <c r="F91" s="628">
        <f t="shared" si="2"/>
        <v>18487</v>
      </c>
      <c r="G91" s="638">
        <v>1000</v>
      </c>
      <c r="H91" s="638">
        <v>236</v>
      </c>
      <c r="I91" s="638">
        <v>9881</v>
      </c>
      <c r="J91" s="638"/>
      <c r="K91" s="628"/>
      <c r="L91" s="638"/>
      <c r="M91" s="638"/>
      <c r="N91" s="638">
        <v>1370</v>
      </c>
      <c r="O91" s="638">
        <v>6000</v>
      </c>
      <c r="P91" s="638"/>
      <c r="Q91" s="638"/>
      <c r="R91" s="636"/>
      <c r="S91" s="627"/>
    </row>
    <row r="92" spans="1:19" ht="20.25" x14ac:dyDescent="0.3">
      <c r="A92" s="1378"/>
      <c r="B92" s="635"/>
      <c r="C92" s="634"/>
      <c r="D92" s="646" t="s">
        <v>225</v>
      </c>
      <c r="E92" s="628">
        <v>96</v>
      </c>
      <c r="F92" s="628">
        <f t="shared" si="2"/>
        <v>14972</v>
      </c>
      <c r="G92" s="638">
        <v>1000</v>
      </c>
      <c r="H92" s="638">
        <v>236</v>
      </c>
      <c r="I92" s="638">
        <v>11081</v>
      </c>
      <c r="J92" s="638"/>
      <c r="K92" s="628"/>
      <c r="L92" s="638"/>
      <c r="M92" s="638"/>
      <c r="N92" s="638">
        <v>170</v>
      </c>
      <c r="O92" s="638">
        <v>2485</v>
      </c>
      <c r="P92" s="638"/>
      <c r="Q92" s="638"/>
      <c r="R92" s="636"/>
      <c r="S92" s="627"/>
    </row>
    <row r="93" spans="1:19" ht="20.25" x14ac:dyDescent="0.3">
      <c r="A93" s="1378"/>
      <c r="B93" s="635"/>
      <c r="C93" s="634"/>
      <c r="D93" s="629" t="s">
        <v>235</v>
      </c>
      <c r="E93" s="628">
        <v>96</v>
      </c>
      <c r="F93" s="628">
        <f t="shared" si="2"/>
        <v>14972</v>
      </c>
      <c r="G93" s="638">
        <v>1000</v>
      </c>
      <c r="H93" s="638">
        <v>236</v>
      </c>
      <c r="I93" s="638">
        <v>11081</v>
      </c>
      <c r="J93" s="638"/>
      <c r="K93" s="628"/>
      <c r="L93" s="638"/>
      <c r="M93" s="638"/>
      <c r="N93" s="638">
        <v>170</v>
      </c>
      <c r="O93" s="638">
        <v>2485</v>
      </c>
      <c r="P93" s="638"/>
      <c r="Q93" s="638"/>
      <c r="R93" s="636"/>
      <c r="S93" s="627"/>
    </row>
    <row r="94" spans="1:19" ht="20.25" x14ac:dyDescent="0.3">
      <c r="A94" s="1378" t="s">
        <v>246</v>
      </c>
      <c r="B94" s="635" t="s">
        <v>284</v>
      </c>
      <c r="C94" s="634" t="s">
        <v>283</v>
      </c>
      <c r="D94" s="629" t="s">
        <v>3</v>
      </c>
      <c r="E94" s="628">
        <v>0</v>
      </c>
      <c r="F94" s="628">
        <f t="shared" si="2"/>
        <v>310320</v>
      </c>
      <c r="G94" s="637"/>
      <c r="H94" s="637"/>
      <c r="I94" s="637">
        <v>44200</v>
      </c>
      <c r="J94" s="637">
        <v>186620</v>
      </c>
      <c r="K94" s="628"/>
      <c r="L94" s="637"/>
      <c r="M94" s="637">
        <v>70000</v>
      </c>
      <c r="N94" s="637">
        <v>9500</v>
      </c>
      <c r="O94" s="641"/>
      <c r="P94" s="637"/>
      <c r="Q94" s="637"/>
      <c r="R94" s="636"/>
      <c r="S94" s="627"/>
    </row>
    <row r="95" spans="1:19" ht="20.25" x14ac:dyDescent="0.3">
      <c r="A95" s="1378"/>
      <c r="B95" s="635"/>
      <c r="C95" s="634"/>
      <c r="D95" s="629" t="s">
        <v>225</v>
      </c>
      <c r="E95" s="628">
        <v>1262965</v>
      </c>
      <c r="F95" s="628">
        <f t="shared" si="2"/>
        <v>1777825</v>
      </c>
      <c r="G95" s="638">
        <v>23824</v>
      </c>
      <c r="H95" s="638">
        <v>6401</v>
      </c>
      <c r="I95" s="638">
        <v>166740</v>
      </c>
      <c r="J95" s="638">
        <v>187620</v>
      </c>
      <c r="K95" s="638"/>
      <c r="L95" s="638"/>
      <c r="M95" s="638">
        <v>252610</v>
      </c>
      <c r="N95" s="638">
        <v>1140630</v>
      </c>
      <c r="O95" s="638"/>
      <c r="P95" s="628"/>
      <c r="Q95" s="638"/>
      <c r="R95" s="638"/>
      <c r="S95" s="639"/>
    </row>
    <row r="96" spans="1:19" ht="20.25" x14ac:dyDescent="0.3">
      <c r="A96" s="1378"/>
      <c r="B96" s="635"/>
      <c r="C96" s="634"/>
      <c r="D96" s="629" t="s">
        <v>235</v>
      </c>
      <c r="E96" s="628">
        <v>1443192</v>
      </c>
      <c r="F96" s="628">
        <f t="shared" si="2"/>
        <v>1952543</v>
      </c>
      <c r="G96" s="638">
        <v>23824</v>
      </c>
      <c r="H96" s="638">
        <v>6401</v>
      </c>
      <c r="I96" s="638">
        <v>220165</v>
      </c>
      <c r="J96" s="638">
        <v>187620</v>
      </c>
      <c r="K96" s="638"/>
      <c r="L96" s="638"/>
      <c r="M96" s="638">
        <v>235168</v>
      </c>
      <c r="N96" s="638">
        <v>1279365</v>
      </c>
      <c r="O96" s="638"/>
      <c r="P96" s="628"/>
      <c r="Q96" s="638"/>
      <c r="R96" s="638"/>
      <c r="S96" s="639"/>
    </row>
    <row r="97" spans="1:19" ht="20.25" x14ac:dyDescent="0.3">
      <c r="A97" s="1378" t="s">
        <v>262</v>
      </c>
      <c r="B97" s="635" t="s">
        <v>282</v>
      </c>
      <c r="C97" s="634" t="s">
        <v>281</v>
      </c>
      <c r="D97" s="629" t="s">
        <v>3</v>
      </c>
      <c r="E97" s="628"/>
      <c r="F97" s="628">
        <f t="shared" si="2"/>
        <v>0</v>
      </c>
      <c r="G97" s="637"/>
      <c r="H97" s="637"/>
      <c r="I97" s="637"/>
      <c r="J97" s="637"/>
      <c r="K97" s="628"/>
      <c r="L97" s="637"/>
      <c r="M97" s="637"/>
      <c r="N97" s="637"/>
      <c r="O97" s="641"/>
      <c r="P97" s="637"/>
      <c r="Q97" s="637"/>
      <c r="R97" s="636"/>
      <c r="S97" s="627"/>
    </row>
    <row r="98" spans="1:19" ht="20.25" x14ac:dyDescent="0.3">
      <c r="A98" s="1378"/>
      <c r="B98" s="635"/>
      <c r="C98" s="634"/>
      <c r="D98" s="629" t="s">
        <v>225</v>
      </c>
      <c r="E98" s="628"/>
      <c r="F98" s="628">
        <f t="shared" si="2"/>
        <v>0</v>
      </c>
      <c r="G98" s="637"/>
      <c r="H98" s="637"/>
      <c r="I98" s="637"/>
      <c r="J98" s="637"/>
      <c r="K98" s="628"/>
      <c r="L98" s="637"/>
      <c r="M98" s="637"/>
      <c r="N98" s="637"/>
      <c r="O98" s="641"/>
      <c r="P98" s="637"/>
      <c r="Q98" s="637"/>
      <c r="R98" s="636"/>
      <c r="S98" s="627"/>
    </row>
    <row r="99" spans="1:19" ht="20.25" x14ac:dyDescent="0.3">
      <c r="A99" s="1378"/>
      <c r="B99" s="635"/>
      <c r="C99" s="634"/>
      <c r="D99" s="629" t="s">
        <v>235</v>
      </c>
      <c r="E99" s="628"/>
      <c r="F99" s="628">
        <f t="shared" si="2"/>
        <v>0</v>
      </c>
      <c r="G99" s="637"/>
      <c r="H99" s="637"/>
      <c r="I99" s="637"/>
      <c r="J99" s="637"/>
      <c r="K99" s="628"/>
      <c r="L99" s="637"/>
      <c r="M99" s="637"/>
      <c r="N99" s="637"/>
      <c r="O99" s="641"/>
      <c r="P99" s="637"/>
      <c r="Q99" s="637"/>
      <c r="R99" s="636"/>
      <c r="S99" s="627"/>
    </row>
    <row r="100" spans="1:19" ht="20.25" x14ac:dyDescent="0.3">
      <c r="A100" s="1378" t="s">
        <v>262</v>
      </c>
      <c r="B100" s="635" t="s">
        <v>280</v>
      </c>
      <c r="C100" s="634" t="s">
        <v>279</v>
      </c>
      <c r="D100" s="629" t="s">
        <v>3</v>
      </c>
      <c r="E100" s="628">
        <v>254</v>
      </c>
      <c r="F100" s="628">
        <f t="shared" si="2"/>
        <v>8087</v>
      </c>
      <c r="G100" s="637">
        <v>3500</v>
      </c>
      <c r="H100" s="637">
        <v>1817</v>
      </c>
      <c r="I100" s="637">
        <v>2770</v>
      </c>
      <c r="J100" s="637"/>
      <c r="K100" s="628"/>
      <c r="L100" s="637"/>
      <c r="M100" s="637"/>
      <c r="N100" s="637"/>
      <c r="O100" s="637"/>
      <c r="P100" s="637"/>
      <c r="Q100" s="637"/>
      <c r="R100" s="636"/>
      <c r="S100" s="627"/>
    </row>
    <row r="101" spans="1:19" ht="20.25" x14ac:dyDescent="0.3">
      <c r="A101" s="1378"/>
      <c r="B101" s="635"/>
      <c r="C101" s="634"/>
      <c r="D101" s="629" t="s">
        <v>225</v>
      </c>
      <c r="E101" s="628">
        <v>254</v>
      </c>
      <c r="F101" s="628">
        <f t="shared" si="2"/>
        <v>10044</v>
      </c>
      <c r="G101" s="637">
        <f>3500+2300</f>
        <v>5800</v>
      </c>
      <c r="H101" s="637">
        <f>1817+357</f>
        <v>2174</v>
      </c>
      <c r="I101" s="637">
        <f>2770-700</f>
        <v>2070</v>
      </c>
      <c r="J101" s="637"/>
      <c r="K101" s="628"/>
      <c r="L101" s="637"/>
      <c r="M101" s="637"/>
      <c r="N101" s="637"/>
      <c r="O101" s="637"/>
      <c r="P101" s="637"/>
      <c r="Q101" s="637"/>
      <c r="R101" s="636"/>
      <c r="S101" s="627"/>
    </row>
    <row r="102" spans="1:19" ht="20.25" x14ac:dyDescent="0.3">
      <c r="A102" s="1378"/>
      <c r="B102" s="635"/>
      <c r="C102" s="634"/>
      <c r="D102" s="629" t="s">
        <v>235</v>
      </c>
      <c r="E102" s="628">
        <v>254</v>
      </c>
      <c r="F102" s="628">
        <f t="shared" si="2"/>
        <v>10044</v>
      </c>
      <c r="G102" s="637">
        <v>5800</v>
      </c>
      <c r="H102" s="637">
        <v>2174</v>
      </c>
      <c r="I102" s="637">
        <v>2070</v>
      </c>
      <c r="J102" s="637"/>
      <c r="K102" s="628"/>
      <c r="L102" s="637"/>
      <c r="M102" s="637"/>
      <c r="N102" s="637"/>
      <c r="O102" s="637"/>
      <c r="P102" s="637"/>
      <c r="Q102" s="637"/>
      <c r="R102" s="636"/>
      <c r="S102" s="627"/>
    </row>
    <row r="103" spans="1:19" ht="20.25" x14ac:dyDescent="0.3">
      <c r="A103" s="1378" t="s">
        <v>262</v>
      </c>
      <c r="B103" s="635" t="s">
        <v>278</v>
      </c>
      <c r="C103" s="634" t="s">
        <v>277</v>
      </c>
      <c r="D103" s="629" t="s">
        <v>3</v>
      </c>
      <c r="E103" s="628"/>
      <c r="F103" s="628">
        <f t="shared" ref="F103:F129" si="3">SUM(G103:S103)</f>
        <v>2000</v>
      </c>
      <c r="G103" s="637"/>
      <c r="H103" s="637"/>
      <c r="I103" s="637">
        <v>1500</v>
      </c>
      <c r="J103" s="637"/>
      <c r="K103" s="628"/>
      <c r="L103" s="637"/>
      <c r="M103" s="637"/>
      <c r="N103" s="637">
        <v>500</v>
      </c>
      <c r="O103" s="641"/>
      <c r="P103" s="637"/>
      <c r="Q103" s="637"/>
      <c r="R103" s="636"/>
      <c r="S103" s="627"/>
    </row>
    <row r="104" spans="1:19" ht="20.25" x14ac:dyDescent="0.3">
      <c r="A104" s="1378"/>
      <c r="B104" s="635"/>
      <c r="C104" s="634"/>
      <c r="D104" s="629" t="s">
        <v>225</v>
      </c>
      <c r="E104" s="628"/>
      <c r="F104" s="628">
        <f t="shared" si="3"/>
        <v>2000</v>
      </c>
      <c r="G104" s="637"/>
      <c r="H104" s="637"/>
      <c r="I104" s="637">
        <v>1500</v>
      </c>
      <c r="J104" s="637"/>
      <c r="K104" s="628"/>
      <c r="L104" s="637"/>
      <c r="M104" s="637"/>
      <c r="N104" s="637">
        <v>500</v>
      </c>
      <c r="O104" s="641"/>
      <c r="P104" s="637"/>
      <c r="Q104" s="637"/>
      <c r="R104" s="636"/>
      <c r="S104" s="627"/>
    </row>
    <row r="105" spans="1:19" ht="20.25" x14ac:dyDescent="0.3">
      <c r="A105" s="1378"/>
      <c r="B105" s="635"/>
      <c r="C105" s="634"/>
      <c r="D105" s="629" t="s">
        <v>235</v>
      </c>
      <c r="E105" s="628"/>
      <c r="F105" s="628">
        <f t="shared" si="3"/>
        <v>2000</v>
      </c>
      <c r="G105" s="637"/>
      <c r="H105" s="637"/>
      <c r="I105" s="637">
        <v>1500</v>
      </c>
      <c r="J105" s="637"/>
      <c r="K105" s="628"/>
      <c r="L105" s="637"/>
      <c r="M105" s="637"/>
      <c r="N105" s="637">
        <v>500</v>
      </c>
      <c r="O105" s="641"/>
      <c r="P105" s="637"/>
      <c r="Q105" s="637"/>
      <c r="R105" s="636"/>
      <c r="S105" s="627"/>
    </row>
    <row r="106" spans="1:19" ht="20.25" x14ac:dyDescent="0.3">
      <c r="A106" s="1378" t="s">
        <v>246</v>
      </c>
      <c r="B106" s="635" t="s">
        <v>276</v>
      </c>
      <c r="C106" s="634" t="s">
        <v>275</v>
      </c>
      <c r="D106" s="629" t="s">
        <v>3</v>
      </c>
      <c r="E106" s="628"/>
      <c r="F106" s="628">
        <f t="shared" si="3"/>
        <v>140310</v>
      </c>
      <c r="G106" s="637"/>
      <c r="H106" s="637"/>
      <c r="I106" s="637">
        <f>2500-2500</f>
        <v>0</v>
      </c>
      <c r="J106" s="637">
        <v>140310</v>
      </c>
      <c r="K106" s="638"/>
      <c r="L106" s="637"/>
      <c r="M106" s="637"/>
      <c r="N106" s="637"/>
      <c r="O106" s="637"/>
      <c r="P106" s="637"/>
      <c r="Q106" s="637"/>
      <c r="R106" s="636"/>
      <c r="S106" s="627"/>
    </row>
    <row r="107" spans="1:19" ht="20.25" x14ac:dyDescent="0.3">
      <c r="A107" s="1378"/>
      <c r="B107" s="635"/>
      <c r="C107" s="634"/>
      <c r="D107" s="629" t="s">
        <v>225</v>
      </c>
      <c r="E107" s="628"/>
      <c r="F107" s="628">
        <f t="shared" si="3"/>
        <v>157710</v>
      </c>
      <c r="G107" s="628"/>
      <c r="H107" s="628"/>
      <c r="I107" s="628"/>
      <c r="J107" s="638">
        <v>157710</v>
      </c>
      <c r="K107" s="638"/>
      <c r="L107" s="638"/>
      <c r="M107" s="638"/>
      <c r="N107" s="628"/>
      <c r="O107" s="628"/>
      <c r="P107" s="628"/>
      <c r="Q107" s="638"/>
      <c r="R107" s="638"/>
      <c r="S107" s="639"/>
    </row>
    <row r="108" spans="1:19" ht="20.25" x14ac:dyDescent="0.3">
      <c r="A108" s="1378"/>
      <c r="B108" s="635"/>
      <c r="C108" s="634"/>
      <c r="D108" s="629" t="s">
        <v>235</v>
      </c>
      <c r="E108" s="628"/>
      <c r="F108" s="628">
        <f t="shared" si="3"/>
        <v>157710</v>
      </c>
      <c r="G108" s="628"/>
      <c r="H108" s="628"/>
      <c r="I108" s="638">
        <v>13000</v>
      </c>
      <c r="J108" s="638">
        <v>144710</v>
      </c>
      <c r="K108" s="638"/>
      <c r="L108" s="638"/>
      <c r="M108" s="638"/>
      <c r="N108" s="628"/>
      <c r="O108" s="628"/>
      <c r="P108" s="628"/>
      <c r="Q108" s="638"/>
      <c r="R108" s="638"/>
      <c r="S108" s="639"/>
    </row>
    <row r="109" spans="1:19" ht="20.25" x14ac:dyDescent="0.3">
      <c r="A109" s="1378" t="s">
        <v>262</v>
      </c>
      <c r="B109" s="635" t="s">
        <v>274</v>
      </c>
      <c r="C109" s="634" t="s">
        <v>273</v>
      </c>
      <c r="D109" s="629" t="s">
        <v>3</v>
      </c>
      <c r="E109" s="628"/>
      <c r="F109" s="628">
        <f t="shared" si="3"/>
        <v>0</v>
      </c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6"/>
      <c r="S109" s="627"/>
    </row>
    <row r="110" spans="1:19" ht="20.25" x14ac:dyDescent="0.3">
      <c r="A110" s="1378"/>
      <c r="B110" s="635"/>
      <c r="C110" s="634"/>
      <c r="D110" s="629" t="s">
        <v>225</v>
      </c>
      <c r="E110" s="628"/>
      <c r="F110" s="628">
        <f t="shared" si="3"/>
        <v>0</v>
      </c>
      <c r="G110" s="638"/>
      <c r="H110" s="638"/>
      <c r="I110" s="638"/>
      <c r="J110" s="638"/>
      <c r="K110" s="628"/>
      <c r="L110" s="628"/>
      <c r="M110" s="638"/>
      <c r="N110" s="638"/>
      <c r="O110" s="638"/>
      <c r="P110" s="638"/>
      <c r="Q110" s="638"/>
      <c r="R110" s="636"/>
      <c r="S110" s="627"/>
    </row>
    <row r="111" spans="1:19" ht="20.25" x14ac:dyDescent="0.3">
      <c r="A111" s="1378"/>
      <c r="B111" s="635"/>
      <c r="C111" s="634"/>
      <c r="D111" s="629" t="s">
        <v>235</v>
      </c>
      <c r="E111" s="628"/>
      <c r="F111" s="628">
        <f t="shared" si="3"/>
        <v>0</v>
      </c>
      <c r="G111" s="638"/>
      <c r="H111" s="638"/>
      <c r="I111" s="638"/>
      <c r="J111" s="638"/>
      <c r="K111" s="628"/>
      <c r="L111" s="628"/>
      <c r="M111" s="638"/>
      <c r="N111" s="638"/>
      <c r="O111" s="638"/>
      <c r="P111" s="638"/>
      <c r="Q111" s="638"/>
      <c r="R111" s="636"/>
      <c r="S111" s="627"/>
    </row>
    <row r="112" spans="1:19" ht="20.25" x14ac:dyDescent="0.3">
      <c r="A112" s="1378" t="s">
        <v>262</v>
      </c>
      <c r="B112" s="645" t="s">
        <v>272</v>
      </c>
      <c r="C112" s="644" t="s">
        <v>271</v>
      </c>
      <c r="D112" s="629" t="s">
        <v>3</v>
      </c>
      <c r="E112" s="628"/>
      <c r="F112" s="628">
        <f t="shared" si="3"/>
        <v>24430</v>
      </c>
      <c r="G112" s="637">
        <v>900</v>
      </c>
      <c r="H112" s="637">
        <v>200</v>
      </c>
      <c r="I112" s="637">
        <v>22830</v>
      </c>
      <c r="J112" s="637"/>
      <c r="K112" s="628"/>
      <c r="L112" s="637"/>
      <c r="M112" s="637"/>
      <c r="N112" s="637">
        <v>500</v>
      </c>
      <c r="O112" s="637"/>
      <c r="P112" s="637"/>
      <c r="Q112" s="637"/>
      <c r="R112" s="636"/>
      <c r="S112" s="627"/>
    </row>
    <row r="113" spans="1:19" ht="20.25" x14ac:dyDescent="0.3">
      <c r="A113" s="1378"/>
      <c r="B113" s="645"/>
      <c r="C113" s="644"/>
      <c r="D113" s="629" t="s">
        <v>225</v>
      </c>
      <c r="E113" s="628"/>
      <c r="F113" s="628">
        <f t="shared" si="3"/>
        <v>7984</v>
      </c>
      <c r="G113" s="637">
        <v>900</v>
      </c>
      <c r="H113" s="637">
        <v>200</v>
      </c>
      <c r="I113" s="637">
        <v>6384</v>
      </c>
      <c r="J113" s="637"/>
      <c r="K113" s="637"/>
      <c r="L113" s="637"/>
      <c r="M113" s="637"/>
      <c r="N113" s="637">
        <v>500</v>
      </c>
      <c r="O113" s="637"/>
      <c r="P113" s="637"/>
      <c r="Q113" s="637"/>
      <c r="R113" s="637"/>
      <c r="S113" s="643"/>
    </row>
    <row r="114" spans="1:19" ht="20.25" x14ac:dyDescent="0.3">
      <c r="A114" s="1378"/>
      <c r="B114" s="645"/>
      <c r="C114" s="644"/>
      <c r="D114" s="629" t="s">
        <v>235</v>
      </c>
      <c r="E114" s="628"/>
      <c r="F114" s="628">
        <f t="shared" si="3"/>
        <v>7984</v>
      </c>
      <c r="G114" s="637">
        <v>900</v>
      </c>
      <c r="H114" s="637">
        <v>200</v>
      </c>
      <c r="I114" s="637">
        <v>6384</v>
      </c>
      <c r="J114" s="637"/>
      <c r="K114" s="637"/>
      <c r="L114" s="637"/>
      <c r="M114" s="637"/>
      <c r="N114" s="637">
        <v>500</v>
      </c>
      <c r="O114" s="637"/>
      <c r="P114" s="637"/>
      <c r="Q114" s="637"/>
      <c r="R114" s="637"/>
      <c r="S114" s="643"/>
    </row>
    <row r="115" spans="1:19" ht="20.25" x14ac:dyDescent="0.3">
      <c r="A115" s="1378" t="s">
        <v>262</v>
      </c>
      <c r="B115" s="635" t="s">
        <v>270</v>
      </c>
      <c r="C115" s="634" t="s">
        <v>269</v>
      </c>
      <c r="D115" s="629" t="s">
        <v>3</v>
      </c>
      <c r="E115" s="628">
        <v>9130</v>
      </c>
      <c r="F115" s="628">
        <f t="shared" si="3"/>
        <v>215139</v>
      </c>
      <c r="G115" s="638"/>
      <c r="H115" s="638"/>
      <c r="I115" s="638"/>
      <c r="J115" s="638">
        <v>205525</v>
      </c>
      <c r="K115" s="628"/>
      <c r="L115" s="638"/>
      <c r="M115" s="638"/>
      <c r="N115" s="638"/>
      <c r="O115" s="638">
        <v>9614</v>
      </c>
      <c r="P115" s="638"/>
      <c r="Q115" s="638"/>
      <c r="R115" s="636"/>
      <c r="S115" s="627"/>
    </row>
    <row r="116" spans="1:19" ht="20.25" x14ac:dyDescent="0.3">
      <c r="A116" s="1378"/>
      <c r="B116" s="635"/>
      <c r="C116" s="634"/>
      <c r="D116" s="629" t="s">
        <v>225</v>
      </c>
      <c r="E116" s="628">
        <v>9130</v>
      </c>
      <c r="F116" s="628">
        <f t="shared" si="3"/>
        <v>212877</v>
      </c>
      <c r="G116" s="638"/>
      <c r="H116" s="638"/>
      <c r="I116" s="638"/>
      <c r="J116" s="638">
        <v>203163</v>
      </c>
      <c r="K116" s="638"/>
      <c r="L116" s="638"/>
      <c r="M116" s="638"/>
      <c r="N116" s="638"/>
      <c r="O116" s="638">
        <v>9714</v>
      </c>
      <c r="P116" s="638"/>
      <c r="Q116" s="638"/>
      <c r="R116" s="638"/>
      <c r="S116" s="639"/>
    </row>
    <row r="117" spans="1:19" ht="20.25" x14ac:dyDescent="0.3">
      <c r="A117" s="1378"/>
      <c r="B117" s="635"/>
      <c r="C117" s="634"/>
      <c r="D117" s="629" t="s">
        <v>235</v>
      </c>
      <c r="E117" s="628">
        <v>9130</v>
      </c>
      <c r="F117" s="628">
        <f t="shared" si="3"/>
        <v>212867</v>
      </c>
      <c r="G117" s="638"/>
      <c r="H117" s="638"/>
      <c r="I117" s="638"/>
      <c r="J117" s="638">
        <v>202114</v>
      </c>
      <c r="K117" s="638"/>
      <c r="L117" s="638"/>
      <c r="M117" s="638"/>
      <c r="N117" s="638"/>
      <c r="O117" s="638">
        <v>10753</v>
      </c>
      <c r="P117" s="638"/>
      <c r="Q117" s="638"/>
      <c r="R117" s="638"/>
      <c r="S117" s="639"/>
    </row>
    <row r="118" spans="1:19" ht="20.25" x14ac:dyDescent="0.3">
      <c r="A118" s="1378" t="s">
        <v>262</v>
      </c>
      <c r="B118" s="635" t="s">
        <v>268</v>
      </c>
      <c r="C118" s="642" t="s">
        <v>267</v>
      </c>
      <c r="D118" s="629" t="s">
        <v>3</v>
      </c>
      <c r="E118" s="628">
        <v>366</v>
      </c>
      <c r="F118" s="628">
        <f t="shared" si="3"/>
        <v>19445</v>
      </c>
      <c r="G118" s="637">
        <v>150</v>
      </c>
      <c r="H118" s="637">
        <v>75</v>
      </c>
      <c r="I118" s="637">
        <v>14020</v>
      </c>
      <c r="J118" s="637">
        <v>5200</v>
      </c>
      <c r="K118" s="628"/>
      <c r="L118" s="637"/>
      <c r="M118" s="637"/>
      <c r="N118" s="637"/>
      <c r="O118" s="637"/>
      <c r="P118" s="637"/>
      <c r="Q118" s="637"/>
      <c r="R118" s="636"/>
      <c r="S118" s="627"/>
    </row>
    <row r="119" spans="1:19" ht="20.25" x14ac:dyDescent="0.3">
      <c r="A119" s="1378"/>
      <c r="B119" s="635"/>
      <c r="C119" s="642"/>
      <c r="D119" s="629" t="s">
        <v>225</v>
      </c>
      <c r="E119" s="628">
        <v>442</v>
      </c>
      <c r="F119" s="628">
        <f t="shared" si="3"/>
        <v>13013</v>
      </c>
      <c r="G119" s="637">
        <f>150+1800</f>
        <v>1950</v>
      </c>
      <c r="H119" s="637">
        <f>75+357</f>
        <v>432</v>
      </c>
      <c r="I119" s="637">
        <v>5871</v>
      </c>
      <c r="J119" s="637">
        <f>5200-440</f>
        <v>4760</v>
      </c>
      <c r="K119" s="628"/>
      <c r="L119" s="637"/>
      <c r="M119" s="637"/>
      <c r="N119" s="637"/>
      <c r="O119" s="637"/>
      <c r="P119" s="637"/>
      <c r="Q119" s="637"/>
      <c r="R119" s="636"/>
      <c r="S119" s="627"/>
    </row>
    <row r="120" spans="1:19" ht="20.25" x14ac:dyDescent="0.3">
      <c r="A120" s="1378"/>
      <c r="B120" s="635"/>
      <c r="C120" s="642"/>
      <c r="D120" s="629" t="s">
        <v>235</v>
      </c>
      <c r="E120" s="628">
        <v>519</v>
      </c>
      <c r="F120" s="628">
        <f t="shared" si="3"/>
        <v>13476</v>
      </c>
      <c r="G120" s="637">
        <v>2950</v>
      </c>
      <c r="H120" s="637">
        <v>868</v>
      </c>
      <c r="I120" s="637">
        <v>6222</v>
      </c>
      <c r="J120" s="637">
        <v>3324</v>
      </c>
      <c r="K120" s="628"/>
      <c r="L120" s="637"/>
      <c r="M120" s="637"/>
      <c r="N120" s="637">
        <v>112</v>
      </c>
      <c r="O120" s="637"/>
      <c r="P120" s="637"/>
      <c r="Q120" s="637"/>
      <c r="R120" s="636"/>
      <c r="S120" s="627"/>
    </row>
    <row r="121" spans="1:19" ht="20.25" x14ac:dyDescent="0.3">
      <c r="A121" s="1378" t="s">
        <v>262</v>
      </c>
      <c r="B121" s="635" t="s">
        <v>266</v>
      </c>
      <c r="C121" s="634" t="s">
        <v>265</v>
      </c>
      <c r="D121" s="629" t="s">
        <v>3</v>
      </c>
      <c r="E121" s="628"/>
      <c r="F121" s="628">
        <f t="shared" si="3"/>
        <v>27000</v>
      </c>
      <c r="G121" s="637">
        <v>9000</v>
      </c>
      <c r="H121" s="637">
        <v>4500</v>
      </c>
      <c r="I121" s="637">
        <v>13500</v>
      </c>
      <c r="J121" s="637"/>
      <c r="K121" s="628"/>
      <c r="L121" s="637"/>
      <c r="M121" s="637"/>
      <c r="N121" s="637"/>
      <c r="O121" s="637"/>
      <c r="P121" s="637"/>
      <c r="Q121" s="637"/>
      <c r="R121" s="636"/>
      <c r="S121" s="627"/>
    </row>
    <row r="122" spans="1:19" ht="20.25" x14ac:dyDescent="0.3">
      <c r="A122" s="1378"/>
      <c r="B122" s="635"/>
      <c r="C122" s="634"/>
      <c r="D122" s="629" t="s">
        <v>225</v>
      </c>
      <c r="E122" s="628"/>
      <c r="F122" s="628">
        <f t="shared" si="3"/>
        <v>20615</v>
      </c>
      <c r="G122" s="637">
        <v>9000</v>
      </c>
      <c r="H122" s="637">
        <v>4500</v>
      </c>
      <c r="I122" s="637">
        <f>13500-6385</f>
        <v>7115</v>
      </c>
      <c r="J122" s="637"/>
      <c r="K122" s="628"/>
      <c r="L122" s="637"/>
      <c r="M122" s="637"/>
      <c r="N122" s="637"/>
      <c r="O122" s="637"/>
      <c r="P122" s="637"/>
      <c r="Q122" s="637"/>
      <c r="R122" s="636"/>
      <c r="S122" s="627"/>
    </row>
    <row r="123" spans="1:19" ht="20.25" x14ac:dyDescent="0.3">
      <c r="A123" s="1378"/>
      <c r="B123" s="635"/>
      <c r="C123" s="634"/>
      <c r="D123" s="629" t="s">
        <v>235</v>
      </c>
      <c r="E123" s="628">
        <v>2150</v>
      </c>
      <c r="F123" s="628">
        <f t="shared" si="3"/>
        <v>22765</v>
      </c>
      <c r="G123" s="637">
        <v>10079</v>
      </c>
      <c r="H123" s="637">
        <v>4971</v>
      </c>
      <c r="I123" s="637">
        <v>7715</v>
      </c>
      <c r="J123" s="637"/>
      <c r="K123" s="628"/>
      <c r="L123" s="637"/>
      <c r="M123" s="637"/>
      <c r="N123" s="637"/>
      <c r="O123" s="637"/>
      <c r="P123" s="637"/>
      <c r="Q123" s="637"/>
      <c r="R123" s="636"/>
      <c r="S123" s="627"/>
    </row>
    <row r="124" spans="1:19" ht="20.25" x14ac:dyDescent="0.3">
      <c r="A124" s="1378" t="s">
        <v>262</v>
      </c>
      <c r="B124" s="635" t="s">
        <v>264</v>
      </c>
      <c r="C124" s="634" t="s">
        <v>263</v>
      </c>
      <c r="D124" s="629" t="s">
        <v>3</v>
      </c>
      <c r="E124" s="628"/>
      <c r="F124" s="628">
        <f t="shared" si="3"/>
        <v>2000</v>
      </c>
      <c r="G124" s="637"/>
      <c r="H124" s="637"/>
      <c r="I124" s="637">
        <f>4000-2000</f>
        <v>2000</v>
      </c>
      <c r="J124" s="637"/>
      <c r="K124" s="628"/>
      <c r="L124" s="637"/>
      <c r="M124" s="637"/>
      <c r="N124" s="637"/>
      <c r="O124" s="641"/>
      <c r="P124" s="637"/>
      <c r="Q124" s="637"/>
      <c r="R124" s="636"/>
      <c r="S124" s="627"/>
    </row>
    <row r="125" spans="1:19" ht="20.25" x14ac:dyDescent="0.3">
      <c r="A125" s="1378"/>
      <c r="B125" s="635"/>
      <c r="C125" s="634"/>
      <c r="D125" s="629" t="s">
        <v>225</v>
      </c>
      <c r="E125" s="628"/>
      <c r="F125" s="628">
        <f t="shared" si="3"/>
        <v>4000</v>
      </c>
      <c r="G125" s="637"/>
      <c r="H125" s="637"/>
      <c r="I125" s="637">
        <v>4000</v>
      </c>
      <c r="J125" s="637"/>
      <c r="K125" s="628"/>
      <c r="L125" s="637"/>
      <c r="M125" s="637"/>
      <c r="N125" s="637"/>
      <c r="O125" s="641"/>
      <c r="P125" s="637"/>
      <c r="Q125" s="637"/>
      <c r="R125" s="636"/>
      <c r="S125" s="627"/>
    </row>
    <row r="126" spans="1:19" ht="20.25" x14ac:dyDescent="0.3">
      <c r="A126" s="1378"/>
      <c r="B126" s="635"/>
      <c r="C126" s="634"/>
      <c r="D126" s="629" t="s">
        <v>235</v>
      </c>
      <c r="E126" s="628"/>
      <c r="F126" s="628">
        <f t="shared" si="3"/>
        <v>4000</v>
      </c>
      <c r="G126" s="637"/>
      <c r="H126" s="637"/>
      <c r="I126" s="637">
        <v>4000</v>
      </c>
      <c r="J126" s="637"/>
      <c r="K126" s="628"/>
      <c r="L126" s="637"/>
      <c r="M126" s="637"/>
      <c r="N126" s="637"/>
      <c r="O126" s="641"/>
      <c r="P126" s="637"/>
      <c r="Q126" s="637"/>
      <c r="R126" s="636"/>
      <c r="S126" s="627"/>
    </row>
    <row r="127" spans="1:19" ht="20.25" x14ac:dyDescent="0.3">
      <c r="A127" s="1378" t="s">
        <v>262</v>
      </c>
      <c r="B127" s="635" t="s">
        <v>261</v>
      </c>
      <c r="C127" s="634" t="s">
        <v>260</v>
      </c>
      <c r="D127" s="629" t="s">
        <v>3</v>
      </c>
      <c r="E127" s="628"/>
      <c r="F127" s="628">
        <f t="shared" si="3"/>
        <v>5900</v>
      </c>
      <c r="G127" s="637"/>
      <c r="H127" s="637"/>
      <c r="I127" s="637"/>
      <c r="J127" s="637"/>
      <c r="K127" s="637">
        <v>5900</v>
      </c>
      <c r="L127" s="637"/>
      <c r="M127" s="637"/>
      <c r="N127" s="637"/>
      <c r="O127" s="637"/>
      <c r="P127" s="637"/>
      <c r="Q127" s="637"/>
      <c r="R127" s="636"/>
      <c r="S127" s="627"/>
    </row>
    <row r="128" spans="1:19" ht="20.25" x14ac:dyDescent="0.3">
      <c r="A128" s="1378"/>
      <c r="B128" s="635"/>
      <c r="C128" s="634"/>
      <c r="D128" s="629" t="s">
        <v>225</v>
      </c>
      <c r="E128" s="628"/>
      <c r="F128" s="628">
        <f t="shared" si="3"/>
        <v>5900</v>
      </c>
      <c r="G128" s="637"/>
      <c r="H128" s="637"/>
      <c r="I128" s="637"/>
      <c r="J128" s="637"/>
      <c r="K128" s="637">
        <v>5900</v>
      </c>
      <c r="L128" s="637"/>
      <c r="M128" s="637"/>
      <c r="N128" s="637"/>
      <c r="O128" s="637"/>
      <c r="P128" s="637"/>
      <c r="Q128" s="637"/>
      <c r="R128" s="636"/>
      <c r="S128" s="627"/>
    </row>
    <row r="129" spans="1:19" ht="20.25" x14ac:dyDescent="0.3">
      <c r="A129" s="1378"/>
      <c r="B129" s="635"/>
      <c r="C129" s="634"/>
      <c r="D129" s="629" t="s">
        <v>235</v>
      </c>
      <c r="E129" s="628"/>
      <c r="F129" s="628">
        <f t="shared" si="3"/>
        <v>5900</v>
      </c>
      <c r="G129" s="637"/>
      <c r="H129" s="637"/>
      <c r="I129" s="637"/>
      <c r="J129" s="637"/>
      <c r="K129" s="637">
        <v>5900</v>
      </c>
      <c r="L129" s="637"/>
      <c r="M129" s="637"/>
      <c r="N129" s="637"/>
      <c r="O129" s="637"/>
      <c r="P129" s="637"/>
      <c r="Q129" s="637"/>
      <c r="R129" s="636"/>
      <c r="S129" s="627"/>
    </row>
    <row r="130" spans="1:19" ht="20.25" x14ac:dyDescent="0.3">
      <c r="A130" s="1378" t="s">
        <v>246</v>
      </c>
      <c r="B130" s="635" t="s">
        <v>259</v>
      </c>
      <c r="C130" s="634" t="s">
        <v>258</v>
      </c>
      <c r="D130" s="629" t="s">
        <v>3</v>
      </c>
      <c r="E130" s="628"/>
      <c r="F130" s="628">
        <v>0</v>
      </c>
      <c r="G130" s="637"/>
      <c r="H130" s="637"/>
      <c r="I130" s="637"/>
      <c r="J130" s="637"/>
      <c r="K130" s="637"/>
      <c r="L130" s="637"/>
      <c r="M130" s="637"/>
      <c r="N130" s="637"/>
      <c r="O130" s="637"/>
      <c r="P130" s="637"/>
      <c r="Q130" s="637"/>
      <c r="R130" s="636"/>
      <c r="S130" s="627"/>
    </row>
    <row r="131" spans="1:19" ht="20.25" x14ac:dyDescent="0.3">
      <c r="A131" s="1378"/>
      <c r="B131" s="635"/>
      <c r="C131" s="634"/>
      <c r="D131" s="629" t="s">
        <v>225</v>
      </c>
      <c r="E131" s="628"/>
      <c r="F131" s="628">
        <f t="shared" ref="F131:F150" si="4">SUM(G131:S131)</f>
        <v>0</v>
      </c>
      <c r="G131" s="637"/>
      <c r="H131" s="637"/>
      <c r="I131" s="637"/>
      <c r="J131" s="637"/>
      <c r="K131" s="637"/>
      <c r="L131" s="637"/>
      <c r="M131" s="637"/>
      <c r="N131" s="637"/>
      <c r="O131" s="637"/>
      <c r="P131" s="637"/>
      <c r="Q131" s="637"/>
      <c r="R131" s="636"/>
      <c r="S131" s="627"/>
    </row>
    <row r="132" spans="1:19" ht="20.25" x14ac:dyDescent="0.3">
      <c r="A132" s="1378"/>
      <c r="B132" s="635"/>
      <c r="C132" s="634"/>
      <c r="D132" s="629" t="s">
        <v>235</v>
      </c>
      <c r="E132" s="628">
        <v>2254</v>
      </c>
      <c r="F132" s="628">
        <f t="shared" si="4"/>
        <v>2254</v>
      </c>
      <c r="G132" s="637"/>
      <c r="H132" s="637"/>
      <c r="I132" s="637"/>
      <c r="J132" s="637"/>
      <c r="K132" s="637">
        <v>2254</v>
      </c>
      <c r="L132" s="637"/>
      <c r="M132" s="637"/>
      <c r="N132" s="637"/>
      <c r="O132" s="637"/>
      <c r="P132" s="637"/>
      <c r="Q132" s="637"/>
      <c r="R132" s="636"/>
      <c r="S132" s="627"/>
    </row>
    <row r="133" spans="1:19" ht="20.25" x14ac:dyDescent="0.3">
      <c r="A133" s="1378" t="s">
        <v>246</v>
      </c>
      <c r="B133" s="635" t="s">
        <v>257</v>
      </c>
      <c r="C133" s="634" t="s">
        <v>256</v>
      </c>
      <c r="D133" s="629" t="s">
        <v>3</v>
      </c>
      <c r="E133" s="628">
        <v>34200</v>
      </c>
      <c r="F133" s="628">
        <f t="shared" si="4"/>
        <v>40152</v>
      </c>
      <c r="G133" s="638"/>
      <c r="H133" s="638"/>
      <c r="I133" s="638">
        <v>39152</v>
      </c>
      <c r="J133" s="638"/>
      <c r="K133" s="628"/>
      <c r="L133" s="638"/>
      <c r="M133" s="638">
        <v>1000</v>
      </c>
      <c r="N133" s="638"/>
      <c r="O133" s="638"/>
      <c r="P133" s="638"/>
      <c r="Q133" s="638"/>
      <c r="R133" s="636"/>
      <c r="S133" s="627"/>
    </row>
    <row r="134" spans="1:19" ht="20.25" x14ac:dyDescent="0.3">
      <c r="A134" s="1378"/>
      <c r="B134" s="635"/>
      <c r="C134" s="634"/>
      <c r="D134" s="629" t="s">
        <v>225</v>
      </c>
      <c r="E134" s="628">
        <v>34200</v>
      </c>
      <c r="F134" s="628">
        <f t="shared" si="4"/>
        <v>42152</v>
      </c>
      <c r="G134" s="638"/>
      <c r="H134" s="638"/>
      <c r="I134" s="638">
        <v>39152</v>
      </c>
      <c r="J134" s="638"/>
      <c r="K134" s="628"/>
      <c r="L134" s="638"/>
      <c r="M134" s="638">
        <v>3000</v>
      </c>
      <c r="N134" s="638"/>
      <c r="O134" s="638"/>
      <c r="P134" s="638"/>
      <c r="Q134" s="638"/>
      <c r="R134" s="636"/>
      <c r="S134" s="627"/>
    </row>
    <row r="135" spans="1:19" ht="20.25" x14ac:dyDescent="0.3">
      <c r="A135" s="1378"/>
      <c r="B135" s="635"/>
      <c r="C135" s="634"/>
      <c r="D135" s="629" t="s">
        <v>235</v>
      </c>
      <c r="E135" s="628">
        <v>34200</v>
      </c>
      <c r="F135" s="628">
        <f t="shared" si="4"/>
        <v>42152</v>
      </c>
      <c r="G135" s="638"/>
      <c r="H135" s="638"/>
      <c r="I135" s="638">
        <v>39152</v>
      </c>
      <c r="J135" s="638"/>
      <c r="K135" s="628"/>
      <c r="L135" s="638"/>
      <c r="M135" s="638">
        <v>3000</v>
      </c>
      <c r="N135" s="638"/>
      <c r="O135" s="638"/>
      <c r="P135" s="638"/>
      <c r="Q135" s="638"/>
      <c r="R135" s="636"/>
      <c r="S135" s="627"/>
    </row>
    <row r="136" spans="1:19" ht="20.25" x14ac:dyDescent="0.3">
      <c r="A136" s="1378" t="s">
        <v>246</v>
      </c>
      <c r="B136" s="635" t="s">
        <v>255</v>
      </c>
      <c r="C136" s="634" t="s">
        <v>254</v>
      </c>
      <c r="D136" s="629" t="s">
        <v>3</v>
      </c>
      <c r="E136" s="628"/>
      <c r="F136" s="628">
        <f t="shared" si="4"/>
        <v>13000</v>
      </c>
      <c r="G136" s="637"/>
      <c r="H136" s="637"/>
      <c r="I136" s="637"/>
      <c r="J136" s="637"/>
      <c r="K136" s="637">
        <v>13000</v>
      </c>
      <c r="L136" s="637"/>
      <c r="M136" s="637"/>
      <c r="N136" s="637"/>
      <c r="O136" s="637"/>
      <c r="P136" s="637"/>
      <c r="Q136" s="637"/>
      <c r="R136" s="636"/>
      <c r="S136" s="627"/>
    </row>
    <row r="137" spans="1:19" ht="20.25" x14ac:dyDescent="0.3">
      <c r="A137" s="1378"/>
      <c r="B137" s="635"/>
      <c r="C137" s="634"/>
      <c r="D137" s="629" t="s">
        <v>225</v>
      </c>
      <c r="E137" s="628"/>
      <c r="F137" s="628">
        <f t="shared" si="4"/>
        <v>13000</v>
      </c>
      <c r="G137" s="637"/>
      <c r="H137" s="637"/>
      <c r="I137" s="637"/>
      <c r="J137" s="637"/>
      <c r="K137" s="637">
        <v>13000</v>
      </c>
      <c r="L137" s="637"/>
      <c r="M137" s="637"/>
      <c r="N137" s="637"/>
      <c r="O137" s="637"/>
      <c r="P137" s="637"/>
      <c r="Q137" s="637"/>
      <c r="R137" s="636"/>
      <c r="S137" s="627"/>
    </row>
    <row r="138" spans="1:19" ht="20.25" x14ac:dyDescent="0.3">
      <c r="A138" s="1378"/>
      <c r="B138" s="635"/>
      <c r="C138" s="634"/>
      <c r="D138" s="629" t="s">
        <v>235</v>
      </c>
      <c r="E138" s="628"/>
      <c r="F138" s="628">
        <f t="shared" si="4"/>
        <v>13000</v>
      </c>
      <c r="G138" s="637"/>
      <c r="H138" s="637"/>
      <c r="I138" s="637"/>
      <c r="J138" s="637"/>
      <c r="K138" s="637">
        <v>13000</v>
      </c>
      <c r="L138" s="637"/>
      <c r="M138" s="637"/>
      <c r="N138" s="637"/>
      <c r="O138" s="637"/>
      <c r="P138" s="637"/>
      <c r="Q138" s="637"/>
      <c r="R138" s="636"/>
      <c r="S138" s="627"/>
    </row>
    <row r="139" spans="1:19" ht="20.25" x14ac:dyDescent="0.3">
      <c r="A139" s="1378" t="s">
        <v>246</v>
      </c>
      <c r="B139" s="635" t="s">
        <v>253</v>
      </c>
      <c r="C139" s="634" t="s">
        <v>252</v>
      </c>
      <c r="D139" s="629" t="s">
        <v>3</v>
      </c>
      <c r="E139" s="628">
        <v>0</v>
      </c>
      <c r="F139" s="628">
        <f t="shared" si="4"/>
        <v>59825</v>
      </c>
      <c r="G139" s="637">
        <v>600</v>
      </c>
      <c r="H139" s="637">
        <v>300</v>
      </c>
      <c r="I139" s="637"/>
      <c r="J139" s="637"/>
      <c r="K139" s="637">
        <v>58925</v>
      </c>
      <c r="L139" s="637"/>
      <c r="M139" s="637"/>
      <c r="N139" s="637"/>
      <c r="O139" s="637"/>
      <c r="P139" s="637"/>
      <c r="Q139" s="637"/>
      <c r="R139" s="636"/>
      <c r="S139" s="627"/>
    </row>
    <row r="140" spans="1:19" ht="20.25" x14ac:dyDescent="0.3">
      <c r="A140" s="1378"/>
      <c r="B140" s="635"/>
      <c r="C140" s="1382"/>
      <c r="D140" s="629" t="s">
        <v>225</v>
      </c>
      <c r="E140" s="628">
        <v>100</v>
      </c>
      <c r="F140" s="628">
        <f t="shared" si="4"/>
        <v>57561</v>
      </c>
      <c r="G140" s="638">
        <v>600</v>
      </c>
      <c r="H140" s="638">
        <v>300</v>
      </c>
      <c r="I140" s="638">
        <v>6000</v>
      </c>
      <c r="J140" s="638"/>
      <c r="K140" s="638">
        <v>49161</v>
      </c>
      <c r="L140" s="638"/>
      <c r="M140" s="638"/>
      <c r="N140" s="638"/>
      <c r="O140" s="638">
        <v>1500</v>
      </c>
      <c r="P140" s="638"/>
      <c r="Q140" s="638"/>
      <c r="R140" s="638"/>
      <c r="S140" s="639"/>
    </row>
    <row r="141" spans="1:19" ht="20.25" x14ac:dyDescent="0.3">
      <c r="A141" s="1378"/>
      <c r="B141" s="635"/>
      <c r="C141" s="1382"/>
      <c r="D141" s="629" t="s">
        <v>235</v>
      </c>
      <c r="E141" s="628">
        <v>100</v>
      </c>
      <c r="F141" s="628">
        <f t="shared" si="4"/>
        <v>57561</v>
      </c>
      <c r="G141" s="638">
        <v>600</v>
      </c>
      <c r="H141" s="638">
        <v>300</v>
      </c>
      <c r="I141" s="638">
        <v>6000</v>
      </c>
      <c r="J141" s="638"/>
      <c r="K141" s="638">
        <v>49161</v>
      </c>
      <c r="L141" s="638"/>
      <c r="M141" s="638"/>
      <c r="N141" s="638"/>
      <c r="O141" s="638">
        <v>1500</v>
      </c>
      <c r="P141" s="638"/>
      <c r="Q141" s="638"/>
      <c r="R141" s="638"/>
      <c r="S141" s="639"/>
    </row>
    <row r="142" spans="1:19" ht="20.25" x14ac:dyDescent="0.3">
      <c r="A142" s="1378" t="s">
        <v>249</v>
      </c>
      <c r="B142" s="635" t="s">
        <v>251</v>
      </c>
      <c r="C142" s="634" t="s">
        <v>250</v>
      </c>
      <c r="D142" s="629" t="s">
        <v>3</v>
      </c>
      <c r="E142" s="628">
        <v>0</v>
      </c>
      <c r="F142" s="628">
        <f t="shared" si="4"/>
        <v>120610</v>
      </c>
      <c r="G142" s="637"/>
      <c r="H142" s="637"/>
      <c r="I142" s="637">
        <v>14061</v>
      </c>
      <c r="J142" s="637"/>
      <c r="K142" s="637"/>
      <c r="L142" s="637"/>
      <c r="M142" s="637"/>
      <c r="N142" s="637"/>
      <c r="O142" s="637"/>
      <c r="P142" s="637"/>
      <c r="Q142" s="637">
        <v>106549</v>
      </c>
      <c r="R142" s="636"/>
      <c r="S142" s="627"/>
    </row>
    <row r="143" spans="1:19" ht="20.25" x14ac:dyDescent="0.3">
      <c r="A143" s="1378"/>
      <c r="B143" s="635"/>
      <c r="C143" s="634"/>
      <c r="D143" s="629" t="s">
        <v>225</v>
      </c>
      <c r="E143" s="628">
        <v>3041140</v>
      </c>
      <c r="F143" s="628">
        <f t="shared" si="4"/>
        <v>3168711</v>
      </c>
      <c r="G143" s="638"/>
      <c r="H143" s="638"/>
      <c r="I143" s="638">
        <v>12210</v>
      </c>
      <c r="J143" s="638"/>
      <c r="K143" s="638"/>
      <c r="L143" s="638"/>
      <c r="M143" s="638"/>
      <c r="N143" s="638"/>
      <c r="O143" s="638"/>
      <c r="P143" s="638"/>
      <c r="Q143" s="638">
        <v>3076501</v>
      </c>
      <c r="R143" s="638"/>
      <c r="S143" s="639">
        <v>80000</v>
      </c>
    </row>
    <row r="144" spans="1:19" ht="20.25" x14ac:dyDescent="0.3">
      <c r="A144" s="1378"/>
      <c r="B144" s="635"/>
      <c r="C144" s="634"/>
      <c r="D144" s="629" t="s">
        <v>235</v>
      </c>
      <c r="E144" s="628">
        <v>3041140</v>
      </c>
      <c r="F144" s="628">
        <f t="shared" si="4"/>
        <v>3168711</v>
      </c>
      <c r="G144" s="638"/>
      <c r="H144" s="638"/>
      <c r="I144" s="638">
        <v>12210</v>
      </c>
      <c r="J144" s="638"/>
      <c r="K144" s="638"/>
      <c r="L144" s="638"/>
      <c r="M144" s="638"/>
      <c r="N144" s="638"/>
      <c r="O144" s="638"/>
      <c r="P144" s="638"/>
      <c r="Q144" s="638">
        <v>3076501</v>
      </c>
      <c r="R144" s="638"/>
      <c r="S144" s="639">
        <v>80000</v>
      </c>
    </row>
    <row r="145" spans="1:19" ht="20.25" x14ac:dyDescent="0.3">
      <c r="A145" s="1378" t="s">
        <v>249</v>
      </c>
      <c r="B145" s="635" t="s">
        <v>248</v>
      </c>
      <c r="C145" s="634" t="s">
        <v>247</v>
      </c>
      <c r="D145" s="629" t="s">
        <v>3</v>
      </c>
      <c r="E145" s="628"/>
      <c r="F145" s="628">
        <f t="shared" si="4"/>
        <v>164300</v>
      </c>
      <c r="G145" s="637"/>
      <c r="H145" s="637"/>
      <c r="I145" s="637"/>
      <c r="J145" s="637"/>
      <c r="K145" s="637"/>
      <c r="L145" s="637">
        <v>109300</v>
      </c>
      <c r="M145" s="637"/>
      <c r="N145" s="637"/>
      <c r="O145" s="637"/>
      <c r="P145" s="637">
        <v>55000</v>
      </c>
      <c r="Q145" s="637"/>
      <c r="R145" s="636"/>
      <c r="S145" s="627"/>
    </row>
    <row r="146" spans="1:19" ht="20.25" x14ac:dyDescent="0.3">
      <c r="A146" s="1378"/>
      <c r="B146" s="635"/>
      <c r="C146" s="634"/>
      <c r="D146" s="629" t="s">
        <v>225</v>
      </c>
      <c r="E146" s="628"/>
      <c r="F146" s="628">
        <f t="shared" si="4"/>
        <v>39631</v>
      </c>
      <c r="G146" s="638"/>
      <c r="H146" s="638"/>
      <c r="I146" s="638"/>
      <c r="J146" s="638"/>
      <c r="K146" s="638"/>
      <c r="L146" s="638">
        <v>4631</v>
      </c>
      <c r="M146" s="638"/>
      <c r="N146" s="638"/>
      <c r="O146" s="638"/>
      <c r="P146" s="638">
        <v>35000</v>
      </c>
      <c r="Q146" s="628"/>
      <c r="R146" s="628"/>
      <c r="S146" s="633"/>
    </row>
    <row r="147" spans="1:19" ht="20.25" x14ac:dyDescent="0.3">
      <c r="A147" s="1378"/>
      <c r="B147" s="635"/>
      <c r="C147" s="634"/>
      <c r="D147" s="629" t="s">
        <v>235</v>
      </c>
      <c r="E147" s="628"/>
      <c r="F147" s="628">
        <f t="shared" si="4"/>
        <v>25931</v>
      </c>
      <c r="G147" s="638"/>
      <c r="H147" s="638"/>
      <c r="I147" s="638"/>
      <c r="J147" s="638"/>
      <c r="K147" s="638"/>
      <c r="L147" s="638">
        <v>931</v>
      </c>
      <c r="M147" s="638"/>
      <c r="N147" s="638"/>
      <c r="O147" s="638"/>
      <c r="P147" s="638">
        <v>25000</v>
      </c>
      <c r="Q147" s="628"/>
      <c r="R147" s="628"/>
      <c r="S147" s="633"/>
    </row>
    <row r="148" spans="1:19" ht="20.25" x14ac:dyDescent="0.3">
      <c r="A148" s="1378" t="s">
        <v>246</v>
      </c>
      <c r="B148" s="635" t="s">
        <v>245</v>
      </c>
      <c r="C148" s="634" t="s">
        <v>244</v>
      </c>
      <c r="D148" s="629" t="s">
        <v>3</v>
      </c>
      <c r="E148" s="628">
        <v>2114400</v>
      </c>
      <c r="F148" s="628">
        <f t="shared" si="4"/>
        <v>0</v>
      </c>
      <c r="G148" s="637"/>
      <c r="H148" s="637"/>
      <c r="I148" s="637"/>
      <c r="J148" s="637"/>
      <c r="K148" s="637"/>
      <c r="L148" s="637"/>
      <c r="M148" s="637"/>
      <c r="N148" s="637"/>
      <c r="O148" s="637"/>
      <c r="P148" s="637"/>
      <c r="Q148" s="637"/>
      <c r="R148" s="636"/>
      <c r="S148" s="627"/>
    </row>
    <row r="149" spans="1:19" ht="20.25" x14ac:dyDescent="0.3">
      <c r="A149" s="1378"/>
      <c r="B149" s="635"/>
      <c r="C149" s="634"/>
      <c r="D149" s="629" t="s">
        <v>225</v>
      </c>
      <c r="E149" s="628">
        <v>2200696</v>
      </c>
      <c r="F149" s="628">
        <f t="shared" si="4"/>
        <v>0</v>
      </c>
      <c r="G149" s="628"/>
      <c r="H149" s="628"/>
      <c r="I149" s="628"/>
      <c r="J149" s="628"/>
      <c r="K149" s="628"/>
      <c r="L149" s="628"/>
      <c r="M149" s="628"/>
      <c r="N149" s="628"/>
      <c r="O149" s="628"/>
      <c r="P149" s="628"/>
      <c r="Q149" s="628"/>
      <c r="R149" s="628"/>
      <c r="S149" s="633"/>
    </row>
    <row r="150" spans="1:19" ht="20.25" x14ac:dyDescent="0.3">
      <c r="A150" s="1378"/>
      <c r="B150" s="635"/>
      <c r="C150" s="634"/>
      <c r="D150" s="629" t="s">
        <v>235</v>
      </c>
      <c r="E150" s="628">
        <v>2200696</v>
      </c>
      <c r="F150" s="628">
        <f t="shared" si="4"/>
        <v>0</v>
      </c>
      <c r="G150" s="628"/>
      <c r="H150" s="628"/>
      <c r="I150" s="628"/>
      <c r="J150" s="628"/>
      <c r="K150" s="628"/>
      <c r="L150" s="628"/>
      <c r="M150" s="628"/>
      <c r="N150" s="628"/>
      <c r="O150" s="628"/>
      <c r="P150" s="628"/>
      <c r="Q150" s="628"/>
      <c r="R150" s="628"/>
      <c r="S150" s="633"/>
    </row>
    <row r="151" spans="1:19" ht="20.25" x14ac:dyDescent="0.3">
      <c r="A151" s="1378"/>
      <c r="B151" s="635"/>
      <c r="C151" s="634"/>
      <c r="D151" s="629"/>
      <c r="E151" s="628"/>
      <c r="F151" s="628"/>
      <c r="G151" s="628"/>
      <c r="H151" s="628"/>
      <c r="I151" s="628"/>
      <c r="J151" s="628"/>
      <c r="K151" s="628"/>
      <c r="L151" s="628"/>
      <c r="M151" s="628"/>
      <c r="N151" s="628"/>
      <c r="O151" s="628"/>
      <c r="P151" s="628"/>
      <c r="Q151" s="628"/>
      <c r="R151" s="628"/>
      <c r="S151" s="633"/>
    </row>
    <row r="152" spans="1:19" ht="20.25" x14ac:dyDescent="0.3">
      <c r="A152" s="1379"/>
      <c r="B152" s="1453" t="s">
        <v>61</v>
      </c>
      <c r="C152" s="1453"/>
      <c r="D152" s="1372" t="s">
        <v>3</v>
      </c>
      <c r="E152" s="630">
        <f t="shared" ref="E152:S152" si="5">SUM(E7,E10,E13,E16,E19,E22,E25,E28,E31,E34,E37,E40,E43,E46,E49,E52,E55,E58,E61,E64,E67,E70,E73,E76,E79,E82,E85,E88,E91,E94,E97,E100,E103,E106,E109,E112,E115,E118,E121,E124,E127,E133,E136,E139,E142,E145,E148)</f>
        <v>4313125</v>
      </c>
      <c r="F152" s="630">
        <f t="shared" si="5"/>
        <v>4313125</v>
      </c>
      <c r="G152" s="630">
        <f t="shared" si="5"/>
        <v>218792</v>
      </c>
      <c r="H152" s="630">
        <f t="shared" si="5"/>
        <v>46978</v>
      </c>
      <c r="I152" s="630">
        <f t="shared" si="5"/>
        <v>660582</v>
      </c>
      <c r="J152" s="630">
        <f t="shared" si="5"/>
        <v>967165</v>
      </c>
      <c r="K152" s="630">
        <f t="shared" si="5"/>
        <v>77825</v>
      </c>
      <c r="L152" s="630">
        <f t="shared" si="5"/>
        <v>109300</v>
      </c>
      <c r="M152" s="630">
        <f t="shared" si="5"/>
        <v>245122</v>
      </c>
      <c r="N152" s="630">
        <f t="shared" si="5"/>
        <v>259597</v>
      </c>
      <c r="O152" s="630">
        <f t="shared" si="5"/>
        <v>15614</v>
      </c>
      <c r="P152" s="630">
        <f t="shared" si="5"/>
        <v>55000</v>
      </c>
      <c r="Q152" s="630">
        <f t="shared" si="5"/>
        <v>131549</v>
      </c>
      <c r="R152" s="630">
        <f t="shared" si="5"/>
        <v>1525601</v>
      </c>
      <c r="S152" s="631">
        <f t="shared" si="5"/>
        <v>0</v>
      </c>
    </row>
    <row r="153" spans="1:19" ht="20.25" x14ac:dyDescent="0.3">
      <c r="A153" s="1379"/>
      <c r="B153" s="1372"/>
      <c r="C153" s="1372"/>
      <c r="D153" s="632" t="s">
        <v>225</v>
      </c>
      <c r="E153" s="630">
        <f t="shared" ref="E153:S153" si="6">SUM(E8,E11,E14,E17,E20,E23,E26,E29,E32,E35,E38,E41,E44,E47,E50,E53,E56,E59,E62,E65,E68,E71,E74,E77,E80,E83,E86,E89,E92,E95,E98,E101,E104,E107,E110,E113,E116,E119,E122,E125,E128,E134,E137,E140,E143,E146,E149)</f>
        <v>8792596</v>
      </c>
      <c r="F153" s="630">
        <f t="shared" si="6"/>
        <v>8792596</v>
      </c>
      <c r="G153" s="630">
        <f t="shared" si="6"/>
        <v>247176</v>
      </c>
      <c r="H153" s="630">
        <f t="shared" si="6"/>
        <v>54818</v>
      </c>
      <c r="I153" s="630">
        <f t="shared" si="6"/>
        <v>803959</v>
      </c>
      <c r="J153" s="630">
        <f t="shared" si="6"/>
        <v>1029578</v>
      </c>
      <c r="K153" s="630">
        <f t="shared" si="6"/>
        <v>68061</v>
      </c>
      <c r="L153" s="630">
        <f t="shared" si="6"/>
        <v>4631</v>
      </c>
      <c r="M153" s="630">
        <f t="shared" si="6"/>
        <v>315594</v>
      </c>
      <c r="N153" s="630">
        <f t="shared" si="6"/>
        <v>1432365</v>
      </c>
      <c r="O153" s="630">
        <f t="shared" si="6"/>
        <v>13699</v>
      </c>
      <c r="P153" s="630">
        <f t="shared" si="6"/>
        <v>35000</v>
      </c>
      <c r="Q153" s="630">
        <f t="shared" si="6"/>
        <v>3116511</v>
      </c>
      <c r="R153" s="630">
        <f t="shared" si="6"/>
        <v>1591204</v>
      </c>
      <c r="S153" s="631">
        <f t="shared" si="6"/>
        <v>80000</v>
      </c>
    </row>
    <row r="154" spans="1:19" ht="20.25" x14ac:dyDescent="0.3">
      <c r="A154" s="1379"/>
      <c r="B154" s="1372"/>
      <c r="C154" s="1372"/>
      <c r="D154" s="629" t="s">
        <v>235</v>
      </c>
      <c r="E154" s="630">
        <f t="shared" ref="E154:S154" si="7">SUM(E9,E12,E15,E18,E21,E24,E27,E30,E33,E36,E39,E42,E45,E48,E51,E54,E57,E60,E63,E66,E69,E72,E75,E78,E81,E84,E87,E90,E93,E96,E99,E102,E105,E108,E111,E114,E117,E120,E123,E126,E129,E135,E138,E141,E144,E147,E150)+E132</f>
        <v>9070616</v>
      </c>
      <c r="F154" s="630">
        <f t="shared" si="7"/>
        <v>9070616</v>
      </c>
      <c r="G154" s="630">
        <f t="shared" si="7"/>
        <v>241217</v>
      </c>
      <c r="H154" s="630">
        <f t="shared" si="7"/>
        <v>55773</v>
      </c>
      <c r="I154" s="630">
        <f t="shared" si="7"/>
        <v>899047</v>
      </c>
      <c r="J154" s="630">
        <f t="shared" si="7"/>
        <v>1043537</v>
      </c>
      <c r="K154" s="630">
        <f t="shared" si="7"/>
        <v>70315</v>
      </c>
      <c r="L154" s="630">
        <f t="shared" si="7"/>
        <v>931</v>
      </c>
      <c r="M154" s="630">
        <f t="shared" si="7"/>
        <v>307574</v>
      </c>
      <c r="N154" s="630">
        <f t="shared" si="7"/>
        <v>1607162</v>
      </c>
      <c r="O154" s="630">
        <f t="shared" si="7"/>
        <v>15384</v>
      </c>
      <c r="P154" s="630">
        <f t="shared" si="7"/>
        <v>25000</v>
      </c>
      <c r="Q154" s="630">
        <f t="shared" si="7"/>
        <v>3116511</v>
      </c>
      <c r="R154" s="630">
        <f t="shared" si="7"/>
        <v>1608165</v>
      </c>
      <c r="S154" s="631">
        <f t="shared" si="7"/>
        <v>80000</v>
      </c>
    </row>
    <row r="155" spans="1:19" ht="20.25" x14ac:dyDescent="0.3">
      <c r="A155" s="1378"/>
      <c r="B155" s="1371"/>
      <c r="C155" s="1371"/>
      <c r="D155" s="1371"/>
      <c r="E155" s="626"/>
      <c r="F155" s="628"/>
      <c r="G155" s="626"/>
      <c r="H155" s="626"/>
      <c r="I155" s="626"/>
      <c r="J155" s="626"/>
      <c r="K155" s="626"/>
      <c r="L155" s="626"/>
      <c r="M155" s="626"/>
      <c r="N155" s="626"/>
      <c r="O155" s="626"/>
      <c r="P155" s="626"/>
      <c r="Q155" s="626"/>
      <c r="R155" s="626"/>
      <c r="S155" s="627"/>
    </row>
    <row r="156" spans="1:19" ht="20.25" x14ac:dyDescent="0.3">
      <c r="A156" s="1378"/>
      <c r="B156" s="1452" t="s">
        <v>243</v>
      </c>
      <c r="C156" s="1452"/>
      <c r="D156" s="1371" t="s">
        <v>3</v>
      </c>
      <c r="E156" s="626">
        <f t="shared" ref="E156:S156" si="8">SUM(E16,E19,E43,E46,E49,E52,E55,E58,E64,E67,E70,E76,E79,E82,E85,E88,E91,E94,E106,E133,E136,E139,E148)</f>
        <v>3073700</v>
      </c>
      <c r="F156" s="626">
        <f t="shared" si="8"/>
        <v>1525052</v>
      </c>
      <c r="G156" s="626">
        <f t="shared" si="8"/>
        <v>131600</v>
      </c>
      <c r="H156" s="626">
        <f t="shared" si="8"/>
        <v>18232</v>
      </c>
      <c r="I156" s="626">
        <f t="shared" si="8"/>
        <v>435231</v>
      </c>
      <c r="J156" s="626">
        <f t="shared" si="8"/>
        <v>365930</v>
      </c>
      <c r="K156" s="626">
        <f t="shared" si="8"/>
        <v>71925</v>
      </c>
      <c r="L156" s="626">
        <f t="shared" si="8"/>
        <v>0</v>
      </c>
      <c r="M156" s="626">
        <f t="shared" si="8"/>
        <v>241347</v>
      </c>
      <c r="N156" s="626">
        <f t="shared" si="8"/>
        <v>254787</v>
      </c>
      <c r="O156" s="626">
        <f t="shared" si="8"/>
        <v>6000</v>
      </c>
      <c r="P156" s="626">
        <f t="shared" si="8"/>
        <v>0</v>
      </c>
      <c r="Q156" s="626">
        <f t="shared" si="8"/>
        <v>0</v>
      </c>
      <c r="R156" s="626">
        <f t="shared" si="8"/>
        <v>0</v>
      </c>
      <c r="S156" s="625">
        <f t="shared" si="8"/>
        <v>0</v>
      </c>
    </row>
    <row r="157" spans="1:19" ht="20.25" x14ac:dyDescent="0.3">
      <c r="A157" s="1378"/>
      <c r="B157" s="1371"/>
      <c r="C157" s="1371"/>
      <c r="D157" s="629" t="s">
        <v>225</v>
      </c>
      <c r="E157" s="626">
        <f t="shared" ref="E157:S157" si="9">SUM(E17,E20,E44,E47,E50,E53,E56,E59,E65,E68,E71,E77,E80,E83,E86,E89,E92,E95,E107,E134,E137,E140,E149)</f>
        <v>4508506</v>
      </c>
      <c r="F157" s="626">
        <f t="shared" si="9"/>
        <v>2948170</v>
      </c>
      <c r="G157" s="626">
        <f t="shared" si="9"/>
        <v>155424</v>
      </c>
      <c r="H157" s="626">
        <f t="shared" si="9"/>
        <v>24633</v>
      </c>
      <c r="I157" s="626">
        <f t="shared" si="9"/>
        <v>580717</v>
      </c>
      <c r="J157" s="626">
        <f t="shared" si="9"/>
        <v>381437</v>
      </c>
      <c r="K157" s="626">
        <f t="shared" si="9"/>
        <v>62161</v>
      </c>
      <c r="L157" s="626">
        <f t="shared" si="9"/>
        <v>0</v>
      </c>
      <c r="M157" s="626">
        <f t="shared" si="9"/>
        <v>314673</v>
      </c>
      <c r="N157" s="626">
        <f t="shared" si="9"/>
        <v>1425140</v>
      </c>
      <c r="O157" s="626">
        <f t="shared" si="9"/>
        <v>3985</v>
      </c>
      <c r="P157" s="626">
        <f t="shared" si="9"/>
        <v>0</v>
      </c>
      <c r="Q157" s="626">
        <f t="shared" si="9"/>
        <v>0</v>
      </c>
      <c r="R157" s="626">
        <f t="shared" si="9"/>
        <v>0</v>
      </c>
      <c r="S157" s="625">
        <f t="shared" si="9"/>
        <v>0</v>
      </c>
    </row>
    <row r="158" spans="1:19" ht="20.25" x14ac:dyDescent="0.3">
      <c r="A158" s="1378"/>
      <c r="B158" s="1371"/>
      <c r="C158" s="1371"/>
      <c r="D158" s="629" t="s">
        <v>235</v>
      </c>
      <c r="E158" s="626">
        <f>SUM(E18,E21,E45,E48,E51,E54,E57,E60,E66,E69,E72,E78,E81,E84,E87,E90,E93,E96,E108,E135,E138,E141,E150)+E132</f>
        <v>4729312</v>
      </c>
      <c r="F158" s="626">
        <f>SUM(F18,F21,F45,F48,F51,F54,F57,F60,F66,F69,F72,F78,F81,F84,F87,F90,F93,F96,F108,F135,F138,F141,F150)+F132</f>
        <v>3174861</v>
      </c>
      <c r="G158" s="626">
        <f t="shared" ref="G158:S158" si="10">SUM(G18,G21,G45,G48,G51,G54,G57,G60,G66,G69,G72,G78,G81,G84,G87,G90,G93,G96,G108,G135,G138,G141,G150)</f>
        <v>150624</v>
      </c>
      <c r="H158" s="626">
        <f t="shared" si="10"/>
        <v>24633</v>
      </c>
      <c r="I158" s="626">
        <f t="shared" si="10"/>
        <v>657695</v>
      </c>
      <c r="J158" s="626">
        <f t="shared" si="10"/>
        <v>368437</v>
      </c>
      <c r="K158" s="626">
        <f t="shared" si="10"/>
        <v>62161</v>
      </c>
      <c r="L158" s="626">
        <f t="shared" si="10"/>
        <v>0</v>
      </c>
      <c r="M158" s="626">
        <f t="shared" si="10"/>
        <v>306481</v>
      </c>
      <c r="N158" s="626">
        <f t="shared" si="10"/>
        <v>1597945</v>
      </c>
      <c r="O158" s="626">
        <f t="shared" si="10"/>
        <v>4631</v>
      </c>
      <c r="P158" s="626">
        <f t="shared" si="10"/>
        <v>0</v>
      </c>
      <c r="Q158" s="626">
        <f t="shared" si="10"/>
        <v>0</v>
      </c>
      <c r="R158" s="626">
        <f t="shared" si="10"/>
        <v>0</v>
      </c>
      <c r="S158" s="625">
        <f t="shared" si="10"/>
        <v>0</v>
      </c>
    </row>
    <row r="159" spans="1:19" ht="20.25" x14ac:dyDescent="0.3">
      <c r="A159" s="1378"/>
      <c r="B159" s="1371"/>
      <c r="C159" s="1371"/>
      <c r="D159" s="1371"/>
      <c r="E159" s="626"/>
      <c r="F159" s="628"/>
      <c r="G159" s="626"/>
      <c r="H159" s="626"/>
      <c r="I159" s="626"/>
      <c r="J159" s="626"/>
      <c r="K159" s="626"/>
      <c r="L159" s="626"/>
      <c r="M159" s="626"/>
      <c r="N159" s="626"/>
      <c r="O159" s="626"/>
      <c r="P159" s="626"/>
      <c r="Q159" s="626"/>
      <c r="R159" s="626"/>
      <c r="S159" s="627"/>
    </row>
    <row r="160" spans="1:19" ht="20.25" x14ac:dyDescent="0.3">
      <c r="A160" s="1378"/>
      <c r="B160" s="1452" t="s">
        <v>242</v>
      </c>
      <c r="C160" s="1452"/>
      <c r="D160" s="1371" t="s">
        <v>3</v>
      </c>
      <c r="E160" s="626">
        <f t="shared" ref="E160:S160" si="11">SUM(E13,E22,E25,E28,E31,E61,E73,E97,E100,E103,E109,E112,E115,E118,E121,E124,E127)</f>
        <v>19074</v>
      </c>
      <c r="F160" s="626">
        <f t="shared" si="11"/>
        <v>369061</v>
      </c>
      <c r="G160" s="626">
        <f t="shared" si="11"/>
        <v>28826</v>
      </c>
      <c r="H160" s="626">
        <f t="shared" si="11"/>
        <v>13701</v>
      </c>
      <c r="I160" s="626">
        <f t="shared" si="11"/>
        <v>60920</v>
      </c>
      <c r="J160" s="626">
        <f t="shared" si="11"/>
        <v>249100</v>
      </c>
      <c r="K160" s="626">
        <f t="shared" si="11"/>
        <v>5900</v>
      </c>
      <c r="L160" s="626">
        <f t="shared" si="11"/>
        <v>0</v>
      </c>
      <c r="M160" s="626">
        <f t="shared" si="11"/>
        <v>0</v>
      </c>
      <c r="N160" s="626">
        <f t="shared" si="11"/>
        <v>1000</v>
      </c>
      <c r="O160" s="626">
        <f t="shared" si="11"/>
        <v>9614</v>
      </c>
      <c r="P160" s="626">
        <f t="shared" si="11"/>
        <v>0</v>
      </c>
      <c r="Q160" s="626">
        <f t="shared" si="11"/>
        <v>0</v>
      </c>
      <c r="R160" s="626">
        <f t="shared" si="11"/>
        <v>0</v>
      </c>
      <c r="S160" s="625">
        <f t="shared" si="11"/>
        <v>0</v>
      </c>
    </row>
    <row r="161" spans="1:22" ht="20.25" x14ac:dyDescent="0.3">
      <c r="A161" s="1378"/>
      <c r="B161" s="1371"/>
      <c r="C161" s="1371"/>
      <c r="D161" s="629" t="s">
        <v>225</v>
      </c>
      <c r="E161" s="626">
        <f t="shared" ref="E161:S161" si="12">SUM(E14,E23,E26,E29,E32,E62,E74,E98,E101,E104,E110,E113,E116,E119,E122,E125,E128)</f>
        <v>35310</v>
      </c>
      <c r="F161" s="626">
        <f t="shared" si="12"/>
        <v>353658</v>
      </c>
      <c r="G161" s="626">
        <f t="shared" si="12"/>
        <v>34054</v>
      </c>
      <c r="H161" s="626">
        <f t="shared" si="12"/>
        <v>14655</v>
      </c>
      <c r="I161" s="626">
        <f t="shared" si="12"/>
        <v>31422</v>
      </c>
      <c r="J161" s="626">
        <f t="shared" si="12"/>
        <v>256913</v>
      </c>
      <c r="K161" s="626">
        <f t="shared" si="12"/>
        <v>5900</v>
      </c>
      <c r="L161" s="626">
        <f t="shared" si="12"/>
        <v>0</v>
      </c>
      <c r="M161" s="626">
        <f t="shared" si="12"/>
        <v>0</v>
      </c>
      <c r="N161" s="626">
        <f t="shared" si="12"/>
        <v>1000</v>
      </c>
      <c r="O161" s="626">
        <f t="shared" si="12"/>
        <v>9714</v>
      </c>
      <c r="P161" s="626">
        <f t="shared" si="12"/>
        <v>0</v>
      </c>
      <c r="Q161" s="626">
        <f t="shared" si="12"/>
        <v>0</v>
      </c>
      <c r="R161" s="626">
        <f t="shared" si="12"/>
        <v>0</v>
      </c>
      <c r="S161" s="625">
        <f t="shared" si="12"/>
        <v>0</v>
      </c>
    </row>
    <row r="162" spans="1:22" ht="20.25" x14ac:dyDescent="0.3">
      <c r="A162" s="1378"/>
      <c r="B162" s="1371"/>
      <c r="C162" s="1371"/>
      <c r="D162" s="629" t="s">
        <v>235</v>
      </c>
      <c r="E162" s="626">
        <f>SUM(E15,E24,E27,E30,E33,E63,E75,E99,E102,E105,E111,E114,E117,E120,E123,E126,E130)</f>
        <v>38172</v>
      </c>
      <c r="F162" s="626">
        <f>SUM(F15,F24,F27,F30,F33,F63,F75,F99,F102,F105,F111,F114,F117,F120,F123,F126,F130)+F129</f>
        <v>361275</v>
      </c>
      <c r="G162" s="626">
        <f t="shared" ref="G162:S162" si="13">SUM(G15,G24,G27,G30,G33,G63,G75,G99,G102,G105,G111,G114,G117,G120,G123,G126,G130)</f>
        <v>32785</v>
      </c>
      <c r="H162" s="626">
        <f t="shared" si="13"/>
        <v>15562</v>
      </c>
      <c r="I162" s="626">
        <f t="shared" si="13"/>
        <v>36591</v>
      </c>
      <c r="J162" s="626">
        <f t="shared" si="13"/>
        <v>258572</v>
      </c>
      <c r="K162" s="626">
        <f t="shared" si="13"/>
        <v>0</v>
      </c>
      <c r="L162" s="626">
        <f t="shared" si="13"/>
        <v>0</v>
      </c>
      <c r="M162" s="626">
        <f t="shared" si="13"/>
        <v>0</v>
      </c>
      <c r="N162" s="626">
        <f t="shared" si="13"/>
        <v>1112</v>
      </c>
      <c r="O162" s="626">
        <f t="shared" si="13"/>
        <v>10753</v>
      </c>
      <c r="P162" s="626">
        <f t="shared" si="13"/>
        <v>0</v>
      </c>
      <c r="Q162" s="626">
        <f t="shared" si="13"/>
        <v>0</v>
      </c>
      <c r="R162" s="626">
        <f t="shared" si="13"/>
        <v>0</v>
      </c>
      <c r="S162" s="625">
        <f t="shared" si="13"/>
        <v>0</v>
      </c>
    </row>
    <row r="163" spans="1:22" ht="20.25" x14ac:dyDescent="0.3">
      <c r="A163" s="1378"/>
      <c r="B163" s="1371"/>
      <c r="C163" s="1371"/>
      <c r="D163" s="629"/>
      <c r="E163" s="626"/>
      <c r="F163" s="628"/>
      <c r="G163" s="626"/>
      <c r="H163" s="626"/>
      <c r="I163" s="626"/>
      <c r="J163" s="626"/>
      <c r="K163" s="626"/>
      <c r="L163" s="626"/>
      <c r="M163" s="626"/>
      <c r="N163" s="626"/>
      <c r="O163" s="626"/>
      <c r="P163" s="626"/>
      <c r="Q163" s="626"/>
      <c r="R163" s="626"/>
      <c r="S163" s="627"/>
    </row>
    <row r="164" spans="1:22" ht="20.25" x14ac:dyDescent="0.3">
      <c r="A164" s="1378"/>
      <c r="B164" s="1452" t="s">
        <v>241</v>
      </c>
      <c r="C164" s="1452"/>
      <c r="D164" s="1371" t="s">
        <v>3</v>
      </c>
      <c r="E164" s="626">
        <f t="shared" ref="E164:S164" si="14">SUM(E7,E10,E34,E37,E40,E142,E145)</f>
        <v>1220351</v>
      </c>
      <c r="F164" s="626">
        <f t="shared" si="14"/>
        <v>2419012</v>
      </c>
      <c r="G164" s="626">
        <f t="shared" si="14"/>
        <v>58366</v>
      </c>
      <c r="H164" s="626">
        <f t="shared" si="14"/>
        <v>15045</v>
      </c>
      <c r="I164" s="626">
        <f t="shared" si="14"/>
        <v>164431</v>
      </c>
      <c r="J164" s="626">
        <f t="shared" si="14"/>
        <v>352135</v>
      </c>
      <c r="K164" s="626">
        <f t="shared" si="14"/>
        <v>0</v>
      </c>
      <c r="L164" s="626">
        <f t="shared" si="14"/>
        <v>109300</v>
      </c>
      <c r="M164" s="626">
        <f t="shared" si="14"/>
        <v>3775</v>
      </c>
      <c r="N164" s="626">
        <f t="shared" si="14"/>
        <v>3810</v>
      </c>
      <c r="O164" s="626">
        <f t="shared" si="14"/>
        <v>0</v>
      </c>
      <c r="P164" s="626">
        <f t="shared" si="14"/>
        <v>55000</v>
      </c>
      <c r="Q164" s="626">
        <f t="shared" si="14"/>
        <v>131549</v>
      </c>
      <c r="R164" s="626">
        <f t="shared" si="14"/>
        <v>1525601</v>
      </c>
      <c r="S164" s="625">
        <f t="shared" si="14"/>
        <v>0</v>
      </c>
    </row>
    <row r="165" spans="1:22" ht="20.25" x14ac:dyDescent="0.3">
      <c r="A165" s="624"/>
      <c r="B165" s="623"/>
      <c r="C165" s="623"/>
      <c r="D165" s="622" t="s">
        <v>225</v>
      </c>
      <c r="E165" s="620">
        <f t="shared" ref="E165:S165" si="15">SUM(E8,E11,E35,E38,E41,E143,E146)</f>
        <v>4248780</v>
      </c>
      <c r="F165" s="620">
        <f t="shared" si="15"/>
        <v>5490768</v>
      </c>
      <c r="G165" s="620">
        <f t="shared" si="15"/>
        <v>57698</v>
      </c>
      <c r="H165" s="620">
        <f t="shared" si="15"/>
        <v>15530</v>
      </c>
      <c r="I165" s="620">
        <f t="shared" si="15"/>
        <v>191820</v>
      </c>
      <c r="J165" s="620">
        <f t="shared" si="15"/>
        <v>391228</v>
      </c>
      <c r="K165" s="620">
        <f t="shared" si="15"/>
        <v>0</v>
      </c>
      <c r="L165" s="620">
        <f t="shared" si="15"/>
        <v>4631</v>
      </c>
      <c r="M165" s="620">
        <f t="shared" si="15"/>
        <v>921</v>
      </c>
      <c r="N165" s="620">
        <f t="shared" si="15"/>
        <v>6225</v>
      </c>
      <c r="O165" s="620">
        <f t="shared" si="15"/>
        <v>0</v>
      </c>
      <c r="P165" s="620">
        <f t="shared" si="15"/>
        <v>35000</v>
      </c>
      <c r="Q165" s="620">
        <f t="shared" si="15"/>
        <v>3116511</v>
      </c>
      <c r="R165" s="620">
        <f t="shared" si="15"/>
        <v>1591204</v>
      </c>
      <c r="S165" s="621">
        <f t="shared" si="15"/>
        <v>80000</v>
      </c>
    </row>
    <row r="166" spans="1:22" ht="21" thickBot="1" x14ac:dyDescent="0.35">
      <c r="A166" s="1358"/>
      <c r="B166" s="1359"/>
      <c r="C166" s="1359"/>
      <c r="D166" s="1360" t="s">
        <v>235</v>
      </c>
      <c r="E166" s="1361">
        <f t="shared" ref="E166:S166" si="16">SUM(E9,E12,E36,E39,E42,E144,E147)</f>
        <v>4303132</v>
      </c>
      <c r="F166" s="1361">
        <f t="shared" si="16"/>
        <v>5534480</v>
      </c>
      <c r="G166" s="1361">
        <f t="shared" si="16"/>
        <v>57808</v>
      </c>
      <c r="H166" s="1361">
        <f t="shared" si="16"/>
        <v>15578</v>
      </c>
      <c r="I166" s="1361">
        <f t="shared" si="16"/>
        <v>204761</v>
      </c>
      <c r="J166" s="1361">
        <f t="shared" si="16"/>
        <v>416528</v>
      </c>
      <c r="K166" s="1361">
        <f t="shared" si="16"/>
        <v>0</v>
      </c>
      <c r="L166" s="1361">
        <f t="shared" si="16"/>
        <v>931</v>
      </c>
      <c r="M166" s="1361">
        <f t="shared" si="16"/>
        <v>1093</v>
      </c>
      <c r="N166" s="1361">
        <f t="shared" si="16"/>
        <v>8105</v>
      </c>
      <c r="O166" s="1361">
        <f t="shared" si="16"/>
        <v>0</v>
      </c>
      <c r="P166" s="1361">
        <f t="shared" si="16"/>
        <v>25000</v>
      </c>
      <c r="Q166" s="1361">
        <f t="shared" si="16"/>
        <v>3116511</v>
      </c>
      <c r="R166" s="1361">
        <f t="shared" si="16"/>
        <v>1608165</v>
      </c>
      <c r="S166" s="1362">
        <f t="shared" si="16"/>
        <v>80000</v>
      </c>
      <c r="T166" s="613"/>
      <c r="U166" s="613"/>
      <c r="V166" s="613"/>
    </row>
    <row r="167" spans="1:22" ht="15.75" x14ac:dyDescent="0.25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  <c r="P167" s="614"/>
      <c r="Q167" s="614"/>
      <c r="R167" s="614"/>
      <c r="S167" s="614"/>
      <c r="T167" s="613"/>
      <c r="U167" s="613"/>
      <c r="V167" s="613"/>
    </row>
    <row r="168" spans="1:22" ht="15.75" x14ac:dyDescent="0.25">
      <c r="A168" s="614"/>
      <c r="B168" s="614"/>
      <c r="C168" s="614"/>
      <c r="D168" s="614"/>
      <c r="E168" s="617"/>
      <c r="F168" s="617"/>
      <c r="G168" s="614"/>
      <c r="H168" s="614"/>
      <c r="I168" s="614"/>
      <c r="J168" s="614"/>
      <c r="K168" s="614"/>
      <c r="L168" s="614"/>
      <c r="M168" s="614"/>
      <c r="N168" s="614"/>
      <c r="O168" s="614"/>
      <c r="P168" s="614"/>
      <c r="Q168" s="614"/>
      <c r="R168" s="614"/>
      <c r="S168" s="614"/>
      <c r="T168" s="613"/>
      <c r="U168" s="613"/>
      <c r="V168" s="613"/>
    </row>
    <row r="169" spans="1:22" ht="15.75" x14ac:dyDescent="0.25">
      <c r="A169" s="614"/>
      <c r="B169" s="614"/>
      <c r="C169" s="614"/>
      <c r="D169" s="614"/>
      <c r="E169" s="617"/>
      <c r="F169" s="617"/>
      <c r="G169" s="617"/>
      <c r="H169" s="617"/>
      <c r="I169" s="617"/>
      <c r="J169" s="617"/>
      <c r="K169" s="617"/>
      <c r="L169" s="617"/>
      <c r="M169" s="617"/>
      <c r="N169" s="617"/>
      <c r="O169" s="617"/>
      <c r="P169" s="617"/>
      <c r="Q169" s="617"/>
      <c r="R169" s="617"/>
      <c r="S169" s="617"/>
      <c r="T169" s="613"/>
      <c r="U169" s="613"/>
      <c r="V169" s="613"/>
    </row>
    <row r="170" spans="1:22" ht="15.75" x14ac:dyDescent="0.25">
      <c r="A170" s="614"/>
      <c r="B170" s="614"/>
      <c r="C170" s="614"/>
      <c r="D170" s="614"/>
      <c r="E170" s="617"/>
      <c r="F170" s="617"/>
      <c r="G170" s="617"/>
      <c r="H170" s="617"/>
      <c r="I170" s="617"/>
      <c r="J170" s="617"/>
      <c r="K170" s="617"/>
      <c r="L170" s="617"/>
      <c r="M170" s="617"/>
      <c r="N170" s="617"/>
      <c r="O170" s="617"/>
      <c r="P170" s="617"/>
      <c r="Q170" s="617"/>
      <c r="R170" s="617"/>
      <c r="S170" s="617"/>
      <c r="T170" s="613"/>
      <c r="U170" s="613"/>
      <c r="V170" s="613"/>
    </row>
    <row r="171" spans="1:22" ht="15.75" x14ac:dyDescent="0.25">
      <c r="A171" s="614"/>
      <c r="B171" s="614"/>
      <c r="C171" s="619"/>
      <c r="D171" s="614"/>
      <c r="E171" s="617"/>
      <c r="F171" s="617"/>
      <c r="G171" s="617"/>
      <c r="H171" s="617"/>
      <c r="I171" s="617"/>
      <c r="J171" s="617"/>
      <c r="K171" s="617"/>
      <c r="L171" s="617"/>
      <c r="M171" s="617"/>
      <c r="N171" s="617"/>
      <c r="O171" s="617"/>
      <c r="P171" s="617"/>
      <c r="Q171" s="617"/>
      <c r="R171" s="617"/>
      <c r="S171" s="617"/>
      <c r="T171" s="613"/>
      <c r="U171" s="613"/>
      <c r="V171" s="613"/>
    </row>
    <row r="172" spans="1:22" ht="15.75" x14ac:dyDescent="0.25">
      <c r="A172" s="614"/>
      <c r="B172" s="614"/>
      <c r="C172" s="614"/>
      <c r="D172" s="614"/>
      <c r="E172" s="617"/>
      <c r="F172" s="617"/>
      <c r="G172" s="617"/>
      <c r="H172" s="617"/>
      <c r="I172" s="617"/>
      <c r="J172" s="617"/>
      <c r="K172" s="617"/>
      <c r="L172" s="617"/>
      <c r="M172" s="617"/>
      <c r="N172" s="617"/>
      <c r="O172" s="617"/>
      <c r="P172" s="617"/>
      <c r="Q172" s="617"/>
      <c r="R172" s="617"/>
      <c r="S172" s="617"/>
      <c r="T172" s="613"/>
      <c r="U172" s="613"/>
      <c r="V172" s="613"/>
    </row>
    <row r="173" spans="1:22" ht="15.75" x14ac:dyDescent="0.25">
      <c r="A173" s="614"/>
      <c r="B173" s="614"/>
      <c r="C173" s="614"/>
      <c r="D173" s="614"/>
      <c r="E173" s="617"/>
      <c r="F173" s="617"/>
      <c r="G173" s="617"/>
      <c r="H173" s="617"/>
      <c r="I173" s="617"/>
      <c r="J173" s="617"/>
      <c r="K173" s="617"/>
      <c r="L173" s="617"/>
      <c r="M173" s="617"/>
      <c r="N173" s="617"/>
      <c r="O173" s="617"/>
      <c r="P173" s="617"/>
      <c r="Q173" s="617"/>
      <c r="R173" s="617"/>
      <c r="S173" s="617"/>
      <c r="T173" s="613"/>
      <c r="U173" s="613"/>
      <c r="V173" s="613"/>
    </row>
    <row r="174" spans="1:22" ht="15.75" x14ac:dyDescent="0.25">
      <c r="A174" s="614"/>
      <c r="B174" s="614"/>
      <c r="C174" s="614"/>
      <c r="D174" s="614"/>
      <c r="E174" s="618"/>
      <c r="F174" s="618"/>
      <c r="G174" s="618"/>
      <c r="H174" s="618"/>
      <c r="I174" s="618"/>
      <c r="J174" s="618"/>
      <c r="K174" s="618"/>
      <c r="L174" s="618"/>
      <c r="M174" s="618"/>
      <c r="N174" s="618"/>
      <c r="O174" s="618"/>
      <c r="P174" s="618"/>
      <c r="Q174" s="618"/>
      <c r="R174" s="618"/>
      <c r="S174" s="618"/>
      <c r="T174" s="613"/>
      <c r="U174" s="613"/>
      <c r="V174" s="613"/>
    </row>
    <row r="175" spans="1:22" ht="15.75" x14ac:dyDescent="0.25">
      <c r="A175" s="614"/>
      <c r="B175" s="614"/>
      <c r="C175" s="614"/>
      <c r="D175" s="614"/>
      <c r="E175" s="617"/>
      <c r="F175" s="617"/>
      <c r="G175" s="617"/>
      <c r="H175" s="617"/>
      <c r="I175" s="617"/>
      <c r="J175" s="617"/>
      <c r="K175" s="617"/>
      <c r="L175" s="617"/>
      <c r="M175" s="617"/>
      <c r="N175" s="617"/>
      <c r="O175" s="617"/>
      <c r="P175" s="617"/>
      <c r="Q175" s="617"/>
      <c r="R175" s="617"/>
      <c r="S175" s="617"/>
      <c r="T175" s="613"/>
      <c r="U175" s="613"/>
      <c r="V175" s="613"/>
    </row>
    <row r="176" spans="1:22" ht="15.75" x14ac:dyDescent="0.25">
      <c r="A176" s="614"/>
      <c r="B176" s="614"/>
      <c r="C176" s="614"/>
      <c r="D176" s="614"/>
      <c r="E176" s="617"/>
      <c r="F176" s="617"/>
      <c r="G176" s="617"/>
      <c r="H176" s="617"/>
      <c r="I176" s="617"/>
      <c r="J176" s="617"/>
      <c r="K176" s="617"/>
      <c r="L176" s="617"/>
      <c r="M176" s="617"/>
      <c r="N176" s="617"/>
      <c r="O176" s="617"/>
      <c r="P176" s="617"/>
      <c r="Q176" s="617"/>
      <c r="R176" s="617"/>
      <c r="S176" s="617"/>
      <c r="T176" s="613"/>
      <c r="U176" s="613"/>
      <c r="V176" s="613"/>
    </row>
    <row r="177" spans="1:22" ht="15.75" x14ac:dyDescent="0.25">
      <c r="A177" s="614"/>
      <c r="B177" s="614"/>
      <c r="C177" s="614"/>
      <c r="D177" s="614"/>
      <c r="E177" s="617"/>
      <c r="F177" s="617"/>
      <c r="G177" s="617"/>
      <c r="H177" s="617"/>
      <c r="I177" s="617"/>
      <c r="J177" s="617"/>
      <c r="K177" s="617"/>
      <c r="L177" s="617"/>
      <c r="M177" s="617"/>
      <c r="N177" s="617"/>
      <c r="O177" s="617"/>
      <c r="P177" s="617"/>
      <c r="Q177" s="617"/>
      <c r="R177" s="617"/>
      <c r="S177" s="617"/>
      <c r="T177" s="613"/>
      <c r="U177" s="613"/>
      <c r="V177" s="613"/>
    </row>
    <row r="178" spans="1:22" ht="15.75" x14ac:dyDescent="0.25">
      <c r="A178" s="614"/>
      <c r="B178" s="614"/>
      <c r="C178" s="614"/>
      <c r="D178" s="614"/>
      <c r="E178" s="617"/>
      <c r="F178" s="617"/>
      <c r="G178" s="617"/>
      <c r="H178" s="617"/>
      <c r="I178" s="617"/>
      <c r="J178" s="617"/>
      <c r="K178" s="617"/>
      <c r="L178" s="617"/>
      <c r="M178" s="617"/>
      <c r="N178" s="617"/>
      <c r="O178" s="617"/>
      <c r="P178" s="617"/>
      <c r="Q178" s="617"/>
      <c r="R178" s="617"/>
      <c r="S178" s="617"/>
      <c r="T178" s="613"/>
      <c r="U178" s="613"/>
      <c r="V178" s="613"/>
    </row>
    <row r="179" spans="1:22" ht="15.75" x14ac:dyDescent="0.25">
      <c r="A179" s="614"/>
      <c r="B179" s="614"/>
      <c r="C179" s="614"/>
      <c r="D179" s="614"/>
      <c r="E179" s="614"/>
      <c r="F179" s="615"/>
      <c r="G179" s="614"/>
      <c r="H179" s="614"/>
      <c r="I179" s="614"/>
      <c r="J179" s="614"/>
      <c r="K179" s="614"/>
      <c r="L179" s="614"/>
      <c r="M179" s="614"/>
      <c r="N179" s="614"/>
      <c r="O179" s="614"/>
      <c r="P179" s="614"/>
      <c r="Q179" s="614"/>
      <c r="R179" s="614"/>
      <c r="S179" s="614"/>
      <c r="T179" s="613"/>
      <c r="U179" s="613"/>
      <c r="V179" s="613"/>
    </row>
    <row r="180" spans="1:22" ht="15.75" x14ac:dyDescent="0.25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  <c r="P180" s="614"/>
      <c r="Q180" s="614"/>
      <c r="R180" s="614"/>
      <c r="S180" s="614"/>
      <c r="T180" s="613"/>
      <c r="U180" s="613"/>
      <c r="V180" s="613"/>
    </row>
    <row r="181" spans="1:22" ht="15.75" x14ac:dyDescent="0.25">
      <c r="A181" s="614"/>
      <c r="B181" s="614"/>
      <c r="C181" s="614"/>
      <c r="D181" s="614"/>
      <c r="E181" s="614"/>
      <c r="F181" s="614"/>
      <c r="G181" s="614"/>
      <c r="H181" s="614"/>
      <c r="I181" s="614"/>
      <c r="J181" s="617"/>
      <c r="K181" s="614"/>
      <c r="L181" s="614"/>
      <c r="M181" s="614"/>
      <c r="N181" s="614"/>
      <c r="O181" s="617"/>
      <c r="P181" s="614"/>
      <c r="Q181" s="614"/>
      <c r="R181" s="614"/>
      <c r="S181" s="614"/>
      <c r="T181" s="613"/>
      <c r="U181" s="613"/>
      <c r="V181" s="613"/>
    </row>
    <row r="182" spans="1:22" ht="15.75" x14ac:dyDescent="0.25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  <c r="P182" s="614"/>
      <c r="Q182" s="614"/>
      <c r="R182" s="614"/>
      <c r="S182" s="614"/>
      <c r="T182" s="613"/>
      <c r="U182" s="613"/>
      <c r="V182" s="613"/>
    </row>
    <row r="183" spans="1:22" ht="15.75" x14ac:dyDescent="0.25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  <c r="P183" s="614"/>
      <c r="Q183" s="614"/>
      <c r="R183" s="614"/>
      <c r="S183" s="614"/>
      <c r="T183" s="613"/>
      <c r="U183" s="613"/>
      <c r="V183" s="613"/>
    </row>
    <row r="184" spans="1:22" ht="15.75" x14ac:dyDescent="0.25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  <c r="P184" s="614"/>
      <c r="Q184" s="614"/>
      <c r="R184" s="614"/>
      <c r="S184" s="614"/>
      <c r="T184" s="613"/>
      <c r="U184" s="613"/>
      <c r="V184" s="613"/>
    </row>
    <row r="185" spans="1:22" ht="15.75" x14ac:dyDescent="0.25">
      <c r="A185" s="614"/>
      <c r="B185" s="614"/>
      <c r="C185" s="614"/>
      <c r="D185" s="614"/>
      <c r="E185" s="617"/>
      <c r="F185" s="617"/>
      <c r="G185" s="617"/>
      <c r="H185" s="617"/>
      <c r="I185" s="617"/>
      <c r="J185" s="617"/>
      <c r="K185" s="617"/>
      <c r="L185" s="617"/>
      <c r="M185" s="617"/>
      <c r="N185" s="617"/>
      <c r="O185" s="617"/>
      <c r="P185" s="617"/>
      <c r="Q185" s="617"/>
      <c r="R185" s="617"/>
      <c r="S185" s="617"/>
      <c r="T185" s="613"/>
      <c r="U185" s="613"/>
      <c r="V185" s="613"/>
    </row>
    <row r="186" spans="1:22" ht="15.75" x14ac:dyDescent="0.25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  <c r="P186" s="614"/>
      <c r="Q186" s="614"/>
      <c r="R186" s="614"/>
      <c r="S186" s="614"/>
      <c r="T186" s="613"/>
      <c r="U186" s="613"/>
      <c r="V186" s="613"/>
    </row>
    <row r="187" spans="1:22" ht="15.75" x14ac:dyDescent="0.25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  <c r="P187" s="614"/>
      <c r="Q187" s="614"/>
      <c r="R187" s="614"/>
      <c r="S187" s="614"/>
      <c r="T187" s="613"/>
      <c r="U187" s="613"/>
      <c r="V187" s="613"/>
    </row>
    <row r="188" spans="1:22" ht="15.75" x14ac:dyDescent="0.25">
      <c r="A188" s="614"/>
      <c r="B188" s="614"/>
      <c r="C188" s="614"/>
      <c r="D188" s="614"/>
      <c r="E188" s="615"/>
      <c r="F188" s="615"/>
      <c r="G188" s="614"/>
      <c r="H188" s="614"/>
      <c r="I188" s="614"/>
      <c r="J188" s="614"/>
      <c r="K188" s="614"/>
      <c r="L188" s="614"/>
      <c r="M188" s="614"/>
      <c r="N188" s="614"/>
      <c r="O188" s="614"/>
      <c r="P188" s="614"/>
      <c r="Q188" s="614"/>
      <c r="R188" s="614"/>
      <c r="S188" s="614"/>
      <c r="T188" s="613"/>
      <c r="U188" s="613"/>
      <c r="V188" s="613"/>
    </row>
    <row r="189" spans="1:22" ht="15.75" x14ac:dyDescent="0.25">
      <c r="A189" s="614"/>
      <c r="B189" s="614"/>
      <c r="C189" s="614"/>
      <c r="D189" s="614"/>
      <c r="E189" s="615"/>
      <c r="F189" s="615"/>
      <c r="G189" s="614"/>
      <c r="H189" s="614"/>
      <c r="I189" s="614"/>
      <c r="J189" s="614"/>
      <c r="K189" s="614"/>
      <c r="L189" s="614"/>
      <c r="M189" s="614"/>
      <c r="N189" s="614"/>
      <c r="O189" s="614"/>
      <c r="P189" s="614"/>
      <c r="Q189" s="614"/>
      <c r="R189" s="614"/>
      <c r="S189" s="614"/>
      <c r="T189" s="613"/>
      <c r="U189" s="613"/>
      <c r="V189" s="613"/>
    </row>
    <row r="190" spans="1:22" ht="15.75" x14ac:dyDescent="0.25">
      <c r="A190" s="614"/>
      <c r="B190" s="614"/>
      <c r="C190" s="614"/>
      <c r="D190" s="614"/>
      <c r="E190" s="615"/>
      <c r="F190" s="615"/>
      <c r="G190" s="614"/>
      <c r="H190" s="614"/>
      <c r="I190" s="614"/>
      <c r="J190" s="614"/>
      <c r="K190" s="614"/>
      <c r="L190" s="614"/>
      <c r="M190" s="614"/>
      <c r="N190" s="614"/>
      <c r="O190" s="614"/>
      <c r="P190" s="614"/>
      <c r="Q190" s="614"/>
      <c r="R190" s="614"/>
      <c r="S190" s="614"/>
      <c r="T190" s="613"/>
      <c r="U190" s="613"/>
      <c r="V190" s="613"/>
    </row>
    <row r="191" spans="1:22" ht="15.75" x14ac:dyDescent="0.25">
      <c r="A191" s="614"/>
      <c r="B191" s="614"/>
      <c r="C191" s="614"/>
      <c r="D191" s="614"/>
      <c r="E191" s="615"/>
      <c r="F191" s="615"/>
      <c r="G191" s="614"/>
      <c r="H191" s="614"/>
      <c r="I191" s="614"/>
      <c r="J191" s="614"/>
      <c r="K191" s="614"/>
      <c r="L191" s="614"/>
      <c r="M191" s="614"/>
      <c r="N191" s="614"/>
      <c r="O191" s="614"/>
      <c r="P191" s="614"/>
      <c r="Q191" s="614"/>
      <c r="R191" s="614"/>
      <c r="S191" s="614"/>
      <c r="T191" s="613"/>
      <c r="U191" s="613"/>
      <c r="V191" s="613"/>
    </row>
    <row r="192" spans="1:22" ht="15.75" x14ac:dyDescent="0.25">
      <c r="A192" s="614"/>
      <c r="B192" s="614"/>
      <c r="C192" s="614"/>
      <c r="D192" s="614"/>
      <c r="E192" s="616"/>
      <c r="F192" s="615"/>
      <c r="G192" s="614"/>
      <c r="H192" s="614"/>
      <c r="I192" s="614"/>
      <c r="J192" s="614"/>
      <c r="K192" s="614"/>
      <c r="L192" s="614"/>
      <c r="M192" s="614"/>
      <c r="N192" s="614"/>
      <c r="O192" s="614"/>
      <c r="P192" s="614"/>
      <c r="Q192" s="614"/>
      <c r="R192" s="614"/>
      <c r="S192" s="614"/>
      <c r="T192" s="613"/>
      <c r="U192" s="613"/>
      <c r="V192" s="613"/>
    </row>
    <row r="193" spans="1:22" ht="15.75" x14ac:dyDescent="0.25">
      <c r="A193" s="614"/>
      <c r="B193" s="614"/>
      <c r="C193" s="614"/>
      <c r="D193" s="614"/>
      <c r="E193" s="615"/>
      <c r="F193" s="615"/>
      <c r="G193" s="614"/>
      <c r="H193" s="614"/>
      <c r="I193" s="614"/>
      <c r="J193" s="614"/>
      <c r="K193" s="614"/>
      <c r="L193" s="614"/>
      <c r="M193" s="614"/>
      <c r="N193" s="614"/>
      <c r="O193" s="614"/>
      <c r="P193" s="614"/>
      <c r="Q193" s="614"/>
      <c r="R193" s="614"/>
      <c r="S193" s="614"/>
      <c r="T193" s="613"/>
      <c r="U193" s="613"/>
      <c r="V193" s="613"/>
    </row>
    <row r="194" spans="1:22" ht="15.75" x14ac:dyDescent="0.25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  <c r="P194" s="614"/>
      <c r="Q194" s="614"/>
      <c r="R194" s="614"/>
      <c r="S194" s="614"/>
      <c r="T194" s="613"/>
      <c r="U194" s="613"/>
      <c r="V194" s="613"/>
    </row>
    <row r="195" spans="1:22" ht="15.75" x14ac:dyDescent="0.2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  <c r="P195" s="614"/>
      <c r="Q195" s="614"/>
      <c r="R195" s="614"/>
      <c r="S195" s="614"/>
      <c r="T195" s="613"/>
      <c r="U195" s="613"/>
      <c r="V195" s="613"/>
    </row>
    <row r="196" spans="1:22" ht="15.75" x14ac:dyDescent="0.25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  <c r="P196" s="614"/>
      <c r="Q196" s="614"/>
      <c r="R196" s="614"/>
      <c r="S196" s="614"/>
      <c r="T196" s="613"/>
      <c r="U196" s="613"/>
      <c r="V196" s="613"/>
    </row>
    <row r="197" spans="1:22" ht="15.75" x14ac:dyDescent="0.25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  <c r="P197" s="614"/>
      <c r="Q197" s="614"/>
      <c r="R197" s="614"/>
      <c r="S197" s="614"/>
      <c r="T197" s="613"/>
      <c r="U197" s="613"/>
      <c r="V197" s="613"/>
    </row>
    <row r="198" spans="1:22" ht="15.75" x14ac:dyDescent="0.25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  <c r="P198" s="614"/>
      <c r="Q198" s="614"/>
      <c r="R198" s="614"/>
      <c r="S198" s="614"/>
      <c r="T198" s="613"/>
      <c r="U198" s="613"/>
      <c r="V198" s="613"/>
    </row>
    <row r="199" spans="1:22" ht="15.75" x14ac:dyDescent="0.25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  <c r="P199" s="614"/>
      <c r="Q199" s="614"/>
      <c r="R199" s="614"/>
      <c r="S199" s="614"/>
      <c r="T199" s="613"/>
      <c r="U199" s="613"/>
      <c r="V199" s="613"/>
    </row>
    <row r="200" spans="1:22" ht="15.75" x14ac:dyDescent="0.25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  <c r="P200" s="614"/>
      <c r="Q200" s="614"/>
      <c r="R200" s="614"/>
      <c r="S200" s="614"/>
      <c r="T200" s="613"/>
      <c r="U200" s="613"/>
      <c r="V200" s="613"/>
    </row>
    <row r="201" spans="1:22" ht="15.75" x14ac:dyDescent="0.25">
      <c r="A201" s="614"/>
      <c r="B201" s="614"/>
      <c r="C201" s="614"/>
      <c r="D201" s="614"/>
      <c r="E201" s="614"/>
      <c r="F201" s="614"/>
      <c r="G201" s="614"/>
      <c r="H201" s="614"/>
      <c r="I201" s="614"/>
      <c r="J201" s="614"/>
      <c r="K201" s="614"/>
      <c r="L201" s="614"/>
      <c r="M201" s="614"/>
      <c r="N201" s="614"/>
      <c r="O201" s="614"/>
      <c r="P201" s="614"/>
      <c r="Q201" s="614"/>
      <c r="R201" s="614"/>
      <c r="S201" s="614"/>
      <c r="T201" s="613"/>
      <c r="U201" s="613"/>
      <c r="V201" s="613"/>
    </row>
    <row r="202" spans="1:22" ht="15.75" x14ac:dyDescent="0.25">
      <c r="A202" s="614"/>
      <c r="B202" s="614"/>
      <c r="C202" s="614"/>
      <c r="D202" s="614"/>
      <c r="E202" s="614"/>
      <c r="F202" s="614"/>
      <c r="G202" s="614"/>
      <c r="H202" s="614"/>
      <c r="I202" s="614"/>
      <c r="J202" s="614"/>
      <c r="K202" s="614"/>
      <c r="L202" s="614"/>
      <c r="M202" s="614"/>
      <c r="N202" s="614"/>
      <c r="O202" s="614"/>
      <c r="P202" s="614"/>
      <c r="Q202" s="614"/>
      <c r="R202" s="614"/>
      <c r="S202" s="614"/>
      <c r="T202" s="613"/>
      <c r="U202" s="613"/>
      <c r="V202" s="613"/>
    </row>
    <row r="203" spans="1:22" ht="15.75" x14ac:dyDescent="0.25">
      <c r="A203" s="614"/>
      <c r="B203" s="614"/>
      <c r="C203" s="614"/>
      <c r="D203" s="614"/>
      <c r="E203" s="614"/>
      <c r="F203" s="614"/>
      <c r="G203" s="614"/>
      <c r="H203" s="614"/>
      <c r="I203" s="614"/>
      <c r="J203" s="614"/>
      <c r="K203" s="614"/>
      <c r="L203" s="614"/>
      <c r="M203" s="614"/>
      <c r="N203" s="614"/>
      <c r="O203" s="614"/>
      <c r="P203" s="614"/>
      <c r="Q203" s="614"/>
      <c r="R203" s="614"/>
      <c r="S203" s="614"/>
      <c r="T203" s="613"/>
      <c r="U203" s="613"/>
      <c r="V203" s="613"/>
    </row>
    <row r="204" spans="1:22" ht="15.75" x14ac:dyDescent="0.25">
      <c r="A204" s="614"/>
      <c r="B204" s="614"/>
      <c r="C204" s="614"/>
      <c r="D204" s="614"/>
      <c r="E204" s="614"/>
      <c r="F204" s="614"/>
      <c r="G204" s="614"/>
      <c r="H204" s="614"/>
      <c r="I204" s="614"/>
      <c r="J204" s="614"/>
      <c r="K204" s="614"/>
      <c r="L204" s="614"/>
      <c r="M204" s="614"/>
      <c r="N204" s="614"/>
      <c r="O204" s="614"/>
      <c r="P204" s="614"/>
      <c r="Q204" s="614"/>
      <c r="R204" s="614"/>
      <c r="S204" s="614"/>
      <c r="T204" s="613"/>
      <c r="U204" s="613"/>
      <c r="V204" s="613"/>
    </row>
    <row r="205" spans="1:22" ht="15.75" x14ac:dyDescent="0.25">
      <c r="A205" s="614"/>
      <c r="B205" s="614"/>
      <c r="C205" s="614"/>
      <c r="D205" s="614"/>
      <c r="E205" s="614"/>
      <c r="F205" s="614"/>
      <c r="G205" s="614"/>
      <c r="H205" s="614"/>
      <c r="I205" s="614"/>
      <c r="J205" s="614"/>
      <c r="K205" s="614"/>
      <c r="L205" s="614"/>
      <c r="M205" s="614"/>
      <c r="N205" s="614"/>
      <c r="O205" s="614"/>
      <c r="P205" s="614"/>
      <c r="Q205" s="614"/>
      <c r="R205" s="614"/>
      <c r="S205" s="614"/>
      <c r="T205" s="613"/>
      <c r="U205" s="613"/>
      <c r="V205" s="613"/>
    </row>
    <row r="206" spans="1:22" ht="15.75" x14ac:dyDescent="0.25">
      <c r="A206" s="614"/>
      <c r="B206" s="614"/>
      <c r="C206" s="614"/>
      <c r="D206" s="614"/>
      <c r="E206" s="614"/>
      <c r="F206" s="614"/>
      <c r="G206" s="614"/>
      <c r="H206" s="614"/>
      <c r="I206" s="614"/>
      <c r="J206" s="614"/>
      <c r="K206" s="614"/>
      <c r="L206" s="614"/>
      <c r="M206" s="614"/>
      <c r="N206" s="614"/>
      <c r="O206" s="614"/>
      <c r="P206" s="614"/>
      <c r="Q206" s="614"/>
      <c r="R206" s="614"/>
      <c r="S206" s="614"/>
      <c r="T206" s="613"/>
      <c r="U206" s="613"/>
      <c r="V206" s="613"/>
    </row>
    <row r="207" spans="1:22" ht="15.75" x14ac:dyDescent="0.25">
      <c r="A207" s="614"/>
      <c r="B207" s="614"/>
      <c r="C207" s="614"/>
      <c r="D207" s="614"/>
      <c r="E207" s="614"/>
      <c r="F207" s="614"/>
      <c r="G207" s="614"/>
      <c r="H207" s="614"/>
      <c r="I207" s="614"/>
      <c r="J207" s="614"/>
      <c r="K207" s="614"/>
      <c r="L207" s="614"/>
      <c r="M207" s="614"/>
      <c r="N207" s="614"/>
      <c r="O207" s="614"/>
      <c r="P207" s="614"/>
      <c r="Q207" s="614"/>
      <c r="R207" s="614"/>
      <c r="S207" s="614"/>
      <c r="T207" s="613"/>
      <c r="U207" s="613"/>
      <c r="V207" s="613"/>
    </row>
    <row r="208" spans="1:22" ht="15.75" x14ac:dyDescent="0.25">
      <c r="A208" s="614"/>
      <c r="B208" s="614"/>
      <c r="C208" s="614"/>
      <c r="D208" s="614"/>
      <c r="E208" s="614"/>
      <c r="F208" s="614"/>
      <c r="G208" s="614"/>
      <c r="H208" s="614"/>
      <c r="I208" s="614"/>
      <c r="J208" s="614"/>
      <c r="K208" s="614"/>
      <c r="L208" s="614"/>
      <c r="M208" s="614"/>
      <c r="N208" s="614"/>
      <c r="O208" s="614"/>
      <c r="P208" s="614"/>
      <c r="Q208" s="614"/>
      <c r="R208" s="614"/>
      <c r="S208" s="614"/>
      <c r="T208" s="613"/>
      <c r="U208" s="613"/>
      <c r="V208" s="613"/>
    </row>
    <row r="209" spans="1:22" ht="15.75" x14ac:dyDescent="0.25">
      <c r="A209" s="614"/>
      <c r="B209" s="614"/>
      <c r="C209" s="614"/>
      <c r="D209" s="614"/>
      <c r="E209" s="614"/>
      <c r="F209" s="614"/>
      <c r="G209" s="614"/>
      <c r="H209" s="614"/>
      <c r="I209" s="614"/>
      <c r="J209" s="614"/>
      <c r="K209" s="614"/>
      <c r="L209" s="614"/>
      <c r="M209" s="614"/>
      <c r="N209" s="614"/>
      <c r="O209" s="614"/>
      <c r="P209" s="614"/>
      <c r="Q209" s="614"/>
      <c r="R209" s="614"/>
      <c r="S209" s="614"/>
      <c r="T209" s="613"/>
      <c r="U209" s="613"/>
      <c r="V209" s="613"/>
    </row>
    <row r="210" spans="1:22" ht="15.75" x14ac:dyDescent="0.25">
      <c r="A210" s="614"/>
      <c r="B210" s="614"/>
      <c r="C210" s="614"/>
      <c r="D210" s="614"/>
      <c r="E210" s="614"/>
      <c r="F210" s="614"/>
      <c r="G210" s="614"/>
      <c r="H210" s="614"/>
      <c r="I210" s="614"/>
      <c r="J210" s="614"/>
      <c r="K210" s="614"/>
      <c r="L210" s="614"/>
      <c r="M210" s="614"/>
      <c r="N210" s="614"/>
      <c r="O210" s="614"/>
      <c r="P210" s="614"/>
      <c r="Q210" s="614"/>
      <c r="R210" s="614"/>
      <c r="S210" s="614"/>
      <c r="T210" s="613"/>
      <c r="U210" s="613"/>
      <c r="V210" s="613"/>
    </row>
    <row r="211" spans="1:22" ht="15.75" x14ac:dyDescent="0.25">
      <c r="A211" s="614"/>
      <c r="B211" s="614"/>
      <c r="C211" s="614"/>
      <c r="D211" s="614"/>
      <c r="E211" s="614"/>
      <c r="F211" s="614"/>
      <c r="G211" s="614"/>
      <c r="H211" s="614"/>
      <c r="I211" s="614"/>
      <c r="J211" s="614"/>
      <c r="K211" s="614"/>
      <c r="L211" s="614"/>
      <c r="M211" s="614"/>
      <c r="N211" s="614"/>
      <c r="O211" s="614"/>
      <c r="P211" s="614"/>
      <c r="Q211" s="614"/>
      <c r="R211" s="614"/>
      <c r="S211" s="614"/>
      <c r="T211" s="613"/>
      <c r="U211" s="613"/>
      <c r="V211" s="613"/>
    </row>
    <row r="212" spans="1:22" ht="15.75" x14ac:dyDescent="0.25">
      <c r="A212" s="614"/>
      <c r="B212" s="614"/>
      <c r="C212" s="614"/>
      <c r="D212" s="614"/>
      <c r="E212" s="614"/>
      <c r="F212" s="614"/>
      <c r="G212" s="614"/>
      <c r="H212" s="614"/>
      <c r="I212" s="614"/>
      <c r="J212" s="614"/>
      <c r="K212" s="614"/>
      <c r="L212" s="614"/>
      <c r="M212" s="614"/>
      <c r="N212" s="614"/>
      <c r="O212" s="614"/>
      <c r="P212" s="614"/>
      <c r="Q212" s="614"/>
      <c r="R212" s="614"/>
      <c r="S212" s="614"/>
      <c r="T212" s="613"/>
      <c r="U212" s="613"/>
      <c r="V212" s="613"/>
    </row>
    <row r="213" spans="1:22" ht="15.75" x14ac:dyDescent="0.25">
      <c r="A213" s="614"/>
      <c r="B213" s="614"/>
      <c r="C213" s="614"/>
      <c r="D213" s="614"/>
      <c r="E213" s="614"/>
      <c r="F213" s="614"/>
      <c r="G213" s="614"/>
      <c r="H213" s="614"/>
      <c r="I213" s="614"/>
      <c r="J213" s="614"/>
      <c r="K213" s="614"/>
      <c r="L213" s="614"/>
      <c r="M213" s="614"/>
      <c r="N213" s="614"/>
      <c r="O213" s="614"/>
      <c r="P213" s="614"/>
      <c r="Q213" s="614"/>
      <c r="R213" s="614"/>
      <c r="S213" s="614"/>
      <c r="T213" s="613"/>
      <c r="U213" s="613"/>
      <c r="V213" s="613"/>
    </row>
    <row r="214" spans="1:22" ht="15.75" x14ac:dyDescent="0.25">
      <c r="A214" s="614"/>
      <c r="B214" s="614"/>
      <c r="C214" s="614"/>
      <c r="D214" s="614"/>
      <c r="E214" s="614"/>
      <c r="F214" s="614"/>
      <c r="G214" s="614"/>
      <c r="H214" s="614"/>
      <c r="I214" s="614"/>
      <c r="J214" s="614"/>
      <c r="K214" s="614"/>
      <c r="L214" s="614"/>
      <c r="M214" s="614"/>
      <c r="N214" s="614"/>
      <c r="O214" s="614"/>
      <c r="P214" s="614"/>
      <c r="Q214" s="614"/>
      <c r="R214" s="614"/>
      <c r="S214" s="614"/>
      <c r="T214" s="613"/>
      <c r="U214" s="613"/>
      <c r="V214" s="613"/>
    </row>
    <row r="215" spans="1:22" ht="15.75" x14ac:dyDescent="0.25">
      <c r="A215" s="614"/>
      <c r="B215" s="614"/>
      <c r="C215" s="614"/>
      <c r="D215" s="614"/>
      <c r="E215" s="614"/>
      <c r="F215" s="614"/>
      <c r="G215" s="614"/>
      <c r="H215" s="614"/>
      <c r="I215" s="614"/>
      <c r="J215" s="614"/>
      <c r="K215" s="614"/>
      <c r="L215" s="614"/>
      <c r="M215" s="614"/>
      <c r="N215" s="614"/>
      <c r="O215" s="614"/>
      <c r="P215" s="614"/>
      <c r="Q215" s="614"/>
      <c r="R215" s="614"/>
      <c r="S215" s="614"/>
      <c r="T215" s="613"/>
      <c r="U215" s="613"/>
      <c r="V215" s="613"/>
    </row>
    <row r="216" spans="1:22" ht="15.75" x14ac:dyDescent="0.25">
      <c r="A216" s="614"/>
      <c r="B216" s="614"/>
      <c r="C216" s="614"/>
      <c r="D216" s="614"/>
      <c r="E216" s="614"/>
      <c r="F216" s="614"/>
      <c r="G216" s="614"/>
      <c r="H216" s="614"/>
      <c r="I216" s="614"/>
      <c r="J216" s="614"/>
      <c r="K216" s="614"/>
      <c r="L216" s="614"/>
      <c r="M216" s="614"/>
      <c r="N216" s="614"/>
      <c r="O216" s="614"/>
      <c r="P216" s="614"/>
      <c r="Q216" s="614"/>
      <c r="R216" s="614"/>
      <c r="S216" s="614"/>
      <c r="T216" s="613"/>
      <c r="U216" s="613"/>
      <c r="V216" s="613"/>
    </row>
    <row r="217" spans="1:22" ht="15.75" x14ac:dyDescent="0.25">
      <c r="A217" s="614"/>
      <c r="B217" s="614"/>
      <c r="C217" s="614"/>
      <c r="D217" s="614"/>
      <c r="E217" s="614"/>
      <c r="F217" s="614"/>
      <c r="G217" s="614"/>
      <c r="H217" s="614"/>
      <c r="I217" s="614"/>
      <c r="J217" s="614"/>
      <c r="K217" s="614"/>
      <c r="L217" s="614"/>
      <c r="M217" s="614"/>
      <c r="N217" s="614"/>
      <c r="O217" s="614"/>
      <c r="P217" s="614"/>
      <c r="Q217" s="614"/>
      <c r="R217" s="614"/>
      <c r="S217" s="614"/>
      <c r="T217" s="613"/>
      <c r="U217" s="613"/>
      <c r="V217" s="613"/>
    </row>
    <row r="218" spans="1:22" ht="15.75" x14ac:dyDescent="0.25">
      <c r="A218" s="614"/>
      <c r="B218" s="614"/>
      <c r="C218" s="614"/>
      <c r="D218" s="614"/>
      <c r="E218" s="614"/>
      <c r="F218" s="614"/>
      <c r="G218" s="614"/>
      <c r="H218" s="614"/>
      <c r="I218" s="614"/>
      <c r="J218" s="614"/>
      <c r="K218" s="614"/>
      <c r="L218" s="614"/>
      <c r="M218" s="614"/>
      <c r="N218" s="614"/>
      <c r="O218" s="614"/>
      <c r="P218" s="614"/>
      <c r="Q218" s="614"/>
      <c r="R218" s="614"/>
      <c r="S218" s="614"/>
      <c r="T218" s="613"/>
      <c r="U218" s="613"/>
      <c r="V218" s="613"/>
    </row>
    <row r="219" spans="1:22" ht="15.75" x14ac:dyDescent="0.25">
      <c r="A219" s="614"/>
      <c r="B219" s="614"/>
      <c r="C219" s="614"/>
      <c r="D219" s="614"/>
      <c r="E219" s="614"/>
      <c r="F219" s="614"/>
      <c r="G219" s="614"/>
      <c r="H219" s="614"/>
      <c r="I219" s="614"/>
      <c r="J219" s="614"/>
      <c r="K219" s="614"/>
      <c r="L219" s="614"/>
      <c r="M219" s="614"/>
      <c r="N219" s="614"/>
      <c r="O219" s="614"/>
      <c r="P219" s="614"/>
      <c r="Q219" s="614"/>
      <c r="R219" s="614"/>
      <c r="S219" s="614"/>
      <c r="T219" s="613"/>
      <c r="U219" s="613"/>
      <c r="V219" s="613"/>
    </row>
    <row r="220" spans="1:22" ht="15.75" x14ac:dyDescent="0.25">
      <c r="A220" s="614"/>
      <c r="B220" s="614"/>
      <c r="C220" s="614"/>
      <c r="D220" s="614"/>
      <c r="E220" s="614"/>
      <c r="F220" s="614"/>
      <c r="G220" s="614"/>
      <c r="H220" s="614"/>
      <c r="I220" s="614"/>
      <c r="J220" s="614"/>
      <c r="K220" s="614"/>
      <c r="L220" s="614"/>
      <c r="M220" s="614"/>
      <c r="N220" s="614"/>
      <c r="O220" s="614"/>
      <c r="P220" s="614"/>
      <c r="Q220" s="614"/>
      <c r="R220" s="614"/>
      <c r="S220" s="614"/>
      <c r="T220" s="613"/>
      <c r="U220" s="613"/>
      <c r="V220" s="613"/>
    </row>
    <row r="221" spans="1:22" ht="15.75" x14ac:dyDescent="0.25">
      <c r="A221" s="614"/>
      <c r="B221" s="614"/>
      <c r="C221" s="614"/>
      <c r="D221" s="614"/>
      <c r="E221" s="614"/>
      <c r="F221" s="614"/>
      <c r="G221" s="614"/>
      <c r="H221" s="614"/>
      <c r="I221" s="614"/>
      <c r="J221" s="614"/>
      <c r="K221" s="614"/>
      <c r="L221" s="614"/>
      <c r="M221" s="614"/>
      <c r="N221" s="614"/>
      <c r="O221" s="614"/>
      <c r="P221" s="614"/>
      <c r="Q221" s="614"/>
      <c r="R221" s="614"/>
      <c r="S221" s="614"/>
      <c r="T221" s="613"/>
      <c r="U221" s="613"/>
      <c r="V221" s="613"/>
    </row>
    <row r="222" spans="1:22" ht="15.75" x14ac:dyDescent="0.25">
      <c r="A222" s="614"/>
      <c r="B222" s="614"/>
      <c r="C222" s="614"/>
      <c r="D222" s="614"/>
      <c r="E222" s="614"/>
      <c r="F222" s="614"/>
      <c r="G222" s="614"/>
      <c r="H222" s="614"/>
      <c r="I222" s="614"/>
      <c r="J222" s="614"/>
      <c r="K222" s="614"/>
      <c r="L222" s="614"/>
      <c r="M222" s="614"/>
      <c r="N222" s="614"/>
      <c r="O222" s="614"/>
      <c r="P222" s="614"/>
      <c r="Q222" s="614"/>
      <c r="R222" s="614"/>
      <c r="S222" s="614"/>
      <c r="T222" s="613"/>
      <c r="U222" s="613"/>
      <c r="V222" s="613"/>
    </row>
    <row r="223" spans="1:22" ht="15.75" x14ac:dyDescent="0.25">
      <c r="A223" s="614"/>
      <c r="B223" s="614"/>
      <c r="C223" s="614"/>
      <c r="D223" s="614"/>
      <c r="E223" s="614"/>
      <c r="F223" s="614"/>
      <c r="G223" s="614"/>
      <c r="H223" s="614"/>
      <c r="I223" s="614"/>
      <c r="J223" s="614"/>
      <c r="K223" s="614"/>
      <c r="L223" s="614"/>
      <c r="M223" s="614"/>
      <c r="N223" s="614"/>
      <c r="O223" s="614"/>
      <c r="P223" s="614"/>
      <c r="Q223" s="614"/>
      <c r="R223" s="614"/>
      <c r="S223" s="614"/>
      <c r="T223" s="613"/>
      <c r="U223" s="613"/>
      <c r="V223" s="613"/>
    </row>
    <row r="224" spans="1:22" ht="15.75" x14ac:dyDescent="0.25">
      <c r="A224" s="614"/>
      <c r="B224" s="614"/>
      <c r="C224" s="614"/>
      <c r="D224" s="614"/>
      <c r="E224" s="614"/>
      <c r="F224" s="614"/>
      <c r="G224" s="614"/>
      <c r="H224" s="614"/>
      <c r="I224" s="614"/>
      <c r="J224" s="614"/>
      <c r="K224" s="614"/>
      <c r="L224" s="614"/>
      <c r="M224" s="614"/>
      <c r="N224" s="614"/>
      <c r="O224" s="614"/>
      <c r="P224" s="614"/>
      <c r="Q224" s="614"/>
      <c r="R224" s="614"/>
      <c r="S224" s="614"/>
      <c r="T224" s="613"/>
      <c r="U224" s="613"/>
      <c r="V224" s="613"/>
    </row>
    <row r="225" spans="1:22" ht="15.75" x14ac:dyDescent="0.25">
      <c r="A225" s="614"/>
      <c r="B225" s="614"/>
      <c r="C225" s="614"/>
      <c r="D225" s="614"/>
      <c r="E225" s="614"/>
      <c r="F225" s="614"/>
      <c r="G225" s="614"/>
      <c r="H225" s="614"/>
      <c r="I225" s="614"/>
      <c r="J225" s="614"/>
      <c r="K225" s="614"/>
      <c r="L225" s="614"/>
      <c r="M225" s="614"/>
      <c r="N225" s="614"/>
      <c r="O225" s="614"/>
      <c r="P225" s="614"/>
      <c r="Q225" s="614"/>
      <c r="R225" s="614"/>
      <c r="S225" s="614"/>
      <c r="T225" s="613"/>
      <c r="U225" s="613"/>
      <c r="V225" s="613"/>
    </row>
    <row r="226" spans="1:22" ht="15.75" x14ac:dyDescent="0.25">
      <c r="A226" s="614"/>
      <c r="B226" s="614"/>
      <c r="C226" s="614"/>
      <c r="D226" s="614"/>
      <c r="E226" s="614"/>
      <c r="F226" s="614"/>
      <c r="G226" s="614"/>
      <c r="H226" s="614"/>
      <c r="I226" s="614"/>
      <c r="J226" s="614"/>
      <c r="K226" s="614"/>
      <c r="L226" s="614"/>
      <c r="M226" s="614"/>
      <c r="N226" s="614"/>
      <c r="O226" s="614"/>
      <c r="P226" s="614"/>
      <c r="Q226" s="614"/>
      <c r="R226" s="614"/>
      <c r="S226" s="614"/>
      <c r="T226" s="613"/>
      <c r="U226" s="613"/>
      <c r="V226" s="613"/>
    </row>
    <row r="227" spans="1:22" ht="15.75" x14ac:dyDescent="0.25">
      <c r="A227" s="614"/>
      <c r="B227" s="614"/>
      <c r="C227" s="614"/>
      <c r="D227" s="614"/>
      <c r="E227" s="614"/>
      <c r="F227" s="614"/>
      <c r="G227" s="614"/>
      <c r="H227" s="614"/>
      <c r="I227" s="614"/>
      <c r="J227" s="614"/>
      <c r="K227" s="614"/>
      <c r="L227" s="614"/>
      <c r="M227" s="614"/>
      <c r="N227" s="614"/>
      <c r="O227" s="614"/>
      <c r="P227" s="614"/>
      <c r="Q227" s="614"/>
      <c r="R227" s="614"/>
      <c r="S227" s="614"/>
      <c r="T227" s="613"/>
      <c r="U227" s="613"/>
      <c r="V227" s="613"/>
    </row>
    <row r="228" spans="1:22" ht="15.75" x14ac:dyDescent="0.25">
      <c r="A228" s="614"/>
      <c r="B228" s="614"/>
      <c r="C228" s="614"/>
      <c r="D228" s="614"/>
      <c r="E228" s="614"/>
      <c r="F228" s="614"/>
      <c r="G228" s="614"/>
      <c r="H228" s="614"/>
      <c r="I228" s="614"/>
      <c r="J228" s="614"/>
      <c r="K228" s="614"/>
      <c r="L228" s="614"/>
      <c r="M228" s="614"/>
      <c r="N228" s="614"/>
      <c r="O228" s="614"/>
      <c r="P228" s="614"/>
      <c r="Q228" s="614"/>
      <c r="R228" s="614"/>
      <c r="S228" s="614"/>
      <c r="T228" s="613"/>
      <c r="U228" s="613"/>
      <c r="V228" s="613"/>
    </row>
    <row r="229" spans="1:22" ht="15.75" x14ac:dyDescent="0.25">
      <c r="A229" s="614"/>
      <c r="B229" s="614"/>
      <c r="C229" s="614"/>
      <c r="D229" s="614"/>
      <c r="E229" s="614"/>
      <c r="F229" s="614"/>
      <c r="G229" s="614"/>
      <c r="H229" s="614"/>
      <c r="I229" s="614"/>
      <c r="J229" s="614"/>
      <c r="K229" s="614"/>
      <c r="L229" s="614"/>
      <c r="M229" s="614"/>
      <c r="N229" s="614"/>
      <c r="O229" s="614"/>
      <c r="P229" s="614"/>
      <c r="Q229" s="614"/>
      <c r="R229" s="614"/>
      <c r="S229" s="614"/>
      <c r="T229" s="613"/>
      <c r="U229" s="613"/>
      <c r="V229" s="613"/>
    </row>
    <row r="230" spans="1:22" ht="15.75" x14ac:dyDescent="0.25">
      <c r="A230" s="614"/>
      <c r="B230" s="614"/>
      <c r="C230" s="614"/>
      <c r="D230" s="614"/>
      <c r="E230" s="614"/>
      <c r="F230" s="614"/>
      <c r="G230" s="614"/>
      <c r="H230" s="614"/>
      <c r="I230" s="614"/>
      <c r="J230" s="614"/>
      <c r="K230" s="614"/>
      <c r="L230" s="614"/>
      <c r="M230" s="614"/>
      <c r="N230" s="614"/>
      <c r="O230" s="614"/>
      <c r="P230" s="614"/>
      <c r="Q230" s="614"/>
      <c r="R230" s="614"/>
      <c r="S230" s="614"/>
      <c r="T230" s="613"/>
      <c r="U230" s="613"/>
      <c r="V230" s="613"/>
    </row>
    <row r="231" spans="1:22" ht="15.75" x14ac:dyDescent="0.25">
      <c r="A231" s="614"/>
      <c r="B231" s="614"/>
      <c r="C231" s="614"/>
      <c r="D231" s="614"/>
      <c r="E231" s="614"/>
      <c r="F231" s="614"/>
      <c r="G231" s="614"/>
      <c r="H231" s="614"/>
      <c r="I231" s="614"/>
      <c r="J231" s="614"/>
      <c r="K231" s="614"/>
      <c r="L231" s="614"/>
      <c r="M231" s="614"/>
      <c r="N231" s="614"/>
      <c r="O231" s="614"/>
      <c r="P231" s="614"/>
      <c r="Q231" s="614"/>
      <c r="R231" s="614"/>
      <c r="S231" s="614"/>
      <c r="T231" s="613"/>
      <c r="U231" s="613"/>
      <c r="V231" s="613"/>
    </row>
    <row r="232" spans="1:22" ht="15.75" x14ac:dyDescent="0.25">
      <c r="A232" s="614"/>
      <c r="B232" s="614"/>
      <c r="C232" s="614"/>
      <c r="D232" s="614"/>
      <c r="E232" s="614"/>
      <c r="F232" s="614"/>
      <c r="G232" s="614"/>
      <c r="H232" s="614"/>
      <c r="I232" s="614"/>
      <c r="J232" s="614"/>
      <c r="K232" s="614"/>
      <c r="L232" s="614"/>
      <c r="M232" s="614"/>
      <c r="N232" s="614"/>
      <c r="O232" s="614"/>
      <c r="P232" s="614"/>
      <c r="Q232" s="614"/>
      <c r="R232" s="614"/>
      <c r="S232" s="614"/>
      <c r="T232" s="613"/>
      <c r="U232" s="613"/>
      <c r="V232" s="613"/>
    </row>
    <row r="233" spans="1:22" ht="15.75" x14ac:dyDescent="0.25">
      <c r="A233" s="614"/>
      <c r="B233" s="614"/>
      <c r="C233" s="614"/>
      <c r="D233" s="614"/>
      <c r="E233" s="614"/>
      <c r="F233" s="614"/>
      <c r="G233" s="614"/>
      <c r="H233" s="614"/>
      <c r="I233" s="614"/>
      <c r="J233" s="614"/>
      <c r="K233" s="614"/>
      <c r="L233" s="614"/>
      <c r="M233" s="614"/>
      <c r="N233" s="614"/>
      <c r="O233" s="614"/>
      <c r="P233" s="614"/>
      <c r="Q233" s="614"/>
      <c r="R233" s="614"/>
      <c r="S233" s="614"/>
      <c r="T233" s="613"/>
      <c r="U233" s="613"/>
      <c r="V233" s="613"/>
    </row>
    <row r="234" spans="1:22" ht="15.75" x14ac:dyDescent="0.25">
      <c r="A234" s="614"/>
      <c r="B234" s="614"/>
      <c r="C234" s="614"/>
      <c r="D234" s="614"/>
      <c r="E234" s="614"/>
      <c r="F234" s="614"/>
      <c r="G234" s="614"/>
      <c r="H234" s="614"/>
      <c r="I234" s="614"/>
      <c r="J234" s="614"/>
      <c r="K234" s="614"/>
      <c r="L234" s="614"/>
      <c r="M234" s="614"/>
      <c r="N234" s="614"/>
      <c r="O234" s="614"/>
      <c r="P234" s="614"/>
      <c r="Q234" s="614"/>
      <c r="R234" s="614"/>
      <c r="S234" s="614"/>
      <c r="T234" s="613"/>
      <c r="U234" s="613"/>
      <c r="V234" s="613"/>
    </row>
    <row r="235" spans="1:22" ht="15.75" x14ac:dyDescent="0.25">
      <c r="A235" s="614"/>
      <c r="B235" s="614"/>
      <c r="C235" s="614"/>
      <c r="D235" s="614"/>
      <c r="E235" s="614"/>
      <c r="F235" s="614"/>
      <c r="G235" s="614"/>
      <c r="H235" s="614"/>
      <c r="I235" s="614"/>
      <c r="J235" s="614"/>
      <c r="K235" s="614"/>
      <c r="L235" s="614"/>
      <c r="M235" s="614"/>
      <c r="N235" s="614"/>
      <c r="O235" s="614"/>
      <c r="P235" s="614"/>
      <c r="Q235" s="614"/>
      <c r="R235" s="614"/>
      <c r="S235" s="614"/>
      <c r="T235" s="613"/>
      <c r="U235" s="613"/>
      <c r="V235" s="613"/>
    </row>
    <row r="236" spans="1:22" ht="15.75" x14ac:dyDescent="0.25">
      <c r="A236" s="614"/>
      <c r="B236" s="614"/>
      <c r="C236" s="614"/>
      <c r="D236" s="614"/>
      <c r="E236" s="614"/>
      <c r="F236" s="614"/>
      <c r="G236" s="614"/>
      <c r="H236" s="614"/>
      <c r="I236" s="614"/>
      <c r="J236" s="614"/>
      <c r="K236" s="614"/>
      <c r="L236" s="614"/>
      <c r="M236" s="614"/>
      <c r="N236" s="614"/>
      <c r="O236" s="614"/>
      <c r="P236" s="614"/>
      <c r="Q236" s="614"/>
      <c r="R236" s="614"/>
      <c r="S236" s="614"/>
      <c r="T236" s="613"/>
      <c r="U236" s="613"/>
      <c r="V236" s="613"/>
    </row>
    <row r="237" spans="1:22" ht="15.75" x14ac:dyDescent="0.25">
      <c r="A237" s="614"/>
      <c r="B237" s="614"/>
      <c r="C237" s="614"/>
      <c r="D237" s="614"/>
      <c r="E237" s="614"/>
      <c r="F237" s="614"/>
      <c r="G237" s="614"/>
      <c r="H237" s="614"/>
      <c r="I237" s="614"/>
      <c r="J237" s="614"/>
      <c r="K237" s="614"/>
      <c r="L237" s="614"/>
      <c r="M237" s="614"/>
      <c r="N237" s="614"/>
      <c r="O237" s="614"/>
      <c r="P237" s="614"/>
      <c r="Q237" s="614"/>
      <c r="R237" s="614"/>
      <c r="S237" s="614"/>
      <c r="T237" s="613"/>
      <c r="U237" s="613"/>
      <c r="V237" s="613"/>
    </row>
    <row r="238" spans="1:22" ht="15.75" x14ac:dyDescent="0.25">
      <c r="A238" s="614"/>
      <c r="B238" s="614"/>
      <c r="C238" s="614"/>
      <c r="D238" s="614"/>
      <c r="E238" s="614"/>
      <c r="F238" s="614"/>
      <c r="G238" s="614"/>
      <c r="H238" s="614"/>
      <c r="I238" s="614"/>
      <c r="J238" s="614"/>
      <c r="K238" s="614"/>
      <c r="L238" s="614"/>
      <c r="M238" s="614"/>
      <c r="N238" s="614"/>
      <c r="O238" s="614"/>
      <c r="P238" s="614"/>
      <c r="Q238" s="614"/>
      <c r="R238" s="614"/>
      <c r="S238" s="614"/>
      <c r="T238" s="613"/>
      <c r="U238" s="613"/>
      <c r="V238" s="613"/>
    </row>
    <row r="239" spans="1:22" ht="15.75" x14ac:dyDescent="0.25">
      <c r="A239" s="614"/>
      <c r="B239" s="614"/>
      <c r="C239" s="614"/>
      <c r="D239" s="614"/>
      <c r="E239" s="614"/>
      <c r="F239" s="614"/>
      <c r="G239" s="614"/>
      <c r="H239" s="614"/>
      <c r="I239" s="614"/>
      <c r="J239" s="614"/>
      <c r="K239" s="614"/>
      <c r="L239" s="614"/>
      <c r="M239" s="614"/>
      <c r="N239" s="614"/>
      <c r="O239" s="614"/>
      <c r="P239" s="614"/>
      <c r="Q239" s="614"/>
      <c r="R239" s="614"/>
      <c r="S239" s="614"/>
      <c r="T239" s="613"/>
      <c r="U239" s="613"/>
      <c r="V239" s="613"/>
    </row>
    <row r="240" spans="1:22" ht="15.75" x14ac:dyDescent="0.25">
      <c r="A240" s="614"/>
      <c r="B240" s="614"/>
      <c r="C240" s="614"/>
      <c r="D240" s="614"/>
      <c r="E240" s="614"/>
      <c r="F240" s="614"/>
      <c r="G240" s="614"/>
      <c r="H240" s="614"/>
      <c r="I240" s="614"/>
      <c r="J240" s="614"/>
      <c r="K240" s="614"/>
      <c r="L240" s="614"/>
      <c r="M240" s="614"/>
      <c r="N240" s="614"/>
      <c r="O240" s="614"/>
      <c r="P240" s="614"/>
      <c r="Q240" s="614"/>
      <c r="R240" s="614"/>
      <c r="S240" s="614"/>
      <c r="T240" s="613"/>
      <c r="U240" s="613"/>
      <c r="V240" s="613"/>
    </row>
    <row r="241" spans="1:22" ht="15.75" x14ac:dyDescent="0.25">
      <c r="A241" s="614"/>
      <c r="B241" s="614"/>
      <c r="C241" s="614"/>
      <c r="D241" s="614"/>
      <c r="E241" s="614"/>
      <c r="F241" s="614"/>
      <c r="G241" s="614"/>
      <c r="H241" s="614"/>
      <c r="I241" s="614"/>
      <c r="J241" s="614"/>
      <c r="K241" s="614"/>
      <c r="L241" s="614"/>
      <c r="M241" s="614"/>
      <c r="N241" s="614"/>
      <c r="O241" s="614"/>
      <c r="P241" s="614"/>
      <c r="Q241" s="614"/>
      <c r="R241" s="614"/>
      <c r="S241" s="614"/>
      <c r="T241" s="613"/>
      <c r="U241" s="613"/>
      <c r="V241" s="613"/>
    </row>
    <row r="242" spans="1:22" ht="15.75" x14ac:dyDescent="0.25">
      <c r="A242" s="614"/>
      <c r="B242" s="614"/>
      <c r="C242" s="614"/>
      <c r="D242" s="614"/>
      <c r="E242" s="614"/>
      <c r="F242" s="614"/>
      <c r="G242" s="614"/>
      <c r="H242" s="614"/>
      <c r="I242" s="614"/>
      <c r="J242" s="614"/>
      <c r="K242" s="614"/>
      <c r="L242" s="614"/>
      <c r="M242" s="614"/>
      <c r="N242" s="614"/>
      <c r="O242" s="614"/>
      <c r="P242" s="614"/>
      <c r="Q242" s="614"/>
      <c r="R242" s="614"/>
      <c r="S242" s="614"/>
      <c r="T242" s="613"/>
      <c r="U242" s="613"/>
      <c r="V242" s="613"/>
    </row>
    <row r="243" spans="1:22" ht="15.75" x14ac:dyDescent="0.25">
      <c r="A243" s="614"/>
      <c r="B243" s="614"/>
      <c r="C243" s="614"/>
      <c r="D243" s="614"/>
      <c r="E243" s="614"/>
      <c r="F243" s="614"/>
      <c r="G243" s="614"/>
      <c r="H243" s="614"/>
      <c r="I243" s="614"/>
      <c r="J243" s="614"/>
      <c r="K243" s="614"/>
      <c r="L243" s="614"/>
      <c r="M243" s="614"/>
      <c r="N243" s="614"/>
      <c r="O243" s="614"/>
      <c r="P243" s="614"/>
      <c r="Q243" s="614"/>
      <c r="R243" s="614"/>
      <c r="S243" s="614"/>
      <c r="T243" s="613"/>
      <c r="U243" s="613"/>
      <c r="V243" s="613"/>
    </row>
    <row r="244" spans="1:22" ht="15.75" x14ac:dyDescent="0.25">
      <c r="A244" s="614"/>
      <c r="B244" s="614"/>
      <c r="C244" s="614"/>
      <c r="D244" s="614"/>
      <c r="E244" s="614"/>
      <c r="F244" s="614"/>
      <c r="G244" s="614"/>
      <c r="H244" s="614"/>
      <c r="I244" s="614"/>
      <c r="J244" s="614"/>
      <c r="K244" s="614"/>
      <c r="L244" s="614"/>
      <c r="M244" s="614"/>
      <c r="N244" s="614"/>
      <c r="O244" s="614"/>
      <c r="P244" s="614"/>
      <c r="Q244" s="614"/>
      <c r="R244" s="614"/>
      <c r="S244" s="614"/>
      <c r="T244" s="613"/>
      <c r="U244" s="613"/>
      <c r="V244" s="613"/>
    </row>
    <row r="245" spans="1:22" ht="15.75" x14ac:dyDescent="0.25">
      <c r="A245" s="614"/>
      <c r="B245" s="614"/>
      <c r="C245" s="614"/>
      <c r="D245" s="614"/>
      <c r="E245" s="614"/>
      <c r="F245" s="614"/>
      <c r="G245" s="614"/>
      <c r="H245" s="614"/>
      <c r="I245" s="614"/>
      <c r="J245" s="614"/>
      <c r="K245" s="614"/>
      <c r="L245" s="614"/>
      <c r="M245" s="614"/>
      <c r="N245" s="614"/>
      <c r="O245" s="614"/>
      <c r="P245" s="614"/>
      <c r="Q245" s="614"/>
      <c r="R245" s="614"/>
      <c r="S245" s="614"/>
      <c r="T245" s="613"/>
      <c r="U245" s="613"/>
      <c r="V245" s="613"/>
    </row>
    <row r="246" spans="1:22" ht="15.75" x14ac:dyDescent="0.25">
      <c r="A246" s="614"/>
      <c r="B246" s="614"/>
      <c r="C246" s="614"/>
      <c r="D246" s="614"/>
      <c r="E246" s="614"/>
      <c r="F246" s="614"/>
      <c r="G246" s="614"/>
      <c r="H246" s="614"/>
      <c r="I246" s="614"/>
      <c r="J246" s="614"/>
      <c r="K246" s="614"/>
      <c r="L246" s="614"/>
      <c r="M246" s="614"/>
      <c r="N246" s="614"/>
      <c r="O246" s="614"/>
      <c r="P246" s="614"/>
      <c r="Q246" s="614"/>
      <c r="R246" s="614"/>
      <c r="S246" s="614"/>
      <c r="T246" s="613"/>
      <c r="U246" s="613"/>
      <c r="V246" s="613"/>
    </row>
    <row r="247" spans="1:22" ht="15.75" x14ac:dyDescent="0.25">
      <c r="A247" s="614"/>
      <c r="B247" s="614"/>
      <c r="C247" s="614"/>
      <c r="D247" s="614"/>
      <c r="E247" s="614"/>
      <c r="F247" s="614"/>
      <c r="G247" s="614"/>
      <c r="H247" s="614"/>
      <c r="I247" s="614"/>
      <c r="J247" s="614"/>
      <c r="K247" s="614"/>
      <c r="L247" s="614"/>
      <c r="M247" s="614"/>
      <c r="N247" s="614"/>
      <c r="O247" s="614"/>
      <c r="P247" s="614"/>
      <c r="Q247" s="614"/>
      <c r="R247" s="614"/>
      <c r="S247" s="614"/>
      <c r="T247" s="613"/>
      <c r="U247" s="613"/>
      <c r="V247" s="613"/>
    </row>
    <row r="248" spans="1:22" ht="15.75" x14ac:dyDescent="0.25">
      <c r="A248" s="614"/>
      <c r="B248" s="614"/>
      <c r="C248" s="614"/>
      <c r="D248" s="614"/>
      <c r="E248" s="614"/>
      <c r="F248" s="614"/>
      <c r="G248" s="614"/>
      <c r="H248" s="614"/>
      <c r="I248" s="614"/>
      <c r="J248" s="614"/>
      <c r="K248" s="614"/>
      <c r="L248" s="614"/>
      <c r="M248" s="614"/>
      <c r="N248" s="614"/>
      <c r="O248" s="614"/>
      <c r="P248" s="614"/>
      <c r="Q248" s="614"/>
      <c r="R248" s="614"/>
      <c r="S248" s="614"/>
      <c r="T248" s="613"/>
      <c r="U248" s="613"/>
      <c r="V248" s="613"/>
    </row>
    <row r="249" spans="1:22" ht="15.75" x14ac:dyDescent="0.25">
      <c r="A249" s="614"/>
      <c r="B249" s="614"/>
      <c r="C249" s="614"/>
      <c r="D249" s="614"/>
      <c r="E249" s="614"/>
      <c r="F249" s="614"/>
      <c r="G249" s="614"/>
      <c r="H249" s="614"/>
      <c r="I249" s="614"/>
      <c r="J249" s="614"/>
      <c r="K249" s="614"/>
      <c r="L249" s="614"/>
      <c r="M249" s="614"/>
      <c r="N249" s="614"/>
      <c r="O249" s="614"/>
      <c r="P249" s="614"/>
      <c r="Q249" s="614"/>
      <c r="R249" s="614"/>
      <c r="S249" s="614"/>
      <c r="T249" s="613"/>
      <c r="U249" s="613"/>
      <c r="V249" s="613"/>
    </row>
    <row r="250" spans="1:22" ht="15.75" x14ac:dyDescent="0.25">
      <c r="A250" s="614"/>
      <c r="B250" s="614"/>
      <c r="C250" s="614"/>
      <c r="D250" s="614"/>
      <c r="E250" s="614"/>
      <c r="F250" s="614"/>
      <c r="G250" s="614"/>
      <c r="H250" s="614"/>
      <c r="I250" s="614"/>
      <c r="J250" s="614"/>
      <c r="K250" s="614"/>
      <c r="L250" s="614"/>
      <c r="M250" s="614"/>
      <c r="N250" s="614"/>
      <c r="O250" s="614"/>
      <c r="P250" s="614"/>
      <c r="Q250" s="614"/>
      <c r="R250" s="614"/>
      <c r="S250" s="614"/>
      <c r="T250" s="613"/>
      <c r="U250" s="613"/>
      <c r="V250" s="613"/>
    </row>
    <row r="251" spans="1:22" ht="15.75" x14ac:dyDescent="0.25">
      <c r="A251" s="614"/>
      <c r="B251" s="614"/>
      <c r="C251" s="614"/>
      <c r="D251" s="614"/>
      <c r="E251" s="614"/>
      <c r="F251" s="614"/>
      <c r="G251" s="614"/>
      <c r="H251" s="614"/>
      <c r="I251" s="614"/>
      <c r="J251" s="614"/>
      <c r="K251" s="614"/>
      <c r="L251" s="614"/>
      <c r="M251" s="614"/>
      <c r="N251" s="614"/>
      <c r="O251" s="614"/>
      <c r="P251" s="614"/>
      <c r="Q251" s="614"/>
      <c r="R251" s="614"/>
      <c r="S251" s="614"/>
      <c r="T251" s="613"/>
      <c r="U251" s="613"/>
      <c r="V251" s="613"/>
    </row>
    <row r="252" spans="1:22" ht="15.75" x14ac:dyDescent="0.25">
      <c r="A252" s="614"/>
      <c r="B252" s="614"/>
      <c r="C252" s="614"/>
      <c r="D252" s="614"/>
      <c r="E252" s="614"/>
      <c r="F252" s="614"/>
      <c r="G252" s="614"/>
      <c r="H252" s="614"/>
      <c r="I252" s="614"/>
      <c r="J252" s="614"/>
      <c r="K252" s="614"/>
      <c r="L252" s="614"/>
      <c r="M252" s="614"/>
      <c r="N252" s="614"/>
      <c r="O252" s="614"/>
      <c r="P252" s="614"/>
      <c r="Q252" s="614"/>
      <c r="R252" s="614"/>
      <c r="S252" s="614"/>
      <c r="T252" s="613"/>
      <c r="U252" s="613"/>
      <c r="V252" s="613"/>
    </row>
    <row r="253" spans="1:22" ht="15.75" x14ac:dyDescent="0.25">
      <c r="A253" s="614"/>
      <c r="B253" s="614"/>
      <c r="C253" s="614"/>
      <c r="D253" s="614"/>
      <c r="E253" s="614"/>
      <c r="F253" s="614"/>
      <c r="G253" s="614"/>
      <c r="H253" s="614"/>
      <c r="I253" s="614"/>
      <c r="J253" s="614"/>
      <c r="K253" s="614"/>
      <c r="L253" s="614"/>
      <c r="M253" s="614"/>
      <c r="N253" s="614"/>
      <c r="O253" s="614"/>
      <c r="P253" s="614"/>
      <c r="Q253" s="614"/>
      <c r="R253" s="614"/>
      <c r="S253" s="614"/>
      <c r="T253" s="613"/>
      <c r="U253" s="613"/>
      <c r="V253" s="613"/>
    </row>
    <row r="254" spans="1:22" ht="15.75" x14ac:dyDescent="0.25">
      <c r="A254" s="614"/>
      <c r="B254" s="614"/>
      <c r="C254" s="614"/>
      <c r="D254" s="614"/>
      <c r="E254" s="614"/>
      <c r="F254" s="614"/>
      <c r="G254" s="614"/>
      <c r="H254" s="614"/>
      <c r="I254" s="614"/>
      <c r="J254" s="614"/>
      <c r="K254" s="614"/>
      <c r="L254" s="614"/>
      <c r="M254" s="614"/>
      <c r="N254" s="614"/>
      <c r="O254" s="614"/>
      <c r="P254" s="614"/>
      <c r="Q254" s="614"/>
      <c r="R254" s="614"/>
      <c r="S254" s="614"/>
      <c r="T254" s="613"/>
      <c r="U254" s="613"/>
      <c r="V254" s="613"/>
    </row>
    <row r="255" spans="1:22" ht="15.75" x14ac:dyDescent="0.25">
      <c r="A255" s="614"/>
      <c r="B255" s="614"/>
      <c r="C255" s="614"/>
      <c r="D255" s="614"/>
      <c r="E255" s="614"/>
      <c r="F255" s="614"/>
      <c r="G255" s="614"/>
      <c r="H255" s="614"/>
      <c r="I255" s="614"/>
      <c r="J255" s="614"/>
      <c r="K255" s="614"/>
      <c r="L255" s="614"/>
      <c r="M255" s="614"/>
      <c r="N255" s="614"/>
      <c r="O255" s="614"/>
      <c r="P255" s="614"/>
      <c r="Q255" s="614"/>
      <c r="R255" s="614"/>
      <c r="S255" s="614"/>
      <c r="T255" s="613"/>
      <c r="U255" s="613"/>
      <c r="V255" s="613"/>
    </row>
    <row r="256" spans="1:22" ht="15.75" x14ac:dyDescent="0.25">
      <c r="A256" s="614"/>
      <c r="B256" s="614"/>
      <c r="C256" s="614"/>
      <c r="D256" s="614"/>
      <c r="E256" s="614"/>
      <c r="F256" s="614"/>
      <c r="G256" s="614"/>
      <c r="H256" s="614"/>
      <c r="I256" s="614"/>
      <c r="J256" s="614"/>
      <c r="K256" s="614"/>
      <c r="L256" s="614"/>
      <c r="M256" s="614"/>
      <c r="N256" s="614"/>
      <c r="O256" s="614"/>
      <c r="P256" s="614"/>
      <c r="Q256" s="614"/>
      <c r="R256" s="614"/>
      <c r="S256" s="614"/>
      <c r="T256" s="613"/>
      <c r="U256" s="613"/>
      <c r="V256" s="613"/>
    </row>
    <row r="257" spans="1:22" ht="15.75" x14ac:dyDescent="0.25">
      <c r="A257" s="614"/>
      <c r="B257" s="614"/>
      <c r="C257" s="614"/>
      <c r="D257" s="614"/>
      <c r="E257" s="614"/>
      <c r="F257" s="614"/>
      <c r="G257" s="614"/>
      <c r="H257" s="614"/>
      <c r="I257" s="614"/>
      <c r="J257" s="614"/>
      <c r="K257" s="614"/>
      <c r="L257" s="614"/>
      <c r="M257" s="614"/>
      <c r="N257" s="614"/>
      <c r="O257" s="614"/>
      <c r="P257" s="614"/>
      <c r="Q257" s="614"/>
      <c r="R257" s="614"/>
      <c r="S257" s="614"/>
      <c r="T257" s="613"/>
      <c r="U257" s="613"/>
      <c r="V257" s="613"/>
    </row>
    <row r="258" spans="1:22" ht="15.75" x14ac:dyDescent="0.25">
      <c r="A258" s="614"/>
      <c r="B258" s="614"/>
      <c r="C258" s="614"/>
      <c r="D258" s="614"/>
      <c r="E258" s="614"/>
      <c r="F258" s="614"/>
      <c r="G258" s="614"/>
      <c r="H258" s="614"/>
      <c r="I258" s="614"/>
      <c r="J258" s="614"/>
      <c r="K258" s="614"/>
      <c r="L258" s="614"/>
      <c r="M258" s="614"/>
      <c r="N258" s="614"/>
      <c r="O258" s="614"/>
      <c r="P258" s="614"/>
      <c r="Q258" s="614"/>
      <c r="R258" s="614"/>
      <c r="S258" s="614"/>
      <c r="T258" s="613"/>
      <c r="U258" s="613"/>
      <c r="V258" s="613"/>
    </row>
    <row r="259" spans="1:22" ht="15.75" x14ac:dyDescent="0.25">
      <c r="A259" s="614"/>
      <c r="B259" s="614"/>
      <c r="C259" s="614"/>
      <c r="D259" s="614"/>
      <c r="E259" s="614"/>
      <c r="F259" s="614"/>
      <c r="G259" s="614"/>
      <c r="H259" s="614"/>
      <c r="I259" s="614"/>
      <c r="J259" s="614"/>
      <c r="K259" s="614"/>
      <c r="L259" s="614"/>
      <c r="M259" s="614"/>
      <c r="N259" s="614"/>
      <c r="O259" s="614"/>
      <c r="P259" s="614"/>
      <c r="Q259" s="614"/>
      <c r="R259" s="614"/>
      <c r="S259" s="614"/>
      <c r="T259" s="613"/>
      <c r="U259" s="613"/>
      <c r="V259" s="613"/>
    </row>
    <row r="260" spans="1:22" ht="15.75" x14ac:dyDescent="0.25">
      <c r="A260" s="614"/>
      <c r="B260" s="614"/>
      <c r="C260" s="614"/>
      <c r="D260" s="614"/>
      <c r="E260" s="614"/>
      <c r="F260" s="614"/>
      <c r="G260" s="614"/>
      <c r="H260" s="614"/>
      <c r="I260" s="614"/>
      <c r="J260" s="614"/>
      <c r="K260" s="614"/>
      <c r="L260" s="614"/>
      <c r="M260" s="614"/>
      <c r="N260" s="614"/>
      <c r="O260" s="614"/>
      <c r="P260" s="614"/>
      <c r="Q260" s="614"/>
      <c r="R260" s="614"/>
      <c r="S260" s="614"/>
      <c r="T260" s="613"/>
      <c r="U260" s="613"/>
      <c r="V260" s="613"/>
    </row>
    <row r="261" spans="1:22" ht="15.75" x14ac:dyDescent="0.25">
      <c r="A261" s="614"/>
      <c r="B261" s="614"/>
      <c r="C261" s="614"/>
      <c r="D261" s="614"/>
      <c r="E261" s="614"/>
      <c r="F261" s="614"/>
      <c r="G261" s="614"/>
      <c r="H261" s="614"/>
      <c r="I261" s="614"/>
      <c r="J261" s="614"/>
      <c r="K261" s="614"/>
      <c r="L261" s="614"/>
      <c r="M261" s="614"/>
      <c r="N261" s="614"/>
      <c r="O261" s="614"/>
      <c r="P261" s="614"/>
      <c r="Q261" s="614"/>
      <c r="R261" s="614"/>
      <c r="S261" s="614"/>
      <c r="T261" s="613"/>
      <c r="U261" s="613"/>
      <c r="V261" s="613"/>
    </row>
    <row r="262" spans="1:22" ht="15.75" x14ac:dyDescent="0.25">
      <c r="A262" s="614"/>
      <c r="B262" s="614"/>
      <c r="C262" s="614"/>
      <c r="D262" s="614"/>
      <c r="E262" s="614"/>
      <c r="F262" s="614"/>
      <c r="G262" s="614"/>
      <c r="H262" s="614"/>
      <c r="I262" s="614"/>
      <c r="J262" s="614"/>
      <c r="K262" s="614"/>
      <c r="L262" s="614"/>
      <c r="M262" s="614"/>
      <c r="N262" s="614"/>
      <c r="O262" s="614"/>
      <c r="P262" s="614"/>
      <c r="Q262" s="614"/>
      <c r="R262" s="614"/>
      <c r="S262" s="614"/>
      <c r="T262" s="613"/>
      <c r="U262" s="613"/>
      <c r="V262" s="613"/>
    </row>
    <row r="263" spans="1:22" ht="15.75" x14ac:dyDescent="0.25">
      <c r="A263" s="614"/>
      <c r="B263" s="614"/>
      <c r="C263" s="614"/>
      <c r="D263" s="614"/>
      <c r="E263" s="614"/>
      <c r="F263" s="614"/>
      <c r="G263" s="614"/>
      <c r="H263" s="614"/>
      <c r="I263" s="614"/>
      <c r="J263" s="614"/>
      <c r="K263" s="614"/>
      <c r="L263" s="614"/>
      <c r="M263" s="614"/>
      <c r="N263" s="614"/>
      <c r="O263" s="614"/>
      <c r="P263" s="614"/>
      <c r="Q263" s="614"/>
      <c r="R263" s="614"/>
      <c r="S263" s="614"/>
      <c r="T263" s="613"/>
      <c r="U263" s="613"/>
      <c r="V263" s="613"/>
    </row>
    <row r="264" spans="1:22" ht="15.75" x14ac:dyDescent="0.25">
      <c r="A264" s="614"/>
      <c r="B264" s="614"/>
      <c r="C264" s="614"/>
      <c r="D264" s="614"/>
      <c r="E264" s="614"/>
      <c r="F264" s="614"/>
      <c r="G264" s="614"/>
      <c r="H264" s="614"/>
      <c r="I264" s="614"/>
      <c r="J264" s="614"/>
      <c r="K264" s="614"/>
      <c r="L264" s="614"/>
      <c r="M264" s="614"/>
      <c r="N264" s="614"/>
      <c r="O264" s="614"/>
      <c r="P264" s="614"/>
      <c r="Q264" s="614"/>
      <c r="R264" s="614"/>
      <c r="S264" s="614"/>
      <c r="T264" s="613"/>
      <c r="U264" s="613"/>
      <c r="V264" s="613"/>
    </row>
    <row r="265" spans="1:22" ht="15.75" x14ac:dyDescent="0.25">
      <c r="A265" s="614"/>
      <c r="B265" s="614"/>
      <c r="C265" s="614"/>
      <c r="D265" s="614"/>
      <c r="E265" s="614"/>
      <c r="F265" s="614"/>
      <c r="G265" s="614"/>
      <c r="H265" s="614"/>
      <c r="I265" s="614"/>
      <c r="J265" s="614"/>
      <c r="K265" s="614"/>
      <c r="L265" s="614"/>
      <c r="M265" s="614"/>
      <c r="N265" s="614"/>
      <c r="O265" s="614"/>
      <c r="P265" s="614"/>
      <c r="Q265" s="614"/>
      <c r="R265" s="614"/>
      <c r="S265" s="614"/>
      <c r="T265" s="613"/>
      <c r="U265" s="613"/>
      <c r="V265" s="613"/>
    </row>
    <row r="266" spans="1:22" ht="15.75" x14ac:dyDescent="0.25">
      <c r="A266" s="614"/>
      <c r="B266" s="614"/>
      <c r="C266" s="614"/>
      <c r="D266" s="614"/>
      <c r="E266" s="614"/>
      <c r="F266" s="614"/>
      <c r="G266" s="614"/>
      <c r="H266" s="614"/>
      <c r="I266" s="614"/>
      <c r="J266" s="614"/>
      <c r="K266" s="614"/>
      <c r="L266" s="614"/>
      <c r="M266" s="614"/>
      <c r="N266" s="614"/>
      <c r="O266" s="614"/>
      <c r="P266" s="614"/>
      <c r="Q266" s="614"/>
      <c r="R266" s="614"/>
      <c r="S266" s="614"/>
      <c r="T266" s="613"/>
      <c r="U266" s="613"/>
      <c r="V266" s="613"/>
    </row>
    <row r="267" spans="1:22" ht="15.75" x14ac:dyDescent="0.25">
      <c r="A267" s="614"/>
      <c r="B267" s="614"/>
      <c r="C267" s="614"/>
      <c r="D267" s="614"/>
      <c r="E267" s="614"/>
      <c r="F267" s="614"/>
      <c r="G267" s="614"/>
      <c r="H267" s="614"/>
      <c r="I267" s="614"/>
      <c r="J267" s="614"/>
      <c r="K267" s="614"/>
      <c r="L267" s="614"/>
      <c r="M267" s="614"/>
      <c r="N267" s="614"/>
      <c r="O267" s="614"/>
      <c r="P267" s="614"/>
      <c r="Q267" s="614"/>
      <c r="R267" s="614"/>
      <c r="S267" s="614"/>
      <c r="T267" s="613"/>
      <c r="U267" s="613"/>
      <c r="V267" s="613"/>
    </row>
    <row r="268" spans="1:22" ht="15.75" x14ac:dyDescent="0.25">
      <c r="A268" s="614"/>
      <c r="B268" s="614"/>
      <c r="C268" s="614"/>
      <c r="D268" s="614"/>
      <c r="E268" s="614"/>
      <c r="F268" s="614"/>
      <c r="G268" s="614"/>
      <c r="H268" s="614"/>
      <c r="I268" s="614"/>
      <c r="J268" s="614"/>
      <c r="K268" s="614"/>
      <c r="L268" s="614"/>
      <c r="M268" s="614"/>
      <c r="N268" s="614"/>
      <c r="O268" s="614"/>
      <c r="P268" s="614"/>
      <c r="Q268" s="614"/>
      <c r="R268" s="614"/>
      <c r="S268" s="614"/>
      <c r="T268" s="613"/>
      <c r="U268" s="613"/>
      <c r="V268" s="613"/>
    </row>
    <row r="269" spans="1:22" ht="15.75" x14ac:dyDescent="0.25">
      <c r="A269" s="614"/>
      <c r="B269" s="614"/>
      <c r="C269" s="614"/>
      <c r="D269" s="614"/>
      <c r="E269" s="614"/>
      <c r="F269" s="614"/>
      <c r="G269" s="614"/>
      <c r="H269" s="614"/>
      <c r="I269" s="614"/>
      <c r="J269" s="614"/>
      <c r="K269" s="614"/>
      <c r="L269" s="614"/>
      <c r="M269" s="614"/>
      <c r="N269" s="614"/>
      <c r="O269" s="614"/>
      <c r="P269" s="614"/>
      <c r="Q269" s="614"/>
      <c r="R269" s="614"/>
      <c r="S269" s="614"/>
      <c r="T269" s="613"/>
      <c r="U269" s="613"/>
      <c r="V269" s="613"/>
    </row>
    <row r="270" spans="1:22" ht="15.75" x14ac:dyDescent="0.25">
      <c r="A270" s="614"/>
      <c r="B270" s="614"/>
      <c r="C270" s="614"/>
      <c r="D270" s="614"/>
      <c r="E270" s="614"/>
      <c r="F270" s="614"/>
      <c r="G270" s="614"/>
      <c r="H270" s="614"/>
      <c r="I270" s="614"/>
      <c r="J270" s="614"/>
      <c r="K270" s="614"/>
      <c r="L270" s="614"/>
      <c r="M270" s="614"/>
      <c r="N270" s="614"/>
      <c r="O270" s="614"/>
      <c r="P270" s="614"/>
      <c r="Q270" s="614"/>
      <c r="R270" s="614"/>
      <c r="S270" s="614"/>
      <c r="T270" s="613"/>
      <c r="U270" s="613"/>
      <c r="V270" s="613"/>
    </row>
    <row r="271" spans="1:22" ht="15.75" x14ac:dyDescent="0.25">
      <c r="A271" s="614"/>
      <c r="B271" s="614"/>
      <c r="C271" s="614"/>
      <c r="D271" s="614"/>
      <c r="E271" s="614"/>
      <c r="F271" s="614"/>
      <c r="G271" s="614"/>
      <c r="H271" s="614"/>
      <c r="I271" s="614"/>
      <c r="J271" s="614"/>
      <c r="K271" s="614"/>
      <c r="L271" s="614"/>
      <c r="M271" s="614"/>
      <c r="N271" s="614"/>
      <c r="O271" s="614"/>
      <c r="P271" s="614"/>
      <c r="Q271" s="614"/>
      <c r="R271" s="614"/>
      <c r="S271" s="614"/>
      <c r="T271" s="613"/>
      <c r="U271" s="613"/>
      <c r="V271" s="613"/>
    </row>
    <row r="272" spans="1:22" ht="15.75" x14ac:dyDescent="0.25">
      <c r="A272" s="614"/>
      <c r="B272" s="614"/>
      <c r="C272" s="614"/>
      <c r="D272" s="614"/>
      <c r="E272" s="614"/>
      <c r="F272" s="614"/>
      <c r="G272" s="614"/>
      <c r="H272" s="614"/>
      <c r="I272" s="614"/>
      <c r="J272" s="614"/>
      <c r="K272" s="614"/>
      <c r="L272" s="614"/>
      <c r="M272" s="614"/>
      <c r="N272" s="614"/>
      <c r="O272" s="614"/>
      <c r="P272" s="614"/>
      <c r="Q272" s="614"/>
      <c r="R272" s="614"/>
      <c r="S272" s="614"/>
      <c r="T272" s="613"/>
      <c r="U272" s="613"/>
      <c r="V272" s="613"/>
    </row>
    <row r="273" spans="1:22" ht="15.75" x14ac:dyDescent="0.25">
      <c r="A273" s="614"/>
      <c r="B273" s="614"/>
      <c r="C273" s="614"/>
      <c r="D273" s="614"/>
      <c r="E273" s="614"/>
      <c r="F273" s="614"/>
      <c r="G273" s="614"/>
      <c r="H273" s="614"/>
      <c r="I273" s="614"/>
      <c r="J273" s="614"/>
      <c r="K273" s="614"/>
      <c r="L273" s="614"/>
      <c r="M273" s="614"/>
      <c r="N273" s="614"/>
      <c r="O273" s="614"/>
      <c r="P273" s="614"/>
      <c r="Q273" s="614"/>
      <c r="R273" s="614"/>
      <c r="S273" s="614"/>
      <c r="T273" s="613"/>
      <c r="U273" s="613"/>
      <c r="V273" s="613"/>
    </row>
    <row r="274" spans="1:22" ht="15.75" x14ac:dyDescent="0.25">
      <c r="A274" s="614"/>
      <c r="B274" s="614"/>
      <c r="C274" s="614"/>
      <c r="D274" s="614"/>
      <c r="E274" s="614"/>
      <c r="F274" s="614"/>
      <c r="G274" s="614"/>
      <c r="H274" s="614"/>
      <c r="I274" s="614"/>
      <c r="J274" s="614"/>
      <c r="K274" s="614"/>
      <c r="L274" s="614"/>
      <c r="M274" s="614"/>
      <c r="N274" s="614"/>
      <c r="O274" s="614"/>
      <c r="P274" s="614"/>
      <c r="Q274" s="614"/>
      <c r="R274" s="614"/>
      <c r="S274" s="614"/>
      <c r="T274" s="613"/>
      <c r="U274" s="613"/>
      <c r="V274" s="613"/>
    </row>
    <row r="275" spans="1:22" ht="15.75" x14ac:dyDescent="0.25">
      <c r="A275" s="614"/>
      <c r="B275" s="614"/>
      <c r="C275" s="614"/>
      <c r="D275" s="614"/>
      <c r="E275" s="614"/>
      <c r="F275" s="614"/>
      <c r="G275" s="614"/>
      <c r="H275" s="614"/>
      <c r="I275" s="614"/>
      <c r="J275" s="614"/>
      <c r="K275" s="614"/>
      <c r="L275" s="614"/>
      <c r="M275" s="614"/>
      <c r="N275" s="614"/>
      <c r="O275" s="614"/>
      <c r="P275" s="614"/>
      <c r="Q275" s="614"/>
      <c r="R275" s="614"/>
      <c r="S275" s="614"/>
      <c r="T275" s="613"/>
      <c r="U275" s="613"/>
      <c r="V275" s="613"/>
    </row>
    <row r="276" spans="1:22" ht="15.75" x14ac:dyDescent="0.25">
      <c r="A276" s="614"/>
      <c r="B276" s="614"/>
      <c r="C276" s="614"/>
      <c r="D276" s="614"/>
      <c r="E276" s="614"/>
      <c r="F276" s="614"/>
      <c r="G276" s="614"/>
      <c r="H276" s="614"/>
      <c r="I276" s="614"/>
      <c r="J276" s="614"/>
      <c r="K276" s="614"/>
      <c r="L276" s="614"/>
      <c r="M276" s="614"/>
      <c r="N276" s="614"/>
      <c r="O276" s="614"/>
      <c r="P276" s="614"/>
      <c r="Q276" s="614"/>
      <c r="R276" s="614"/>
      <c r="S276" s="614"/>
      <c r="T276" s="613"/>
      <c r="U276" s="613"/>
      <c r="V276" s="613"/>
    </row>
    <row r="277" spans="1:22" ht="15.75" x14ac:dyDescent="0.25">
      <c r="A277" s="614"/>
      <c r="B277" s="614"/>
      <c r="C277" s="614"/>
      <c r="D277" s="614"/>
      <c r="E277" s="614"/>
      <c r="F277" s="614"/>
      <c r="G277" s="614"/>
      <c r="H277" s="614"/>
      <c r="I277" s="614"/>
      <c r="J277" s="614"/>
      <c r="K277" s="614"/>
      <c r="L277" s="614"/>
      <c r="M277" s="614"/>
      <c r="N277" s="614"/>
      <c r="O277" s="614"/>
      <c r="P277" s="614"/>
      <c r="Q277" s="614"/>
      <c r="R277" s="614"/>
      <c r="S277" s="614"/>
      <c r="T277" s="613"/>
      <c r="U277" s="613"/>
      <c r="V277" s="613"/>
    </row>
    <row r="278" spans="1:22" ht="15.75" x14ac:dyDescent="0.25">
      <c r="A278" s="614"/>
      <c r="B278" s="614"/>
      <c r="C278" s="614"/>
      <c r="D278" s="614"/>
      <c r="E278" s="614"/>
      <c r="F278" s="614"/>
      <c r="G278" s="614"/>
      <c r="H278" s="614"/>
      <c r="I278" s="614"/>
      <c r="J278" s="614"/>
      <c r="K278" s="614"/>
      <c r="L278" s="614"/>
      <c r="M278" s="614"/>
      <c r="N278" s="614"/>
      <c r="O278" s="614"/>
      <c r="P278" s="614"/>
      <c r="Q278" s="614"/>
      <c r="R278" s="614"/>
      <c r="S278" s="614"/>
      <c r="T278" s="613"/>
      <c r="U278" s="613"/>
      <c r="V278" s="613"/>
    </row>
    <row r="279" spans="1:22" ht="15.75" x14ac:dyDescent="0.25">
      <c r="A279" s="614"/>
      <c r="B279" s="614"/>
      <c r="C279" s="614"/>
      <c r="D279" s="614"/>
      <c r="E279" s="614"/>
      <c r="F279" s="614"/>
      <c r="G279" s="614"/>
      <c r="H279" s="614"/>
      <c r="I279" s="614"/>
      <c r="J279" s="614"/>
      <c r="K279" s="614"/>
      <c r="L279" s="614"/>
      <c r="M279" s="614"/>
      <c r="N279" s="614"/>
      <c r="O279" s="614"/>
      <c r="P279" s="614"/>
      <c r="Q279" s="614"/>
      <c r="R279" s="614"/>
      <c r="S279" s="614"/>
      <c r="T279" s="613"/>
      <c r="U279" s="613"/>
      <c r="V279" s="613"/>
    </row>
    <row r="280" spans="1:22" ht="15.75" x14ac:dyDescent="0.25">
      <c r="A280" s="614"/>
      <c r="B280" s="614"/>
      <c r="C280" s="614"/>
      <c r="D280" s="614"/>
      <c r="E280" s="614"/>
      <c r="F280" s="614"/>
      <c r="G280" s="614"/>
      <c r="H280" s="614"/>
      <c r="I280" s="614"/>
      <c r="J280" s="614"/>
      <c r="K280" s="614"/>
      <c r="L280" s="614"/>
      <c r="M280" s="614"/>
      <c r="N280" s="614"/>
      <c r="O280" s="614"/>
      <c r="P280" s="614"/>
      <c r="Q280" s="614"/>
      <c r="R280" s="614"/>
      <c r="S280" s="614"/>
      <c r="T280" s="613"/>
      <c r="U280" s="613"/>
      <c r="V280" s="613"/>
    </row>
    <row r="281" spans="1:22" ht="15.75" x14ac:dyDescent="0.25">
      <c r="A281" s="614"/>
      <c r="B281" s="614"/>
      <c r="C281" s="614"/>
      <c r="D281" s="614"/>
      <c r="E281" s="614"/>
      <c r="F281" s="614"/>
      <c r="G281" s="614"/>
      <c r="H281" s="614"/>
      <c r="I281" s="614"/>
      <c r="J281" s="614"/>
      <c r="K281" s="614"/>
      <c r="L281" s="614"/>
      <c r="M281" s="614"/>
      <c r="N281" s="614"/>
      <c r="O281" s="614"/>
      <c r="P281" s="614"/>
      <c r="Q281" s="614"/>
      <c r="R281" s="614"/>
      <c r="S281" s="614"/>
      <c r="T281" s="613"/>
      <c r="U281" s="613"/>
      <c r="V281" s="613"/>
    </row>
    <row r="282" spans="1:22" ht="15.75" x14ac:dyDescent="0.25">
      <c r="A282" s="614"/>
      <c r="B282" s="614"/>
      <c r="C282" s="614"/>
      <c r="D282" s="614"/>
      <c r="E282" s="614"/>
      <c r="F282" s="614"/>
      <c r="G282" s="614"/>
      <c r="H282" s="614"/>
      <c r="I282" s="614"/>
      <c r="J282" s="614"/>
      <c r="K282" s="614"/>
      <c r="L282" s="614"/>
      <c r="M282" s="614"/>
      <c r="N282" s="614"/>
      <c r="O282" s="614"/>
      <c r="P282" s="614"/>
      <c r="Q282" s="614"/>
      <c r="R282" s="614"/>
      <c r="S282" s="614"/>
      <c r="T282" s="613"/>
      <c r="U282" s="613"/>
      <c r="V282" s="613"/>
    </row>
    <row r="283" spans="1:22" ht="15.75" x14ac:dyDescent="0.25">
      <c r="A283" s="614"/>
      <c r="B283" s="614"/>
      <c r="C283" s="614"/>
      <c r="D283" s="614"/>
      <c r="E283" s="614"/>
      <c r="F283" s="614"/>
      <c r="G283" s="614"/>
      <c r="H283" s="614"/>
      <c r="I283" s="614"/>
      <c r="J283" s="614"/>
      <c r="K283" s="614"/>
      <c r="L283" s="614"/>
      <c r="M283" s="614"/>
      <c r="N283" s="614"/>
      <c r="O283" s="614"/>
      <c r="P283" s="614"/>
      <c r="Q283" s="614"/>
      <c r="R283" s="614"/>
      <c r="S283" s="614"/>
      <c r="T283" s="613"/>
      <c r="U283" s="613"/>
      <c r="V283" s="613"/>
    </row>
    <row r="284" spans="1:22" ht="15.75" x14ac:dyDescent="0.25">
      <c r="A284" s="614"/>
      <c r="B284" s="614"/>
      <c r="C284" s="614"/>
      <c r="D284" s="614"/>
      <c r="E284" s="614"/>
      <c r="F284" s="614"/>
      <c r="G284" s="614"/>
      <c r="H284" s="614"/>
      <c r="I284" s="614"/>
      <c r="J284" s="614"/>
      <c r="K284" s="614"/>
      <c r="L284" s="614"/>
      <c r="M284" s="614"/>
      <c r="N284" s="614"/>
      <c r="O284" s="614"/>
      <c r="P284" s="614"/>
      <c r="Q284" s="614"/>
      <c r="R284" s="614"/>
      <c r="S284" s="614"/>
      <c r="T284" s="613"/>
      <c r="U284" s="613"/>
      <c r="V284" s="613"/>
    </row>
    <row r="285" spans="1:22" ht="15.75" x14ac:dyDescent="0.25">
      <c r="A285" s="614"/>
      <c r="B285" s="614"/>
      <c r="C285" s="614"/>
      <c r="D285" s="614"/>
      <c r="E285" s="614"/>
      <c r="F285" s="614"/>
      <c r="G285" s="614"/>
      <c r="H285" s="614"/>
      <c r="I285" s="614"/>
      <c r="J285" s="614"/>
      <c r="K285" s="614"/>
      <c r="L285" s="614"/>
      <c r="M285" s="614"/>
      <c r="N285" s="614"/>
      <c r="O285" s="614"/>
      <c r="P285" s="614"/>
      <c r="Q285" s="614"/>
      <c r="R285" s="614"/>
      <c r="S285" s="614"/>
      <c r="T285" s="613"/>
      <c r="U285" s="613"/>
      <c r="V285" s="613"/>
    </row>
    <row r="286" spans="1:22" ht="15.75" x14ac:dyDescent="0.25">
      <c r="A286" s="614"/>
      <c r="B286" s="614"/>
      <c r="C286" s="614"/>
      <c r="D286" s="614"/>
      <c r="E286" s="614"/>
      <c r="F286" s="614"/>
      <c r="G286" s="614"/>
      <c r="H286" s="614"/>
      <c r="I286" s="614"/>
      <c r="J286" s="614"/>
      <c r="K286" s="614"/>
      <c r="L286" s="614"/>
      <c r="M286" s="614"/>
      <c r="N286" s="614"/>
      <c r="O286" s="614"/>
      <c r="P286" s="614"/>
      <c r="Q286" s="614"/>
      <c r="R286" s="614"/>
      <c r="S286" s="614"/>
      <c r="T286" s="613"/>
      <c r="U286" s="613"/>
      <c r="V286" s="613"/>
    </row>
    <row r="287" spans="1:22" ht="15.75" x14ac:dyDescent="0.25">
      <c r="A287" s="614"/>
      <c r="B287" s="614"/>
      <c r="C287" s="614"/>
      <c r="D287" s="614"/>
      <c r="E287" s="614"/>
      <c r="F287" s="614"/>
      <c r="G287" s="614"/>
      <c r="H287" s="614"/>
      <c r="I287" s="614"/>
      <c r="J287" s="614"/>
      <c r="K287" s="614"/>
      <c r="L287" s="614"/>
      <c r="M287" s="614"/>
      <c r="N287" s="614"/>
      <c r="O287" s="614"/>
      <c r="P287" s="614"/>
      <c r="Q287" s="614"/>
      <c r="R287" s="614"/>
      <c r="S287" s="614"/>
      <c r="T287" s="613"/>
      <c r="U287" s="613"/>
      <c r="V287" s="613"/>
    </row>
    <row r="288" spans="1:22" ht="15.75" x14ac:dyDescent="0.25">
      <c r="A288" s="614"/>
      <c r="B288" s="614"/>
      <c r="C288" s="614"/>
      <c r="D288" s="614"/>
      <c r="E288" s="614"/>
      <c r="F288" s="614"/>
      <c r="G288" s="614"/>
      <c r="H288" s="614"/>
      <c r="I288" s="614"/>
      <c r="J288" s="614"/>
      <c r="K288" s="614"/>
      <c r="L288" s="614"/>
      <c r="M288" s="614"/>
      <c r="N288" s="614"/>
      <c r="O288" s="614"/>
      <c r="P288" s="614"/>
      <c r="Q288" s="614"/>
      <c r="R288" s="614"/>
      <c r="S288" s="614"/>
      <c r="T288" s="613"/>
      <c r="U288" s="613"/>
      <c r="V288" s="613"/>
    </row>
    <row r="289" spans="1:22" ht="15.75" x14ac:dyDescent="0.25">
      <c r="A289" s="614"/>
      <c r="B289" s="614"/>
      <c r="C289" s="614"/>
      <c r="D289" s="614"/>
      <c r="E289" s="614"/>
      <c r="F289" s="614"/>
      <c r="G289" s="614"/>
      <c r="H289" s="614"/>
      <c r="I289" s="614"/>
      <c r="J289" s="614"/>
      <c r="K289" s="614"/>
      <c r="L289" s="614"/>
      <c r="M289" s="614"/>
      <c r="N289" s="614"/>
      <c r="O289" s="614"/>
      <c r="P289" s="614"/>
      <c r="Q289" s="614"/>
      <c r="R289" s="614"/>
      <c r="S289" s="614"/>
      <c r="T289" s="613"/>
      <c r="U289" s="613"/>
      <c r="V289" s="613"/>
    </row>
    <row r="290" spans="1:22" ht="15.75" x14ac:dyDescent="0.25">
      <c r="A290" s="614"/>
      <c r="B290" s="614"/>
      <c r="C290" s="614"/>
      <c r="D290" s="614"/>
      <c r="E290" s="614"/>
      <c r="F290" s="614"/>
      <c r="G290" s="614"/>
      <c r="H290" s="614"/>
      <c r="I290" s="614"/>
      <c r="J290" s="614"/>
      <c r="K290" s="614"/>
      <c r="L290" s="614"/>
      <c r="M290" s="614"/>
      <c r="N290" s="614"/>
      <c r="O290" s="614"/>
      <c r="P290" s="614"/>
      <c r="Q290" s="614"/>
      <c r="R290" s="614"/>
      <c r="S290" s="614"/>
      <c r="T290" s="613"/>
      <c r="U290" s="613"/>
      <c r="V290" s="613"/>
    </row>
    <row r="291" spans="1:22" ht="15.75" x14ac:dyDescent="0.25">
      <c r="A291" s="614"/>
      <c r="B291" s="614"/>
      <c r="C291" s="614"/>
      <c r="D291" s="614"/>
      <c r="E291" s="614"/>
      <c r="F291" s="614"/>
      <c r="G291" s="614"/>
      <c r="H291" s="614"/>
      <c r="I291" s="614"/>
      <c r="J291" s="614"/>
      <c r="K291" s="614"/>
      <c r="L291" s="614"/>
      <c r="M291" s="614"/>
      <c r="N291" s="614"/>
      <c r="O291" s="614"/>
      <c r="P291" s="614"/>
      <c r="Q291" s="614"/>
      <c r="R291" s="614"/>
      <c r="S291" s="614"/>
      <c r="T291" s="613"/>
      <c r="U291" s="613"/>
      <c r="V291" s="613"/>
    </row>
    <row r="292" spans="1:22" ht="15.75" x14ac:dyDescent="0.25">
      <c r="A292" s="614"/>
      <c r="B292" s="614"/>
      <c r="C292" s="614"/>
      <c r="D292" s="614"/>
      <c r="E292" s="614"/>
      <c r="F292" s="614"/>
      <c r="G292" s="614"/>
      <c r="H292" s="614"/>
      <c r="I292" s="614"/>
      <c r="J292" s="614"/>
      <c r="K292" s="614"/>
      <c r="L292" s="614"/>
      <c r="M292" s="614"/>
      <c r="N292" s="614"/>
      <c r="O292" s="614"/>
      <c r="P292" s="614"/>
      <c r="Q292" s="614"/>
      <c r="R292" s="614"/>
      <c r="S292" s="614"/>
      <c r="T292" s="613"/>
      <c r="U292" s="613"/>
      <c r="V292" s="613"/>
    </row>
    <row r="293" spans="1:22" ht="15.75" x14ac:dyDescent="0.25">
      <c r="A293" s="614"/>
      <c r="B293" s="614"/>
      <c r="C293" s="614"/>
      <c r="D293" s="614"/>
      <c r="E293" s="614"/>
      <c r="F293" s="614"/>
      <c r="G293" s="614"/>
      <c r="H293" s="614"/>
      <c r="I293" s="614"/>
      <c r="J293" s="614"/>
      <c r="K293" s="614"/>
      <c r="L293" s="614"/>
      <c r="M293" s="614"/>
      <c r="N293" s="614"/>
      <c r="O293" s="614"/>
      <c r="P293" s="614"/>
      <c r="Q293" s="614"/>
      <c r="R293" s="614"/>
      <c r="S293" s="614"/>
      <c r="T293" s="613"/>
      <c r="U293" s="613"/>
      <c r="V293" s="613"/>
    </row>
    <row r="294" spans="1:22" ht="15.75" x14ac:dyDescent="0.25">
      <c r="A294" s="614"/>
      <c r="B294" s="614"/>
      <c r="C294" s="614"/>
      <c r="D294" s="614"/>
      <c r="E294" s="614"/>
      <c r="F294" s="614"/>
      <c r="G294" s="614"/>
      <c r="H294" s="614"/>
      <c r="I294" s="614"/>
      <c r="J294" s="614"/>
      <c r="K294" s="614"/>
      <c r="L294" s="614"/>
      <c r="M294" s="614"/>
      <c r="N294" s="614"/>
      <c r="O294" s="614"/>
      <c r="P294" s="614"/>
      <c r="Q294" s="614"/>
      <c r="R294" s="614"/>
      <c r="S294" s="614"/>
      <c r="T294" s="613"/>
      <c r="U294" s="613"/>
      <c r="V294" s="613"/>
    </row>
    <row r="295" spans="1:22" ht="15.75" x14ac:dyDescent="0.25">
      <c r="A295" s="614"/>
      <c r="B295" s="614"/>
      <c r="C295" s="614"/>
      <c r="D295" s="614"/>
      <c r="E295" s="614"/>
      <c r="F295" s="614"/>
      <c r="G295" s="614"/>
      <c r="H295" s="614"/>
      <c r="I295" s="614"/>
      <c r="J295" s="614"/>
      <c r="K295" s="614"/>
      <c r="L295" s="614"/>
      <c r="M295" s="614"/>
      <c r="N295" s="614"/>
      <c r="O295" s="614"/>
      <c r="P295" s="614"/>
      <c r="Q295" s="614"/>
      <c r="R295" s="614"/>
      <c r="S295" s="614"/>
      <c r="T295" s="613"/>
      <c r="U295" s="613"/>
      <c r="V295" s="613"/>
    </row>
    <row r="296" spans="1:22" ht="15.75" x14ac:dyDescent="0.25">
      <c r="A296" s="614"/>
      <c r="B296" s="614"/>
      <c r="C296" s="614"/>
      <c r="D296" s="614"/>
      <c r="E296" s="614"/>
      <c r="F296" s="614"/>
      <c r="G296" s="614"/>
      <c r="H296" s="614"/>
      <c r="I296" s="614"/>
      <c r="J296" s="614"/>
      <c r="K296" s="614"/>
      <c r="L296" s="614"/>
      <c r="M296" s="614"/>
      <c r="N296" s="614"/>
      <c r="O296" s="614"/>
      <c r="P296" s="614"/>
      <c r="Q296" s="614"/>
      <c r="R296" s="614"/>
      <c r="S296" s="614"/>
      <c r="T296" s="613"/>
      <c r="U296" s="613"/>
      <c r="V296" s="613"/>
    </row>
    <row r="297" spans="1:22" ht="15.75" x14ac:dyDescent="0.25">
      <c r="A297" s="614"/>
      <c r="B297" s="614"/>
      <c r="C297" s="614"/>
      <c r="D297" s="614"/>
      <c r="E297" s="614"/>
      <c r="F297" s="614"/>
      <c r="G297" s="614"/>
      <c r="H297" s="614"/>
      <c r="I297" s="614"/>
      <c r="J297" s="614"/>
      <c r="K297" s="614"/>
      <c r="L297" s="614"/>
      <c r="M297" s="614"/>
      <c r="N297" s="614"/>
      <c r="O297" s="614"/>
      <c r="P297" s="614"/>
      <c r="Q297" s="614"/>
      <c r="R297" s="614"/>
      <c r="S297" s="614"/>
      <c r="T297" s="613"/>
      <c r="U297" s="613"/>
      <c r="V297" s="613"/>
    </row>
    <row r="298" spans="1:22" ht="15.75" x14ac:dyDescent="0.25">
      <c r="A298" s="614"/>
      <c r="B298" s="614"/>
      <c r="C298" s="614"/>
      <c r="D298" s="614"/>
      <c r="E298" s="614"/>
      <c r="F298" s="614"/>
      <c r="G298" s="614"/>
      <c r="H298" s="614"/>
      <c r="I298" s="614"/>
      <c r="J298" s="614"/>
      <c r="K298" s="614"/>
      <c r="L298" s="614"/>
      <c r="M298" s="614"/>
      <c r="N298" s="614"/>
      <c r="O298" s="614"/>
      <c r="P298" s="614"/>
      <c r="Q298" s="614"/>
      <c r="R298" s="614"/>
      <c r="S298" s="614"/>
      <c r="T298" s="613"/>
      <c r="U298" s="613"/>
      <c r="V298" s="613"/>
    </row>
    <row r="299" spans="1:22" ht="15.75" x14ac:dyDescent="0.25">
      <c r="A299" s="614"/>
      <c r="B299" s="614"/>
      <c r="C299" s="614"/>
      <c r="D299" s="614"/>
      <c r="E299" s="614"/>
      <c r="F299" s="614"/>
      <c r="G299" s="614"/>
      <c r="H299" s="614"/>
      <c r="I299" s="614"/>
      <c r="J299" s="614"/>
      <c r="K299" s="614"/>
      <c r="L299" s="614"/>
      <c r="M299" s="614"/>
      <c r="N299" s="614"/>
      <c r="O299" s="614"/>
      <c r="P299" s="614"/>
      <c r="Q299" s="614"/>
      <c r="R299" s="614"/>
      <c r="S299" s="614"/>
      <c r="T299" s="613"/>
      <c r="U299" s="613"/>
      <c r="V299" s="613"/>
    </row>
    <row r="300" spans="1:22" ht="15.75" x14ac:dyDescent="0.25">
      <c r="A300" s="614"/>
      <c r="B300" s="614"/>
      <c r="C300" s="614"/>
      <c r="D300" s="614"/>
      <c r="E300" s="614"/>
      <c r="F300" s="614"/>
      <c r="G300" s="614"/>
      <c r="H300" s="614"/>
      <c r="I300" s="614"/>
      <c r="J300" s="614"/>
      <c r="K300" s="614"/>
      <c r="L300" s="614"/>
      <c r="M300" s="614"/>
      <c r="N300" s="614"/>
      <c r="O300" s="614"/>
      <c r="P300" s="614"/>
      <c r="Q300" s="614"/>
      <c r="R300" s="614"/>
      <c r="S300" s="614"/>
      <c r="T300" s="613"/>
      <c r="U300" s="613"/>
      <c r="V300" s="613"/>
    </row>
    <row r="301" spans="1:22" ht="15.75" x14ac:dyDescent="0.25">
      <c r="A301" s="614"/>
      <c r="B301" s="614"/>
      <c r="C301" s="614"/>
      <c r="D301" s="614"/>
      <c r="E301" s="614"/>
      <c r="F301" s="614"/>
      <c r="G301" s="614"/>
      <c r="H301" s="614"/>
      <c r="I301" s="614"/>
      <c r="J301" s="614"/>
      <c r="K301" s="614"/>
      <c r="L301" s="614"/>
      <c r="M301" s="614"/>
      <c r="N301" s="614"/>
      <c r="O301" s="614"/>
      <c r="P301" s="614"/>
      <c r="Q301" s="614"/>
      <c r="R301" s="614"/>
      <c r="S301" s="614"/>
      <c r="T301" s="613"/>
      <c r="U301" s="613"/>
      <c r="V301" s="613"/>
    </row>
    <row r="302" spans="1:22" ht="15.75" x14ac:dyDescent="0.25">
      <c r="A302" s="613"/>
      <c r="B302" s="613"/>
      <c r="C302" s="613"/>
      <c r="D302" s="613"/>
      <c r="E302" s="613"/>
      <c r="F302" s="613"/>
      <c r="G302" s="613"/>
      <c r="H302" s="613"/>
      <c r="I302" s="613"/>
      <c r="J302" s="613"/>
      <c r="K302" s="613"/>
      <c r="L302" s="613"/>
      <c r="M302" s="613"/>
      <c r="N302" s="613"/>
      <c r="O302" s="613"/>
      <c r="P302" s="613"/>
      <c r="Q302" s="613"/>
      <c r="R302" s="613"/>
      <c r="S302" s="613"/>
      <c r="T302" s="613"/>
      <c r="U302" s="613"/>
      <c r="V302" s="613"/>
    </row>
    <row r="303" spans="1:22" ht="15.75" x14ac:dyDescent="0.25">
      <c r="A303" s="613"/>
      <c r="B303" s="613"/>
      <c r="C303" s="613"/>
      <c r="D303" s="613"/>
      <c r="E303" s="613"/>
      <c r="F303" s="613"/>
      <c r="G303" s="613"/>
      <c r="H303" s="613"/>
      <c r="I303" s="613"/>
      <c r="J303" s="613"/>
      <c r="K303" s="613"/>
      <c r="L303" s="613"/>
      <c r="M303" s="613"/>
      <c r="N303" s="613"/>
      <c r="O303" s="613"/>
      <c r="P303" s="613"/>
      <c r="Q303" s="613"/>
      <c r="R303" s="613"/>
      <c r="S303" s="613"/>
      <c r="T303" s="613"/>
      <c r="U303" s="613"/>
      <c r="V303" s="613"/>
    </row>
    <row r="304" spans="1:22" ht="15.75" x14ac:dyDescent="0.25">
      <c r="A304" s="613"/>
      <c r="B304" s="613"/>
      <c r="C304" s="613"/>
      <c r="D304" s="613"/>
      <c r="E304" s="613"/>
      <c r="F304" s="613"/>
      <c r="G304" s="613"/>
      <c r="H304" s="613"/>
      <c r="I304" s="613"/>
      <c r="J304" s="613"/>
      <c r="K304" s="613"/>
      <c r="L304" s="613"/>
      <c r="M304" s="613"/>
      <c r="N304" s="613"/>
      <c r="O304" s="613"/>
      <c r="P304" s="613"/>
      <c r="Q304" s="613"/>
      <c r="R304" s="613"/>
      <c r="S304" s="613"/>
      <c r="T304" s="613"/>
      <c r="U304" s="613"/>
      <c r="V304" s="613"/>
    </row>
    <row r="305" spans="1:22" ht="15.75" x14ac:dyDescent="0.25">
      <c r="A305" s="613"/>
      <c r="B305" s="613"/>
      <c r="C305" s="613"/>
      <c r="D305" s="613"/>
      <c r="E305" s="613"/>
      <c r="F305" s="613"/>
      <c r="G305" s="613"/>
      <c r="H305" s="613"/>
      <c r="I305" s="613"/>
      <c r="J305" s="613"/>
      <c r="K305" s="613"/>
      <c r="L305" s="613"/>
      <c r="M305" s="613"/>
      <c r="N305" s="613"/>
      <c r="O305" s="613"/>
      <c r="P305" s="613"/>
      <c r="Q305" s="613"/>
      <c r="R305" s="613"/>
      <c r="S305" s="613"/>
      <c r="T305" s="613"/>
      <c r="U305" s="613"/>
      <c r="V305" s="613"/>
    </row>
    <row r="306" spans="1:22" ht="15.75" x14ac:dyDescent="0.25">
      <c r="A306" s="613"/>
      <c r="B306" s="613"/>
      <c r="C306" s="613"/>
      <c r="D306" s="613"/>
      <c r="E306" s="613"/>
      <c r="F306" s="613"/>
      <c r="G306" s="613"/>
      <c r="H306" s="613"/>
      <c r="I306" s="613"/>
      <c r="J306" s="613"/>
      <c r="K306" s="613"/>
      <c r="L306" s="613"/>
      <c r="M306" s="613"/>
      <c r="N306" s="613"/>
      <c r="O306" s="613"/>
      <c r="P306" s="613"/>
      <c r="Q306" s="613"/>
      <c r="R306" s="613"/>
      <c r="S306" s="613"/>
      <c r="T306" s="613"/>
      <c r="U306" s="613"/>
      <c r="V306" s="613"/>
    </row>
    <row r="307" spans="1:22" ht="15.75" x14ac:dyDescent="0.25">
      <c r="A307" s="613"/>
      <c r="B307" s="613"/>
      <c r="C307" s="613"/>
      <c r="D307" s="613"/>
      <c r="E307" s="613"/>
      <c r="F307" s="613"/>
      <c r="G307" s="613"/>
      <c r="H307" s="613"/>
      <c r="I307" s="613"/>
      <c r="J307" s="613"/>
      <c r="K307" s="613"/>
      <c r="L307" s="613"/>
      <c r="M307" s="613"/>
      <c r="N307" s="613"/>
      <c r="O307" s="613"/>
      <c r="P307" s="613"/>
      <c r="Q307" s="613"/>
      <c r="R307" s="613"/>
      <c r="S307" s="613"/>
      <c r="T307" s="613"/>
      <c r="U307" s="613"/>
      <c r="V307" s="613"/>
    </row>
    <row r="308" spans="1:22" ht="15.75" x14ac:dyDescent="0.25">
      <c r="A308" s="613"/>
      <c r="B308" s="613"/>
      <c r="C308" s="613"/>
      <c r="D308" s="613"/>
      <c r="E308" s="613"/>
      <c r="F308" s="613"/>
      <c r="G308" s="613"/>
      <c r="H308" s="613"/>
      <c r="I308" s="613"/>
      <c r="J308" s="613"/>
      <c r="K308" s="613"/>
      <c r="L308" s="613"/>
      <c r="M308" s="613"/>
      <c r="N308" s="613"/>
      <c r="O308" s="613"/>
      <c r="P308" s="613"/>
      <c r="Q308" s="613"/>
      <c r="R308" s="613"/>
      <c r="S308" s="613"/>
      <c r="T308" s="613"/>
      <c r="U308" s="613"/>
      <c r="V308" s="613"/>
    </row>
    <row r="309" spans="1:22" ht="15.75" x14ac:dyDescent="0.25">
      <c r="A309" s="613"/>
      <c r="B309" s="613"/>
      <c r="C309" s="613"/>
      <c r="D309" s="613"/>
      <c r="E309" s="613"/>
      <c r="F309" s="613"/>
      <c r="G309" s="613"/>
      <c r="H309" s="613"/>
      <c r="I309" s="613"/>
      <c r="J309" s="613"/>
      <c r="K309" s="613"/>
      <c r="L309" s="613"/>
      <c r="M309" s="613"/>
      <c r="N309" s="613"/>
      <c r="O309" s="613"/>
      <c r="P309" s="613"/>
      <c r="Q309" s="613"/>
      <c r="R309" s="613"/>
      <c r="S309" s="613"/>
      <c r="T309" s="613"/>
      <c r="U309" s="613"/>
      <c r="V309" s="613"/>
    </row>
    <row r="310" spans="1:22" ht="15.75" x14ac:dyDescent="0.25">
      <c r="A310" s="613"/>
      <c r="B310" s="613"/>
      <c r="C310" s="613"/>
      <c r="D310" s="613"/>
      <c r="E310" s="613"/>
      <c r="F310" s="613"/>
      <c r="G310" s="613"/>
      <c r="H310" s="613"/>
      <c r="I310" s="613"/>
      <c r="J310" s="613"/>
      <c r="K310" s="613"/>
      <c r="L310" s="613"/>
      <c r="M310" s="613"/>
      <c r="N310" s="613"/>
      <c r="O310" s="613"/>
      <c r="P310" s="613"/>
      <c r="Q310" s="613"/>
      <c r="R310" s="613"/>
      <c r="S310" s="613"/>
      <c r="T310" s="613"/>
      <c r="U310" s="613"/>
      <c r="V310" s="613"/>
    </row>
    <row r="311" spans="1:22" ht="15.75" x14ac:dyDescent="0.25">
      <c r="A311" s="613"/>
      <c r="B311" s="613"/>
      <c r="C311" s="613"/>
      <c r="D311" s="613"/>
      <c r="E311" s="613"/>
      <c r="F311" s="613"/>
      <c r="G311" s="613"/>
      <c r="H311" s="613"/>
      <c r="I311" s="613"/>
      <c r="J311" s="613"/>
      <c r="K311" s="613"/>
      <c r="L311" s="613"/>
      <c r="M311" s="613"/>
      <c r="N311" s="613"/>
      <c r="O311" s="613"/>
      <c r="P311" s="613"/>
      <c r="Q311" s="613"/>
      <c r="R311" s="613"/>
      <c r="S311" s="613"/>
      <c r="T311" s="613"/>
      <c r="U311" s="613"/>
      <c r="V311" s="613"/>
    </row>
    <row r="312" spans="1:22" ht="15.75" x14ac:dyDescent="0.25">
      <c r="A312" s="613"/>
      <c r="B312" s="613"/>
      <c r="C312" s="613"/>
      <c r="D312" s="613"/>
      <c r="E312" s="613"/>
      <c r="F312" s="613"/>
      <c r="G312" s="613"/>
      <c r="H312" s="613"/>
      <c r="I312" s="613"/>
      <c r="J312" s="613"/>
      <c r="K312" s="613"/>
      <c r="L312" s="613"/>
      <c r="M312" s="613"/>
      <c r="N312" s="613"/>
      <c r="O312" s="613"/>
      <c r="P312" s="613"/>
      <c r="Q312" s="613"/>
      <c r="R312" s="613"/>
      <c r="S312" s="613"/>
      <c r="T312" s="613"/>
      <c r="U312" s="613"/>
      <c r="V312" s="613"/>
    </row>
    <row r="313" spans="1:22" ht="15.75" x14ac:dyDescent="0.25">
      <c r="A313" s="613"/>
      <c r="B313" s="613"/>
      <c r="C313" s="613"/>
      <c r="D313" s="613"/>
      <c r="E313" s="613"/>
      <c r="F313" s="613"/>
      <c r="G313" s="613"/>
      <c r="H313" s="613"/>
      <c r="I313" s="613"/>
      <c r="J313" s="613"/>
      <c r="K313" s="613"/>
      <c r="L313" s="613"/>
      <c r="M313" s="613"/>
      <c r="N313" s="613"/>
      <c r="O313" s="613"/>
      <c r="P313" s="613"/>
      <c r="Q313" s="613"/>
      <c r="R313" s="613"/>
      <c r="S313" s="613"/>
      <c r="T313" s="613"/>
      <c r="U313" s="613"/>
      <c r="V313" s="613"/>
    </row>
    <row r="314" spans="1:22" ht="15.75" x14ac:dyDescent="0.25">
      <c r="A314" s="613"/>
      <c r="B314" s="613"/>
      <c r="C314" s="613"/>
      <c r="D314" s="613"/>
      <c r="E314" s="613"/>
      <c r="F314" s="613"/>
      <c r="G314" s="613"/>
      <c r="H314" s="613"/>
      <c r="I314" s="613"/>
      <c r="J314" s="613"/>
      <c r="K314" s="613"/>
      <c r="L314" s="613"/>
      <c r="M314" s="613"/>
      <c r="N314" s="613"/>
      <c r="O314" s="613"/>
      <c r="P314" s="613"/>
      <c r="Q314" s="613"/>
      <c r="R314" s="613"/>
      <c r="S314" s="613"/>
      <c r="T314" s="613"/>
      <c r="U314" s="613"/>
      <c r="V314" s="613"/>
    </row>
    <row r="315" spans="1:22" ht="15.75" x14ac:dyDescent="0.25">
      <c r="A315" s="613"/>
      <c r="B315" s="613"/>
      <c r="C315" s="613"/>
      <c r="D315" s="613"/>
      <c r="E315" s="613"/>
      <c r="F315" s="613"/>
      <c r="G315" s="613"/>
      <c r="H315" s="613"/>
      <c r="I315" s="613"/>
      <c r="J315" s="613"/>
      <c r="K315" s="613"/>
      <c r="L315" s="613"/>
      <c r="M315" s="613"/>
      <c r="N315" s="613"/>
      <c r="O315" s="613"/>
      <c r="P315" s="613"/>
      <c r="Q315" s="613"/>
      <c r="R315" s="613"/>
      <c r="S315" s="613"/>
      <c r="T315" s="613"/>
      <c r="U315" s="613"/>
      <c r="V315" s="613"/>
    </row>
    <row r="316" spans="1:22" ht="15.75" x14ac:dyDescent="0.25">
      <c r="A316" s="613"/>
      <c r="B316" s="613"/>
      <c r="C316" s="613"/>
      <c r="D316" s="613"/>
      <c r="E316" s="613"/>
      <c r="F316" s="613"/>
      <c r="G316" s="613"/>
      <c r="H316" s="613"/>
      <c r="I316" s="613"/>
      <c r="J316" s="613"/>
      <c r="K316" s="613"/>
      <c r="L316" s="613"/>
      <c r="M316" s="613"/>
      <c r="N316" s="613"/>
      <c r="O316" s="613"/>
      <c r="P316" s="613"/>
      <c r="Q316" s="613"/>
      <c r="R316" s="613"/>
      <c r="S316" s="613"/>
      <c r="T316" s="613"/>
      <c r="U316" s="613"/>
      <c r="V316" s="613"/>
    </row>
    <row r="317" spans="1:22" ht="15.75" x14ac:dyDescent="0.25">
      <c r="A317" s="613"/>
      <c r="B317" s="613"/>
      <c r="C317" s="613"/>
      <c r="D317" s="613"/>
      <c r="E317" s="613"/>
      <c r="F317" s="613"/>
      <c r="G317" s="613"/>
      <c r="H317" s="613"/>
      <c r="I317" s="613"/>
      <c r="J317" s="613"/>
      <c r="K317" s="613"/>
      <c r="L317" s="613"/>
      <c r="M317" s="613"/>
      <c r="N317" s="613"/>
      <c r="O317" s="613"/>
      <c r="P317" s="613"/>
      <c r="Q317" s="613"/>
      <c r="R317" s="613"/>
      <c r="S317" s="613"/>
      <c r="T317" s="613"/>
      <c r="U317" s="613"/>
      <c r="V317" s="613"/>
    </row>
    <row r="318" spans="1:22" ht="15.75" x14ac:dyDescent="0.25">
      <c r="A318" s="613"/>
      <c r="B318" s="613"/>
      <c r="C318" s="613"/>
      <c r="D318" s="613"/>
      <c r="E318" s="613"/>
      <c r="F318" s="613"/>
      <c r="G318" s="613"/>
      <c r="H318" s="613"/>
      <c r="I318" s="613"/>
      <c r="J318" s="613"/>
      <c r="K318" s="613"/>
      <c r="L318" s="613"/>
      <c r="M318" s="613"/>
      <c r="N318" s="613"/>
      <c r="O318" s="613"/>
      <c r="P318" s="613"/>
      <c r="Q318" s="613"/>
      <c r="R318" s="613"/>
      <c r="S318" s="613"/>
      <c r="T318" s="613"/>
      <c r="U318" s="613"/>
      <c r="V318" s="613"/>
    </row>
    <row r="319" spans="1:22" ht="15.75" x14ac:dyDescent="0.25">
      <c r="A319" s="613"/>
      <c r="B319" s="613"/>
      <c r="C319" s="613"/>
      <c r="D319" s="613"/>
      <c r="E319" s="613"/>
      <c r="F319" s="613"/>
      <c r="G319" s="613"/>
      <c r="H319" s="613"/>
      <c r="I319" s="613"/>
      <c r="J319" s="613"/>
      <c r="K319" s="613"/>
      <c r="L319" s="613"/>
      <c r="M319" s="613"/>
      <c r="N319" s="613"/>
      <c r="O319" s="613"/>
      <c r="P319" s="613"/>
      <c r="Q319" s="613"/>
      <c r="R319" s="613"/>
      <c r="S319" s="613"/>
      <c r="T319" s="613"/>
      <c r="U319" s="613"/>
      <c r="V319" s="613"/>
    </row>
    <row r="320" spans="1:22" ht="15.75" x14ac:dyDescent="0.25">
      <c r="A320" s="613"/>
      <c r="B320" s="613"/>
      <c r="C320" s="613"/>
      <c r="D320" s="613"/>
      <c r="E320" s="613"/>
      <c r="F320" s="613"/>
      <c r="G320" s="613"/>
      <c r="H320" s="613"/>
      <c r="I320" s="613"/>
      <c r="J320" s="613"/>
      <c r="K320" s="613"/>
      <c r="L320" s="613"/>
      <c r="M320" s="613"/>
      <c r="N320" s="613"/>
      <c r="O320" s="613"/>
      <c r="P320" s="613"/>
      <c r="Q320" s="613"/>
      <c r="R320" s="613"/>
      <c r="S320" s="613"/>
      <c r="T320" s="613"/>
      <c r="U320" s="613"/>
      <c r="V320" s="613"/>
    </row>
    <row r="321" spans="1:22" ht="15.75" x14ac:dyDescent="0.25">
      <c r="A321" s="613"/>
      <c r="B321" s="613"/>
      <c r="C321" s="613"/>
      <c r="D321" s="613"/>
      <c r="E321" s="613"/>
      <c r="F321" s="613"/>
      <c r="G321" s="613"/>
      <c r="H321" s="613"/>
      <c r="I321" s="613"/>
      <c r="J321" s="613"/>
      <c r="K321" s="613"/>
      <c r="L321" s="613"/>
      <c r="M321" s="613"/>
      <c r="N321" s="613"/>
      <c r="O321" s="613"/>
      <c r="P321" s="613"/>
      <c r="Q321" s="613"/>
      <c r="R321" s="613"/>
      <c r="S321" s="613"/>
      <c r="T321" s="613"/>
      <c r="U321" s="613"/>
      <c r="V321" s="613"/>
    </row>
    <row r="322" spans="1:22" ht="15.75" x14ac:dyDescent="0.25">
      <c r="A322" s="613"/>
      <c r="B322" s="613"/>
      <c r="C322" s="613"/>
      <c r="D322" s="613"/>
      <c r="E322" s="613"/>
      <c r="F322" s="613"/>
      <c r="G322" s="613"/>
      <c r="H322" s="613"/>
      <c r="I322" s="613"/>
      <c r="J322" s="613"/>
      <c r="K322" s="613"/>
      <c r="L322" s="613"/>
      <c r="M322" s="613"/>
      <c r="N322" s="613"/>
      <c r="O322" s="613"/>
      <c r="P322" s="613"/>
      <c r="Q322" s="613"/>
      <c r="R322" s="613"/>
      <c r="S322" s="613"/>
      <c r="T322" s="613"/>
      <c r="U322" s="613"/>
      <c r="V322" s="613"/>
    </row>
    <row r="323" spans="1:22" ht="15.75" x14ac:dyDescent="0.25">
      <c r="A323" s="613"/>
      <c r="B323" s="613"/>
      <c r="C323" s="613"/>
      <c r="D323" s="613"/>
      <c r="E323" s="613"/>
      <c r="F323" s="613"/>
      <c r="G323" s="613"/>
      <c r="H323" s="613"/>
      <c r="I323" s="613"/>
      <c r="J323" s="613"/>
      <c r="K323" s="613"/>
      <c r="L323" s="613"/>
      <c r="M323" s="613"/>
      <c r="N323" s="613"/>
      <c r="O323" s="613"/>
      <c r="P323" s="613"/>
      <c r="Q323" s="613"/>
      <c r="R323" s="613"/>
      <c r="S323" s="613"/>
      <c r="T323" s="613"/>
      <c r="U323" s="613"/>
      <c r="V323" s="613"/>
    </row>
    <row r="324" spans="1:22" ht="15.75" x14ac:dyDescent="0.25">
      <c r="A324" s="613"/>
      <c r="B324" s="613"/>
      <c r="C324" s="613"/>
      <c r="D324" s="613"/>
      <c r="E324" s="613"/>
      <c r="F324" s="613"/>
      <c r="G324" s="613"/>
      <c r="H324" s="613"/>
      <c r="I324" s="613"/>
      <c r="J324" s="613"/>
      <c r="K324" s="613"/>
      <c r="L324" s="613"/>
      <c r="M324" s="613"/>
      <c r="N324" s="613"/>
      <c r="O324" s="613"/>
      <c r="P324" s="613"/>
      <c r="Q324" s="613"/>
      <c r="R324" s="613"/>
      <c r="S324" s="613"/>
      <c r="T324" s="613"/>
      <c r="U324" s="613"/>
      <c r="V324" s="613"/>
    </row>
    <row r="325" spans="1:22" ht="15.75" x14ac:dyDescent="0.25">
      <c r="A325" s="613"/>
      <c r="B325" s="613"/>
      <c r="C325" s="613"/>
      <c r="D325" s="613"/>
      <c r="E325" s="613"/>
      <c r="F325" s="613"/>
      <c r="G325" s="613"/>
      <c r="H325" s="613"/>
      <c r="I325" s="613"/>
      <c r="J325" s="613"/>
      <c r="K325" s="613"/>
      <c r="L325" s="613"/>
      <c r="M325" s="613"/>
      <c r="N325" s="613"/>
      <c r="O325" s="613"/>
      <c r="P325" s="613"/>
      <c r="Q325" s="613"/>
      <c r="R325" s="613"/>
      <c r="S325" s="613"/>
      <c r="T325" s="613"/>
      <c r="U325" s="613"/>
      <c r="V325" s="613"/>
    </row>
    <row r="326" spans="1:22" ht="15.75" x14ac:dyDescent="0.25">
      <c r="A326" s="613"/>
      <c r="B326" s="613"/>
      <c r="C326" s="613"/>
      <c r="D326" s="613"/>
      <c r="E326" s="613"/>
      <c r="F326" s="613"/>
      <c r="G326" s="613"/>
      <c r="H326" s="613"/>
      <c r="I326" s="613"/>
      <c r="J326" s="613"/>
      <c r="K326" s="613"/>
      <c r="L326" s="613"/>
      <c r="M326" s="613"/>
      <c r="N326" s="613"/>
      <c r="O326" s="613"/>
      <c r="P326" s="613"/>
      <c r="Q326" s="613"/>
      <c r="R326" s="613"/>
      <c r="S326" s="613"/>
      <c r="T326" s="613"/>
      <c r="U326" s="613"/>
      <c r="V326" s="613"/>
    </row>
    <row r="327" spans="1:22" ht="15.75" x14ac:dyDescent="0.25">
      <c r="A327" s="613"/>
      <c r="B327" s="613"/>
      <c r="C327" s="613"/>
      <c r="D327" s="613"/>
      <c r="E327" s="613"/>
      <c r="F327" s="613"/>
      <c r="G327" s="613"/>
      <c r="H327" s="613"/>
      <c r="I327" s="613"/>
      <c r="J327" s="613"/>
      <c r="K327" s="613"/>
      <c r="L327" s="613"/>
      <c r="M327" s="613"/>
      <c r="N327" s="613"/>
      <c r="O327" s="613"/>
      <c r="P327" s="613"/>
      <c r="Q327" s="613"/>
      <c r="R327" s="613"/>
      <c r="S327" s="613"/>
      <c r="T327" s="613"/>
      <c r="U327" s="613"/>
      <c r="V327" s="613"/>
    </row>
    <row r="328" spans="1:22" ht="15.75" x14ac:dyDescent="0.25">
      <c r="A328" s="613"/>
      <c r="B328" s="613"/>
      <c r="C328" s="613"/>
      <c r="D328" s="613"/>
      <c r="E328" s="613"/>
      <c r="F328" s="613"/>
      <c r="G328" s="613"/>
      <c r="H328" s="613"/>
      <c r="I328" s="613"/>
      <c r="J328" s="613"/>
      <c r="K328" s="613"/>
      <c r="L328" s="613"/>
      <c r="M328" s="613"/>
      <c r="N328" s="613"/>
      <c r="O328" s="613"/>
      <c r="P328" s="613"/>
      <c r="Q328" s="613"/>
      <c r="R328" s="613"/>
      <c r="S328" s="613"/>
      <c r="T328" s="613"/>
      <c r="U328" s="613"/>
      <c r="V328" s="613"/>
    </row>
    <row r="329" spans="1:22" ht="15.75" x14ac:dyDescent="0.25">
      <c r="A329" s="613"/>
      <c r="B329" s="613"/>
      <c r="C329" s="613"/>
      <c r="D329" s="613"/>
      <c r="E329" s="613"/>
      <c r="F329" s="613"/>
      <c r="G329" s="613"/>
      <c r="H329" s="613"/>
      <c r="I329" s="613"/>
      <c r="J329" s="613"/>
      <c r="K329" s="613"/>
      <c r="L329" s="613"/>
      <c r="M329" s="613"/>
      <c r="N329" s="613"/>
      <c r="O329" s="613"/>
      <c r="P329" s="613"/>
      <c r="Q329" s="613"/>
      <c r="R329" s="613"/>
      <c r="S329" s="613"/>
      <c r="T329" s="613"/>
      <c r="U329" s="613"/>
      <c r="V329" s="613"/>
    </row>
    <row r="330" spans="1:22" ht="15.75" x14ac:dyDescent="0.25">
      <c r="A330" s="613"/>
      <c r="B330" s="613"/>
      <c r="C330" s="613"/>
      <c r="D330" s="613"/>
      <c r="E330" s="613"/>
      <c r="F330" s="613"/>
      <c r="G330" s="613"/>
      <c r="H330" s="613"/>
      <c r="I330" s="613"/>
      <c r="J330" s="613"/>
      <c r="K330" s="613"/>
      <c r="L330" s="613"/>
      <c r="M330" s="613"/>
      <c r="N330" s="613"/>
      <c r="O330" s="613"/>
      <c r="P330" s="613"/>
      <c r="Q330" s="613"/>
      <c r="R330" s="613"/>
      <c r="S330" s="613"/>
      <c r="T330" s="613"/>
      <c r="U330" s="613"/>
      <c r="V330" s="613"/>
    </row>
    <row r="331" spans="1:22" ht="15.75" x14ac:dyDescent="0.25">
      <c r="A331" s="613"/>
      <c r="B331" s="613"/>
      <c r="C331" s="613"/>
      <c r="D331" s="613"/>
      <c r="E331" s="613"/>
      <c r="F331" s="613"/>
      <c r="G331" s="613"/>
      <c r="H331" s="613"/>
      <c r="I331" s="613"/>
      <c r="J331" s="613"/>
      <c r="K331" s="613"/>
      <c r="L331" s="613"/>
      <c r="M331" s="613"/>
      <c r="N331" s="613"/>
      <c r="O331" s="613"/>
      <c r="P331" s="613"/>
      <c r="Q331" s="613"/>
      <c r="R331" s="613"/>
      <c r="S331" s="613"/>
      <c r="T331" s="613"/>
      <c r="U331" s="613"/>
      <c r="V331" s="613"/>
    </row>
    <row r="332" spans="1:22" ht="15.75" x14ac:dyDescent="0.25">
      <c r="A332" s="613"/>
      <c r="B332" s="613"/>
      <c r="C332" s="613"/>
      <c r="D332" s="613"/>
      <c r="E332" s="613"/>
      <c r="F332" s="613"/>
      <c r="G332" s="613"/>
      <c r="H332" s="613"/>
      <c r="I332" s="613"/>
      <c r="J332" s="613"/>
      <c r="K332" s="613"/>
      <c r="L332" s="613"/>
      <c r="M332" s="613"/>
      <c r="N332" s="613"/>
      <c r="O332" s="613"/>
      <c r="P332" s="613"/>
      <c r="Q332" s="613"/>
      <c r="R332" s="613"/>
      <c r="S332" s="613"/>
      <c r="T332" s="613"/>
      <c r="U332" s="613"/>
      <c r="V332" s="613"/>
    </row>
    <row r="333" spans="1:22" ht="15.75" x14ac:dyDescent="0.25">
      <c r="A333" s="613"/>
      <c r="B333" s="613"/>
      <c r="C333" s="613"/>
      <c r="D333" s="613"/>
      <c r="E333" s="613"/>
      <c r="F333" s="613"/>
      <c r="G333" s="613"/>
      <c r="H333" s="613"/>
      <c r="I333" s="613"/>
      <c r="J333" s="613"/>
      <c r="K333" s="613"/>
      <c r="L333" s="613"/>
      <c r="M333" s="613"/>
      <c r="N333" s="613"/>
      <c r="O333" s="613"/>
      <c r="P333" s="613"/>
      <c r="Q333" s="613"/>
      <c r="R333" s="613"/>
      <c r="S333" s="613"/>
      <c r="T333" s="613"/>
      <c r="U333" s="613"/>
      <c r="V333" s="613"/>
    </row>
    <row r="334" spans="1:22" ht="15.75" x14ac:dyDescent="0.25">
      <c r="A334" s="613"/>
      <c r="B334" s="613"/>
      <c r="C334" s="613"/>
      <c r="D334" s="613"/>
      <c r="E334" s="613"/>
      <c r="F334" s="613"/>
      <c r="G334" s="613"/>
      <c r="H334" s="613"/>
      <c r="I334" s="613"/>
      <c r="J334" s="613"/>
      <c r="K334" s="613"/>
      <c r="L334" s="613"/>
      <c r="M334" s="613"/>
      <c r="N334" s="613"/>
      <c r="O334" s="613"/>
      <c r="P334" s="613"/>
      <c r="Q334" s="613"/>
      <c r="R334" s="613"/>
      <c r="S334" s="613"/>
      <c r="T334" s="613"/>
      <c r="U334" s="613"/>
      <c r="V334" s="613"/>
    </row>
    <row r="335" spans="1:22" ht="15.75" x14ac:dyDescent="0.25">
      <c r="A335" s="613"/>
      <c r="B335" s="613"/>
      <c r="C335" s="613"/>
      <c r="D335" s="613"/>
      <c r="E335" s="613"/>
      <c r="F335" s="613"/>
      <c r="G335" s="613"/>
      <c r="H335" s="613"/>
      <c r="I335" s="613"/>
      <c r="J335" s="613"/>
      <c r="K335" s="613"/>
      <c r="L335" s="613"/>
      <c r="M335" s="613"/>
      <c r="N335" s="613"/>
      <c r="O335" s="613"/>
      <c r="P335" s="613"/>
      <c r="Q335" s="613"/>
      <c r="R335" s="613"/>
      <c r="S335" s="613"/>
      <c r="T335" s="613"/>
      <c r="U335" s="613"/>
      <c r="V335" s="613"/>
    </row>
    <row r="336" spans="1:22" ht="15.75" x14ac:dyDescent="0.25">
      <c r="A336" s="613"/>
      <c r="B336" s="613"/>
      <c r="C336" s="613"/>
      <c r="D336" s="613"/>
      <c r="E336" s="613"/>
      <c r="F336" s="613"/>
      <c r="G336" s="613"/>
      <c r="H336" s="613"/>
      <c r="I336" s="613"/>
      <c r="J336" s="613"/>
      <c r="K336" s="613"/>
      <c r="L336" s="613"/>
      <c r="M336" s="613"/>
      <c r="N336" s="613"/>
      <c r="O336" s="613"/>
      <c r="P336" s="613"/>
      <c r="Q336" s="613"/>
      <c r="R336" s="613"/>
      <c r="S336" s="613"/>
      <c r="T336" s="613"/>
      <c r="U336" s="613"/>
      <c r="V336" s="613"/>
    </row>
    <row r="337" spans="1:22" ht="15.75" x14ac:dyDescent="0.25">
      <c r="A337" s="613"/>
      <c r="B337" s="613"/>
      <c r="C337" s="613"/>
      <c r="D337" s="613"/>
      <c r="E337" s="613"/>
      <c r="F337" s="613"/>
      <c r="G337" s="613"/>
      <c r="H337" s="613"/>
      <c r="I337" s="613"/>
      <c r="J337" s="613"/>
      <c r="K337" s="613"/>
      <c r="L337" s="613"/>
      <c r="M337" s="613"/>
      <c r="N337" s="613"/>
      <c r="O337" s="613"/>
      <c r="P337" s="613"/>
      <c r="Q337" s="613"/>
      <c r="R337" s="613"/>
      <c r="S337" s="613"/>
      <c r="T337" s="613"/>
      <c r="U337" s="613"/>
      <c r="V337" s="613"/>
    </row>
    <row r="338" spans="1:22" ht="15.75" x14ac:dyDescent="0.25">
      <c r="A338" s="613"/>
      <c r="B338" s="613"/>
      <c r="C338" s="613"/>
      <c r="D338" s="613"/>
      <c r="E338" s="613"/>
      <c r="F338" s="613"/>
      <c r="G338" s="613"/>
      <c r="H338" s="613"/>
      <c r="I338" s="613"/>
      <c r="J338" s="613"/>
      <c r="K338" s="613"/>
      <c r="L338" s="613"/>
      <c r="M338" s="613"/>
      <c r="N338" s="613"/>
      <c r="O338" s="613"/>
      <c r="P338" s="613"/>
      <c r="Q338" s="613"/>
      <c r="R338" s="613"/>
      <c r="S338" s="613"/>
      <c r="T338" s="613"/>
      <c r="U338" s="613"/>
      <c r="V338" s="613"/>
    </row>
    <row r="339" spans="1:22" ht="15.75" x14ac:dyDescent="0.25">
      <c r="A339" s="613"/>
      <c r="B339" s="613"/>
      <c r="C339" s="613"/>
      <c r="D339" s="613"/>
      <c r="E339" s="613"/>
      <c r="F339" s="613"/>
      <c r="G339" s="613"/>
      <c r="H339" s="613"/>
      <c r="I339" s="613"/>
      <c r="J339" s="613"/>
      <c r="K339" s="613"/>
      <c r="L339" s="613"/>
      <c r="M339" s="613"/>
      <c r="N339" s="613"/>
      <c r="O339" s="613"/>
      <c r="P339" s="613"/>
      <c r="Q339" s="613"/>
      <c r="R339" s="613"/>
      <c r="S339" s="613"/>
      <c r="T339" s="613"/>
      <c r="U339" s="613"/>
      <c r="V339" s="613"/>
    </row>
    <row r="340" spans="1:22" ht="15.75" x14ac:dyDescent="0.25">
      <c r="A340" s="613"/>
      <c r="B340" s="613"/>
      <c r="C340" s="613"/>
      <c r="D340" s="613"/>
      <c r="E340" s="613"/>
      <c r="F340" s="613"/>
      <c r="G340" s="613"/>
      <c r="H340" s="613"/>
      <c r="I340" s="613"/>
      <c r="J340" s="613"/>
      <c r="K340" s="613"/>
      <c r="L340" s="613"/>
      <c r="M340" s="613"/>
      <c r="N340" s="613"/>
      <c r="O340" s="613"/>
      <c r="P340" s="613"/>
      <c r="Q340" s="613"/>
      <c r="R340" s="613"/>
      <c r="S340" s="613"/>
      <c r="T340" s="613"/>
      <c r="U340" s="613"/>
      <c r="V340" s="613"/>
    </row>
    <row r="341" spans="1:22" ht="15.75" x14ac:dyDescent="0.25">
      <c r="A341" s="613"/>
      <c r="B341" s="613"/>
      <c r="C341" s="613"/>
      <c r="D341" s="613"/>
      <c r="E341" s="613"/>
      <c r="F341" s="613"/>
      <c r="G341" s="613"/>
      <c r="H341" s="613"/>
      <c r="I341" s="613"/>
      <c r="J341" s="613"/>
      <c r="K341" s="613"/>
      <c r="L341" s="613"/>
      <c r="M341" s="613"/>
      <c r="N341" s="613"/>
      <c r="O341" s="613"/>
      <c r="P341" s="613"/>
      <c r="Q341" s="613"/>
      <c r="R341" s="613"/>
      <c r="S341" s="613"/>
      <c r="T341" s="613"/>
      <c r="U341" s="613"/>
      <c r="V341" s="613"/>
    </row>
    <row r="342" spans="1:22" ht="15.75" x14ac:dyDescent="0.25">
      <c r="A342" s="613"/>
      <c r="B342" s="613"/>
      <c r="C342" s="613"/>
      <c r="D342" s="613"/>
      <c r="E342" s="613"/>
      <c r="F342" s="613"/>
      <c r="G342" s="613"/>
      <c r="H342" s="613"/>
      <c r="I342" s="613"/>
      <c r="J342" s="613"/>
      <c r="K342" s="613"/>
      <c r="L342" s="613"/>
      <c r="M342" s="613"/>
      <c r="N342" s="613"/>
      <c r="O342" s="613"/>
      <c r="P342" s="613"/>
      <c r="Q342" s="613"/>
      <c r="R342" s="613"/>
      <c r="S342" s="613"/>
      <c r="T342" s="613"/>
      <c r="U342" s="613"/>
      <c r="V342" s="613"/>
    </row>
    <row r="343" spans="1:22" ht="15.75" x14ac:dyDescent="0.25">
      <c r="A343" s="613"/>
      <c r="B343" s="613"/>
      <c r="C343" s="613"/>
      <c r="D343" s="613"/>
      <c r="E343" s="613"/>
      <c r="F343" s="613"/>
      <c r="G343" s="613"/>
      <c r="H343" s="613"/>
      <c r="I343" s="613"/>
      <c r="J343" s="613"/>
      <c r="K343" s="613"/>
      <c r="L343" s="613"/>
      <c r="M343" s="613"/>
      <c r="N343" s="613"/>
      <c r="O343" s="613"/>
      <c r="P343" s="613"/>
      <c r="Q343" s="613"/>
      <c r="R343" s="613"/>
      <c r="S343" s="613"/>
      <c r="T343" s="613"/>
      <c r="U343" s="613"/>
      <c r="V343" s="613"/>
    </row>
    <row r="344" spans="1:22" ht="15.75" x14ac:dyDescent="0.25">
      <c r="A344" s="613"/>
      <c r="B344" s="613"/>
      <c r="C344" s="613"/>
      <c r="D344" s="613"/>
      <c r="E344" s="613"/>
      <c r="F344" s="613"/>
      <c r="G344" s="613"/>
      <c r="H344" s="613"/>
      <c r="I344" s="613"/>
      <c r="J344" s="613"/>
      <c r="K344" s="613"/>
      <c r="L344" s="613"/>
      <c r="M344" s="613"/>
      <c r="N344" s="613"/>
      <c r="O344" s="613"/>
      <c r="P344" s="613"/>
      <c r="Q344" s="613"/>
      <c r="R344" s="613"/>
      <c r="S344" s="613"/>
      <c r="T344" s="613"/>
      <c r="U344" s="613"/>
      <c r="V344" s="613"/>
    </row>
    <row r="345" spans="1:22" ht="15.75" x14ac:dyDescent="0.25">
      <c r="A345" s="613"/>
      <c r="B345" s="613"/>
      <c r="C345" s="613"/>
      <c r="D345" s="613"/>
      <c r="E345" s="613"/>
      <c r="F345" s="613"/>
      <c r="G345" s="613"/>
      <c r="H345" s="613"/>
      <c r="I345" s="613"/>
      <c r="J345" s="613"/>
      <c r="K345" s="613"/>
      <c r="L345" s="613"/>
      <c r="M345" s="613"/>
      <c r="N345" s="613"/>
      <c r="O345" s="613"/>
      <c r="P345" s="613"/>
      <c r="Q345" s="613"/>
      <c r="R345" s="613"/>
      <c r="S345" s="613"/>
      <c r="T345" s="613"/>
      <c r="U345" s="613"/>
      <c r="V345" s="613"/>
    </row>
    <row r="346" spans="1:22" ht="15.75" x14ac:dyDescent="0.25">
      <c r="A346" s="613"/>
      <c r="B346" s="613"/>
      <c r="C346" s="613"/>
      <c r="D346" s="613"/>
      <c r="E346" s="613"/>
      <c r="F346" s="613"/>
      <c r="G346" s="613"/>
      <c r="H346" s="613"/>
      <c r="I346" s="613"/>
      <c r="J346" s="613"/>
      <c r="K346" s="613"/>
      <c r="L346" s="613"/>
      <c r="M346" s="613"/>
      <c r="N346" s="613"/>
      <c r="O346" s="613"/>
      <c r="P346" s="613"/>
      <c r="Q346" s="613"/>
      <c r="R346" s="613"/>
      <c r="S346" s="613"/>
      <c r="T346" s="613"/>
      <c r="U346" s="613"/>
      <c r="V346" s="613"/>
    </row>
    <row r="347" spans="1:22" ht="15.75" x14ac:dyDescent="0.25">
      <c r="A347" s="613"/>
      <c r="B347" s="613"/>
      <c r="C347" s="613"/>
      <c r="D347" s="613"/>
      <c r="E347" s="613"/>
      <c r="F347" s="613"/>
      <c r="G347" s="613"/>
      <c r="H347" s="613"/>
      <c r="I347" s="613"/>
      <c r="J347" s="613"/>
      <c r="K347" s="613"/>
      <c r="L347" s="613"/>
      <c r="M347" s="613"/>
      <c r="N347" s="613"/>
      <c r="O347" s="613"/>
      <c r="P347" s="613"/>
      <c r="Q347" s="613"/>
      <c r="R347" s="613"/>
      <c r="S347" s="613"/>
      <c r="T347" s="613"/>
      <c r="U347" s="613"/>
      <c r="V347" s="613"/>
    </row>
    <row r="348" spans="1:22" ht="15.75" x14ac:dyDescent="0.25">
      <c r="A348" s="613"/>
      <c r="B348" s="613"/>
      <c r="C348" s="613"/>
      <c r="D348" s="613"/>
      <c r="E348" s="613"/>
      <c r="F348" s="613"/>
      <c r="G348" s="613"/>
      <c r="H348" s="613"/>
      <c r="I348" s="613"/>
      <c r="J348" s="613"/>
      <c r="K348" s="613"/>
      <c r="L348" s="613"/>
      <c r="M348" s="613"/>
      <c r="N348" s="613"/>
      <c r="O348" s="613"/>
      <c r="P348" s="613"/>
      <c r="Q348" s="613"/>
      <c r="R348" s="613"/>
      <c r="S348" s="613"/>
      <c r="T348" s="613"/>
      <c r="U348" s="613"/>
      <c r="V348" s="613"/>
    </row>
    <row r="349" spans="1:22" ht="15.75" x14ac:dyDescent="0.25">
      <c r="A349" s="613"/>
      <c r="B349" s="613"/>
      <c r="C349" s="613"/>
      <c r="D349" s="613"/>
      <c r="E349" s="613"/>
      <c r="F349" s="613"/>
      <c r="G349" s="613"/>
      <c r="H349" s="613"/>
      <c r="I349" s="613"/>
      <c r="J349" s="613"/>
      <c r="K349" s="613"/>
      <c r="L349" s="613"/>
      <c r="M349" s="613"/>
      <c r="N349" s="613"/>
      <c r="O349" s="613"/>
      <c r="P349" s="613"/>
      <c r="Q349" s="613"/>
      <c r="R349" s="613"/>
      <c r="S349" s="613"/>
      <c r="T349" s="613"/>
      <c r="U349" s="613"/>
      <c r="V349" s="613"/>
    </row>
    <row r="350" spans="1:22" ht="15.75" x14ac:dyDescent="0.25">
      <c r="A350" s="613"/>
      <c r="B350" s="613"/>
      <c r="C350" s="613"/>
      <c r="D350" s="613"/>
      <c r="E350" s="613"/>
      <c r="F350" s="613"/>
      <c r="G350" s="613"/>
      <c r="H350" s="613"/>
      <c r="I350" s="613"/>
      <c r="J350" s="613"/>
      <c r="K350" s="613"/>
      <c r="L350" s="613"/>
      <c r="M350" s="613"/>
      <c r="N350" s="613"/>
      <c r="O350" s="613"/>
      <c r="P350" s="613"/>
      <c r="Q350" s="613"/>
      <c r="R350" s="613"/>
      <c r="S350" s="613"/>
      <c r="T350" s="613"/>
      <c r="U350" s="613"/>
      <c r="V350" s="613"/>
    </row>
    <row r="351" spans="1:22" ht="15.75" x14ac:dyDescent="0.25">
      <c r="A351" s="613"/>
      <c r="B351" s="613"/>
      <c r="C351" s="613"/>
      <c r="D351" s="613"/>
      <c r="E351" s="613"/>
      <c r="F351" s="613"/>
      <c r="G351" s="613"/>
      <c r="H351" s="613"/>
      <c r="I351" s="613"/>
      <c r="J351" s="613"/>
      <c r="K351" s="613"/>
      <c r="L351" s="613"/>
      <c r="M351" s="613"/>
      <c r="N351" s="613"/>
      <c r="O351" s="613"/>
      <c r="P351" s="613"/>
      <c r="Q351" s="613"/>
      <c r="R351" s="613"/>
      <c r="S351" s="613"/>
      <c r="T351" s="613"/>
      <c r="U351" s="613"/>
      <c r="V351" s="613"/>
    </row>
    <row r="352" spans="1:22" ht="15.75" x14ac:dyDescent="0.25">
      <c r="A352" s="613"/>
      <c r="B352" s="613"/>
      <c r="C352" s="613"/>
      <c r="D352" s="613"/>
      <c r="E352" s="613"/>
      <c r="F352" s="613"/>
      <c r="G352" s="613"/>
      <c r="H352" s="613"/>
      <c r="I352" s="613"/>
      <c r="J352" s="613"/>
      <c r="K352" s="613"/>
      <c r="L352" s="613"/>
      <c r="M352" s="613"/>
      <c r="N352" s="613"/>
      <c r="O352" s="613"/>
      <c r="P352" s="613"/>
      <c r="Q352" s="613"/>
      <c r="R352" s="613"/>
      <c r="S352" s="613"/>
      <c r="T352" s="613"/>
      <c r="U352" s="613"/>
      <c r="V352" s="613"/>
    </row>
    <row r="353" spans="1:22" ht="15.75" x14ac:dyDescent="0.25">
      <c r="A353" s="613"/>
      <c r="B353" s="613"/>
      <c r="C353" s="613"/>
      <c r="D353" s="613"/>
      <c r="E353" s="613"/>
      <c r="F353" s="613"/>
      <c r="G353" s="613"/>
      <c r="H353" s="613"/>
      <c r="I353" s="613"/>
      <c r="J353" s="613"/>
      <c r="K353" s="613"/>
      <c r="L353" s="613"/>
      <c r="M353" s="613"/>
      <c r="N353" s="613"/>
      <c r="O353" s="613"/>
      <c r="P353" s="613"/>
      <c r="Q353" s="613"/>
      <c r="R353" s="613"/>
      <c r="S353" s="613"/>
      <c r="T353" s="613"/>
      <c r="U353" s="613"/>
      <c r="V353" s="613"/>
    </row>
    <row r="354" spans="1:22" ht="15.75" x14ac:dyDescent="0.25">
      <c r="A354" s="613"/>
      <c r="B354" s="613"/>
      <c r="C354" s="613"/>
      <c r="D354" s="613"/>
      <c r="E354" s="613"/>
      <c r="F354" s="613"/>
      <c r="G354" s="613"/>
      <c r="H354" s="613"/>
      <c r="I354" s="613"/>
      <c r="J354" s="613"/>
      <c r="K354" s="613"/>
      <c r="L354" s="613"/>
      <c r="M354" s="613"/>
      <c r="N354" s="613"/>
      <c r="O354" s="613"/>
      <c r="P354" s="613"/>
      <c r="Q354" s="613"/>
      <c r="R354" s="613"/>
      <c r="S354" s="613"/>
      <c r="T354" s="613"/>
      <c r="U354" s="613"/>
      <c r="V354" s="613"/>
    </row>
    <row r="355" spans="1:22" ht="15.75" x14ac:dyDescent="0.25">
      <c r="A355" s="613"/>
      <c r="B355" s="613"/>
      <c r="C355" s="613"/>
      <c r="D355" s="613"/>
      <c r="E355" s="613"/>
      <c r="F355" s="613"/>
      <c r="G355" s="613"/>
      <c r="H355" s="613"/>
      <c r="I355" s="613"/>
      <c r="J355" s="613"/>
      <c r="K355" s="613"/>
      <c r="L355" s="613"/>
      <c r="M355" s="613"/>
      <c r="N355" s="613"/>
      <c r="O355" s="613"/>
      <c r="P355" s="613"/>
      <c r="Q355" s="613"/>
      <c r="R355" s="613"/>
      <c r="S355" s="613"/>
      <c r="T355" s="613"/>
      <c r="U355" s="613"/>
      <c r="V355" s="613"/>
    </row>
    <row r="356" spans="1:22" ht="15.75" x14ac:dyDescent="0.25">
      <c r="A356" s="613"/>
      <c r="B356" s="613"/>
      <c r="C356" s="613"/>
      <c r="D356" s="613"/>
      <c r="E356" s="613"/>
      <c r="F356" s="613"/>
      <c r="G356" s="613"/>
      <c r="H356" s="613"/>
      <c r="I356" s="613"/>
      <c r="J356" s="613"/>
      <c r="K356" s="613"/>
      <c r="L356" s="613"/>
      <c r="M356" s="613"/>
      <c r="N356" s="613"/>
      <c r="O356" s="613"/>
      <c r="P356" s="613"/>
      <c r="Q356" s="613"/>
      <c r="R356" s="613"/>
      <c r="S356" s="613"/>
      <c r="T356" s="613"/>
      <c r="U356" s="613"/>
      <c r="V356" s="613"/>
    </row>
    <row r="357" spans="1:22" ht="15.75" x14ac:dyDescent="0.25">
      <c r="A357" s="613"/>
      <c r="B357" s="613"/>
      <c r="C357" s="613"/>
      <c r="D357" s="613"/>
      <c r="E357" s="613"/>
      <c r="F357" s="613"/>
      <c r="G357" s="613"/>
      <c r="H357" s="613"/>
      <c r="I357" s="613"/>
      <c r="J357" s="613"/>
      <c r="K357" s="613"/>
      <c r="L357" s="613"/>
      <c r="M357" s="613"/>
      <c r="N357" s="613"/>
      <c r="O357" s="613"/>
      <c r="P357" s="613"/>
      <c r="Q357" s="613"/>
      <c r="R357" s="613"/>
      <c r="S357" s="613"/>
      <c r="T357" s="613"/>
      <c r="U357" s="613"/>
      <c r="V357" s="613"/>
    </row>
    <row r="358" spans="1:22" ht="15.75" x14ac:dyDescent="0.25">
      <c r="A358" s="613"/>
      <c r="B358" s="613"/>
      <c r="C358" s="613"/>
      <c r="D358" s="613"/>
      <c r="E358" s="613"/>
      <c r="F358" s="613"/>
      <c r="G358" s="613"/>
      <c r="H358" s="613"/>
      <c r="I358" s="613"/>
      <c r="J358" s="613"/>
      <c r="K358" s="613"/>
      <c r="L358" s="613"/>
      <c r="M358" s="613"/>
      <c r="N358" s="613"/>
      <c r="O358" s="613"/>
      <c r="P358" s="613"/>
      <c r="Q358" s="613"/>
      <c r="R358" s="613"/>
      <c r="S358" s="613"/>
      <c r="T358" s="613"/>
      <c r="U358" s="613"/>
      <c r="V358" s="613"/>
    </row>
    <row r="359" spans="1:22" ht="15.75" x14ac:dyDescent="0.25">
      <c r="A359" s="613"/>
      <c r="B359" s="613"/>
      <c r="C359" s="613"/>
      <c r="D359" s="613"/>
      <c r="E359" s="613"/>
      <c r="F359" s="613"/>
      <c r="G359" s="613"/>
      <c r="H359" s="613"/>
      <c r="I359" s="613"/>
      <c r="J359" s="613"/>
      <c r="K359" s="613"/>
      <c r="L359" s="613"/>
      <c r="M359" s="613"/>
      <c r="N359" s="613"/>
      <c r="O359" s="613"/>
      <c r="P359" s="613"/>
      <c r="Q359" s="613"/>
      <c r="R359" s="613"/>
      <c r="S359" s="613"/>
      <c r="T359" s="613"/>
      <c r="U359" s="613"/>
      <c r="V359" s="613"/>
    </row>
    <row r="360" spans="1:22" ht="15.75" x14ac:dyDescent="0.25">
      <c r="A360" s="613"/>
      <c r="B360" s="613"/>
      <c r="C360" s="613"/>
      <c r="D360" s="613"/>
      <c r="E360" s="613"/>
      <c r="F360" s="613"/>
      <c r="G360" s="613"/>
      <c r="H360" s="613"/>
      <c r="I360" s="613"/>
      <c r="J360" s="613"/>
      <c r="K360" s="613"/>
      <c r="L360" s="613"/>
      <c r="M360" s="613"/>
      <c r="N360" s="613"/>
      <c r="O360" s="613"/>
      <c r="P360" s="613"/>
      <c r="Q360" s="613"/>
      <c r="R360" s="613"/>
      <c r="S360" s="613"/>
      <c r="T360" s="613"/>
      <c r="U360" s="613"/>
      <c r="V360" s="613"/>
    </row>
    <row r="361" spans="1:22" ht="15.75" x14ac:dyDescent="0.25">
      <c r="A361" s="613"/>
      <c r="B361" s="613"/>
      <c r="C361" s="613"/>
      <c r="D361" s="613"/>
      <c r="E361" s="613"/>
      <c r="F361" s="613"/>
      <c r="G361" s="613"/>
      <c r="H361" s="613"/>
      <c r="I361" s="613"/>
      <c r="J361" s="613"/>
      <c r="K361" s="613"/>
      <c r="L361" s="613"/>
      <c r="M361" s="613"/>
      <c r="N361" s="613"/>
      <c r="O361" s="613"/>
      <c r="P361" s="613"/>
      <c r="Q361" s="613"/>
      <c r="R361" s="613"/>
      <c r="S361" s="613"/>
      <c r="T361" s="613"/>
      <c r="U361" s="613"/>
      <c r="V361" s="613"/>
    </row>
    <row r="362" spans="1:22" ht="15.75" x14ac:dyDescent="0.25">
      <c r="A362" s="613"/>
      <c r="B362" s="613"/>
      <c r="C362" s="613"/>
      <c r="D362" s="613"/>
      <c r="E362" s="613"/>
      <c r="F362" s="613"/>
      <c r="G362" s="613"/>
      <c r="H362" s="613"/>
      <c r="I362" s="613"/>
      <c r="J362" s="613"/>
      <c r="K362" s="613"/>
      <c r="L362" s="613"/>
      <c r="M362" s="613"/>
      <c r="N362" s="613"/>
      <c r="O362" s="613"/>
      <c r="P362" s="613"/>
      <c r="Q362" s="613"/>
      <c r="R362" s="613"/>
      <c r="S362" s="613"/>
      <c r="T362" s="613"/>
      <c r="U362" s="613"/>
      <c r="V362" s="613"/>
    </row>
    <row r="363" spans="1:22" ht="15.75" x14ac:dyDescent="0.25">
      <c r="A363" s="613"/>
      <c r="B363" s="613"/>
      <c r="C363" s="613"/>
      <c r="D363" s="613"/>
      <c r="E363" s="613"/>
      <c r="F363" s="613"/>
      <c r="G363" s="613"/>
      <c r="H363" s="613"/>
      <c r="I363" s="613"/>
      <c r="J363" s="613"/>
      <c r="K363" s="613"/>
      <c r="L363" s="613"/>
      <c r="M363" s="613"/>
      <c r="N363" s="613"/>
      <c r="O363" s="613"/>
      <c r="P363" s="613"/>
      <c r="Q363" s="613"/>
      <c r="R363" s="613"/>
      <c r="S363" s="613"/>
      <c r="T363" s="613"/>
      <c r="U363" s="613"/>
      <c r="V363" s="613"/>
    </row>
    <row r="364" spans="1:22" ht="15.75" x14ac:dyDescent="0.25">
      <c r="A364" s="613"/>
      <c r="B364" s="613"/>
      <c r="C364" s="613"/>
      <c r="D364" s="613"/>
      <c r="E364" s="613"/>
      <c r="F364" s="613"/>
      <c r="G364" s="613"/>
      <c r="H364" s="613"/>
      <c r="I364" s="613"/>
      <c r="J364" s="613"/>
      <c r="K364" s="613"/>
      <c r="L364" s="613"/>
      <c r="M364" s="613"/>
      <c r="N364" s="613"/>
      <c r="O364" s="613"/>
      <c r="P364" s="613"/>
      <c r="Q364" s="613"/>
      <c r="R364" s="613"/>
      <c r="S364" s="613"/>
      <c r="T364" s="613"/>
      <c r="U364" s="613"/>
      <c r="V364" s="613"/>
    </row>
    <row r="365" spans="1:22" ht="15.75" x14ac:dyDescent="0.25">
      <c r="A365" s="613"/>
      <c r="B365" s="613"/>
      <c r="C365" s="613"/>
      <c r="D365" s="613"/>
      <c r="E365" s="613"/>
      <c r="F365" s="613"/>
      <c r="G365" s="613"/>
      <c r="H365" s="613"/>
      <c r="I365" s="613"/>
      <c r="J365" s="613"/>
      <c r="K365" s="613"/>
      <c r="L365" s="613"/>
      <c r="M365" s="613"/>
      <c r="N365" s="613"/>
      <c r="O365" s="613"/>
      <c r="P365" s="613"/>
      <c r="Q365" s="613"/>
      <c r="R365" s="613"/>
      <c r="S365" s="613"/>
      <c r="T365" s="613"/>
      <c r="U365" s="613"/>
      <c r="V365" s="613"/>
    </row>
    <row r="366" spans="1:22" ht="15.75" x14ac:dyDescent="0.25">
      <c r="A366" s="613"/>
      <c r="B366" s="613"/>
      <c r="C366" s="613"/>
      <c r="D366" s="613"/>
      <c r="E366" s="613"/>
      <c r="F366" s="613"/>
      <c r="G366" s="613"/>
      <c r="H366" s="613"/>
      <c r="I366" s="613"/>
      <c r="J366" s="613"/>
      <c r="K366" s="613"/>
      <c r="L366" s="613"/>
      <c r="M366" s="613"/>
      <c r="N366" s="613"/>
      <c r="O366" s="613"/>
      <c r="P366" s="613"/>
      <c r="Q366" s="613"/>
      <c r="R366" s="613"/>
      <c r="S366" s="613"/>
      <c r="T366" s="613"/>
      <c r="U366" s="613"/>
      <c r="V366" s="613"/>
    </row>
    <row r="367" spans="1:22" ht="15.75" x14ac:dyDescent="0.25">
      <c r="A367" s="613"/>
      <c r="B367" s="613"/>
      <c r="C367" s="613"/>
      <c r="D367" s="613"/>
      <c r="E367" s="613"/>
      <c r="F367" s="613"/>
      <c r="G367" s="613"/>
      <c r="H367" s="613"/>
      <c r="I367" s="613"/>
      <c r="J367" s="613"/>
      <c r="K367" s="613"/>
      <c r="L367" s="613"/>
      <c r="M367" s="613"/>
      <c r="N367" s="613"/>
      <c r="O367" s="613"/>
      <c r="P367" s="613"/>
      <c r="Q367" s="613"/>
      <c r="R367" s="613"/>
      <c r="S367" s="613"/>
      <c r="T367" s="613"/>
      <c r="U367" s="613"/>
      <c r="V367" s="613"/>
    </row>
    <row r="368" spans="1:22" ht="15.75" x14ac:dyDescent="0.25">
      <c r="A368" s="613"/>
      <c r="B368" s="613"/>
      <c r="C368" s="613"/>
      <c r="D368" s="613"/>
      <c r="E368" s="613"/>
      <c r="F368" s="613"/>
      <c r="G368" s="613"/>
      <c r="H368" s="613"/>
      <c r="I368" s="613"/>
      <c r="J368" s="613"/>
      <c r="K368" s="613"/>
      <c r="L368" s="613"/>
      <c r="M368" s="613"/>
      <c r="N368" s="613"/>
      <c r="O368" s="613"/>
      <c r="P368" s="613"/>
      <c r="Q368" s="613"/>
      <c r="R368" s="613"/>
      <c r="S368" s="613"/>
      <c r="T368" s="613"/>
      <c r="U368" s="613"/>
      <c r="V368" s="613"/>
    </row>
    <row r="369" spans="1:22" ht="15.75" x14ac:dyDescent="0.25">
      <c r="A369" s="613"/>
      <c r="B369" s="613"/>
      <c r="C369" s="613"/>
      <c r="D369" s="613"/>
      <c r="E369" s="613"/>
      <c r="F369" s="613"/>
      <c r="G369" s="613"/>
      <c r="H369" s="613"/>
      <c r="I369" s="613"/>
      <c r="J369" s="613"/>
      <c r="K369" s="613"/>
      <c r="L369" s="613"/>
      <c r="M369" s="613"/>
      <c r="N369" s="613"/>
      <c r="O369" s="613"/>
      <c r="P369" s="613"/>
      <c r="Q369" s="613"/>
      <c r="R369" s="613"/>
      <c r="S369" s="613"/>
      <c r="T369" s="613"/>
      <c r="U369" s="613"/>
      <c r="V369" s="613"/>
    </row>
    <row r="370" spans="1:22" ht="15.75" x14ac:dyDescent="0.25">
      <c r="A370" s="613"/>
      <c r="B370" s="613"/>
      <c r="C370" s="613"/>
      <c r="D370" s="613"/>
      <c r="E370" s="613"/>
      <c r="F370" s="613"/>
      <c r="G370" s="613"/>
      <c r="H370" s="613"/>
      <c r="I370" s="613"/>
      <c r="J370" s="613"/>
      <c r="K370" s="613"/>
      <c r="L370" s="613"/>
      <c r="M370" s="613"/>
      <c r="N370" s="613"/>
      <c r="O370" s="613"/>
      <c r="P370" s="613"/>
      <c r="Q370" s="613"/>
      <c r="R370" s="613"/>
      <c r="S370" s="613"/>
      <c r="T370" s="613"/>
      <c r="U370" s="613"/>
      <c r="V370" s="613"/>
    </row>
    <row r="371" spans="1:22" ht="15.75" x14ac:dyDescent="0.25">
      <c r="A371" s="613"/>
      <c r="B371" s="613"/>
      <c r="C371" s="613"/>
      <c r="D371" s="613"/>
      <c r="E371" s="613"/>
      <c r="F371" s="613"/>
      <c r="G371" s="613"/>
      <c r="H371" s="613"/>
      <c r="I371" s="613"/>
      <c r="J371" s="613"/>
      <c r="K371" s="613"/>
      <c r="L371" s="613"/>
      <c r="M371" s="613"/>
      <c r="N371" s="613"/>
      <c r="O371" s="613"/>
      <c r="P371" s="613"/>
      <c r="Q371" s="613"/>
      <c r="R371" s="613"/>
      <c r="S371" s="613"/>
      <c r="T371" s="613"/>
      <c r="U371" s="613"/>
      <c r="V371" s="613"/>
    </row>
    <row r="372" spans="1:22" ht="15.75" x14ac:dyDescent="0.25">
      <c r="A372" s="613"/>
      <c r="B372" s="613"/>
      <c r="C372" s="613"/>
      <c r="D372" s="613"/>
      <c r="E372" s="613"/>
      <c r="F372" s="613"/>
      <c r="G372" s="613"/>
      <c r="H372" s="613"/>
      <c r="I372" s="613"/>
      <c r="J372" s="613"/>
      <c r="K372" s="613"/>
      <c r="L372" s="613"/>
      <c r="M372" s="613"/>
      <c r="N372" s="613"/>
      <c r="O372" s="613"/>
      <c r="P372" s="613"/>
      <c r="Q372" s="613"/>
      <c r="R372" s="613"/>
      <c r="S372" s="613"/>
      <c r="T372" s="613"/>
      <c r="U372" s="613"/>
      <c r="V372" s="613"/>
    </row>
    <row r="373" spans="1:22" ht="15.75" x14ac:dyDescent="0.25">
      <c r="A373" s="613"/>
      <c r="B373" s="613"/>
      <c r="C373" s="613"/>
      <c r="D373" s="613"/>
      <c r="E373" s="613"/>
      <c r="F373" s="613"/>
      <c r="G373" s="613"/>
      <c r="H373" s="613"/>
      <c r="I373" s="613"/>
      <c r="J373" s="613"/>
      <c r="K373" s="613"/>
      <c r="L373" s="613"/>
      <c r="M373" s="613"/>
      <c r="N373" s="613"/>
      <c r="O373" s="613"/>
      <c r="P373" s="613"/>
      <c r="Q373" s="613"/>
      <c r="R373" s="613"/>
      <c r="S373" s="613"/>
      <c r="T373" s="613"/>
      <c r="U373" s="613"/>
      <c r="V373" s="613"/>
    </row>
    <row r="374" spans="1:22" ht="15.75" x14ac:dyDescent="0.25">
      <c r="A374" s="613"/>
      <c r="B374" s="613"/>
      <c r="C374" s="613"/>
      <c r="D374" s="613"/>
      <c r="E374" s="613"/>
      <c r="F374" s="613"/>
      <c r="G374" s="613"/>
      <c r="H374" s="613"/>
      <c r="I374" s="613"/>
      <c r="J374" s="613"/>
      <c r="K374" s="613"/>
      <c r="L374" s="613"/>
      <c r="M374" s="613"/>
      <c r="N374" s="613"/>
      <c r="O374" s="613"/>
      <c r="P374" s="613"/>
      <c r="Q374" s="613"/>
      <c r="R374" s="613"/>
      <c r="S374" s="613"/>
      <c r="T374" s="613"/>
      <c r="U374" s="613"/>
      <c r="V374" s="613"/>
    </row>
    <row r="375" spans="1:22" ht="15.75" x14ac:dyDescent="0.25">
      <c r="A375" s="613"/>
      <c r="B375" s="613"/>
      <c r="C375" s="613"/>
      <c r="D375" s="613"/>
      <c r="E375" s="613"/>
      <c r="F375" s="613"/>
      <c r="G375" s="613"/>
      <c r="H375" s="613"/>
      <c r="I375" s="613"/>
      <c r="J375" s="613"/>
      <c r="K375" s="613"/>
      <c r="L375" s="613"/>
      <c r="M375" s="613"/>
      <c r="N375" s="613"/>
      <c r="O375" s="613"/>
      <c r="P375" s="613"/>
      <c r="Q375" s="613"/>
      <c r="R375" s="613"/>
      <c r="S375" s="613"/>
      <c r="T375" s="613"/>
      <c r="U375" s="613"/>
      <c r="V375" s="613"/>
    </row>
    <row r="376" spans="1:22" ht="15.75" x14ac:dyDescent="0.25">
      <c r="A376" s="613"/>
      <c r="B376" s="613"/>
      <c r="C376" s="613"/>
      <c r="D376" s="613"/>
      <c r="E376" s="613"/>
      <c r="F376" s="613"/>
      <c r="G376" s="613"/>
      <c r="H376" s="613"/>
      <c r="I376" s="613"/>
      <c r="J376" s="613"/>
      <c r="K376" s="613"/>
      <c r="L376" s="613"/>
      <c r="M376" s="613"/>
      <c r="N376" s="613"/>
      <c r="O376" s="613"/>
      <c r="P376" s="613"/>
      <c r="Q376" s="613"/>
      <c r="R376" s="613"/>
      <c r="S376" s="613"/>
      <c r="T376" s="613"/>
      <c r="U376" s="613"/>
      <c r="V376" s="613"/>
    </row>
    <row r="377" spans="1:22" ht="15.75" x14ac:dyDescent="0.25">
      <c r="A377" s="613"/>
      <c r="B377" s="613"/>
      <c r="C377" s="613"/>
      <c r="D377" s="613"/>
      <c r="E377" s="613"/>
      <c r="F377" s="613"/>
      <c r="G377" s="613"/>
      <c r="H377" s="613"/>
      <c r="I377" s="613"/>
      <c r="J377" s="613"/>
      <c r="K377" s="613"/>
      <c r="L377" s="613"/>
      <c r="M377" s="613"/>
      <c r="N377" s="613"/>
      <c r="O377" s="613"/>
      <c r="P377" s="613"/>
      <c r="Q377" s="613"/>
      <c r="R377" s="613"/>
      <c r="S377" s="613"/>
      <c r="T377" s="613"/>
      <c r="U377" s="613"/>
      <c r="V377" s="613"/>
    </row>
    <row r="378" spans="1:22" ht="15.75" x14ac:dyDescent="0.25">
      <c r="A378" s="613"/>
      <c r="B378" s="613"/>
      <c r="C378" s="613"/>
      <c r="D378" s="613"/>
      <c r="E378" s="613"/>
      <c r="F378" s="613"/>
      <c r="G378" s="613"/>
      <c r="H378" s="613"/>
      <c r="I378" s="613"/>
      <c r="J378" s="613"/>
      <c r="K378" s="613"/>
      <c r="L378" s="613"/>
      <c r="M378" s="613"/>
      <c r="N378" s="613"/>
      <c r="O378" s="613"/>
      <c r="P378" s="613"/>
      <c r="Q378" s="613"/>
      <c r="R378" s="613"/>
      <c r="S378" s="613"/>
      <c r="T378" s="613"/>
      <c r="U378" s="613"/>
      <c r="V378" s="613"/>
    </row>
    <row r="379" spans="1:22" ht="15.75" x14ac:dyDescent="0.25">
      <c r="A379" s="613"/>
      <c r="B379" s="613"/>
      <c r="C379" s="613"/>
      <c r="D379" s="613"/>
      <c r="E379" s="613"/>
      <c r="F379" s="613"/>
      <c r="G379" s="613"/>
      <c r="H379" s="613"/>
      <c r="I379" s="613"/>
      <c r="J379" s="613"/>
      <c r="K379" s="613"/>
      <c r="L379" s="613"/>
      <c r="M379" s="613"/>
      <c r="N379" s="613"/>
      <c r="O379" s="613"/>
      <c r="P379" s="613"/>
      <c r="Q379" s="613"/>
      <c r="R379" s="613"/>
      <c r="S379" s="613"/>
      <c r="T379" s="613"/>
      <c r="U379" s="613"/>
      <c r="V379" s="613"/>
    </row>
    <row r="380" spans="1:22" ht="15.75" x14ac:dyDescent="0.25">
      <c r="A380" s="613"/>
      <c r="B380" s="613"/>
      <c r="C380" s="613"/>
      <c r="D380" s="613"/>
      <c r="E380" s="613"/>
      <c r="F380" s="613"/>
      <c r="G380" s="613"/>
      <c r="H380" s="613"/>
      <c r="I380" s="613"/>
      <c r="J380" s="613"/>
      <c r="K380" s="613"/>
      <c r="L380" s="613"/>
      <c r="M380" s="613"/>
      <c r="N380" s="613"/>
      <c r="O380" s="613"/>
      <c r="P380" s="613"/>
      <c r="Q380" s="613"/>
      <c r="R380" s="613"/>
      <c r="S380" s="613"/>
      <c r="T380" s="613"/>
      <c r="U380" s="613"/>
      <c r="V380" s="613"/>
    </row>
    <row r="381" spans="1:22" ht="15.75" x14ac:dyDescent="0.25">
      <c r="A381" s="613"/>
      <c r="B381" s="613"/>
      <c r="C381" s="613"/>
      <c r="D381" s="613"/>
      <c r="E381" s="613"/>
      <c r="F381" s="613"/>
      <c r="G381" s="613"/>
      <c r="H381" s="613"/>
      <c r="I381" s="613"/>
      <c r="J381" s="613"/>
      <c r="K381" s="613"/>
      <c r="L381" s="613"/>
      <c r="M381" s="613"/>
      <c r="N381" s="613"/>
      <c r="O381" s="613"/>
      <c r="P381" s="613"/>
      <c r="Q381" s="613"/>
      <c r="R381" s="613"/>
      <c r="S381" s="613"/>
      <c r="T381" s="613"/>
      <c r="U381" s="613"/>
      <c r="V381" s="613"/>
    </row>
    <row r="382" spans="1:22" ht="15.75" x14ac:dyDescent="0.25">
      <c r="A382" s="613"/>
      <c r="B382" s="613"/>
      <c r="C382" s="613"/>
      <c r="D382" s="613"/>
      <c r="E382" s="613"/>
      <c r="F382" s="613"/>
      <c r="G382" s="613"/>
      <c r="H382" s="613"/>
      <c r="I382" s="613"/>
      <c r="J382" s="613"/>
      <c r="K382" s="613"/>
      <c r="L382" s="613"/>
      <c r="M382" s="613"/>
      <c r="N382" s="613"/>
      <c r="O382" s="613"/>
      <c r="P382" s="613"/>
      <c r="Q382" s="613"/>
      <c r="R382" s="613"/>
      <c r="S382" s="613"/>
      <c r="T382" s="613"/>
      <c r="U382" s="613"/>
      <c r="V382" s="613"/>
    </row>
  </sheetData>
  <mergeCells count="25">
    <mergeCell ref="B156:C156"/>
    <mergeCell ref="B160:C160"/>
    <mergeCell ref="B164:C164"/>
    <mergeCell ref="M5:M6"/>
    <mergeCell ref="O5:O6"/>
    <mergeCell ref="J5:J6"/>
    <mergeCell ref="K5:K6"/>
    <mergeCell ref="L5:L6"/>
    <mergeCell ref="N5:N6"/>
    <mergeCell ref="B152:C152"/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H5:H6"/>
    <mergeCell ref="I5:I6"/>
    <mergeCell ref="P5:P6"/>
    <mergeCell ref="Q5:Q6"/>
    <mergeCell ref="R5:R6"/>
  </mergeCells>
  <pageMargins left="0.55118110236220474" right="0.23622047244094491" top="0.74803149606299213" bottom="0.6692913385826772" header="0.31496062992125984" footer="0.31496062992125984"/>
  <pageSetup paperSize="9" scale="29" fitToHeight="0" orientation="landscape" r:id="rId1"/>
  <headerFooter>
    <oddHeader>&amp;L5.melléklet a 28/2017.(XII.21.)önkormányzati rendelethez
5.melléklet a 24/2016.(XII.16.)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D1" zoomScale="50" zoomScaleNormal="50" workbookViewId="0">
      <pane ySplit="8" topLeftCell="A69" activePane="bottomLeft" state="frozen"/>
      <selection pane="bottomLeft" activeCell="V95" sqref="V95"/>
    </sheetView>
  </sheetViews>
  <sheetFormatPr defaultRowHeight="12.75" x14ac:dyDescent="0.2"/>
  <cols>
    <col min="1" max="1" width="23" bestFit="1" customWidth="1"/>
    <col min="2" max="2" width="12.140625" bestFit="1" customWidth="1"/>
    <col min="3" max="3" width="136.42578125" bestFit="1" customWidth="1"/>
    <col min="4" max="4" width="21.28515625" bestFit="1" customWidth="1"/>
    <col min="5" max="6" width="13" bestFit="1" customWidth="1"/>
    <col min="7" max="7" width="17.85546875" customWidth="1"/>
    <col min="8" max="8" width="18.7109375" customWidth="1"/>
    <col min="9" max="9" width="13" bestFit="1" customWidth="1"/>
    <col min="10" max="10" width="16.7109375" bestFit="1" customWidth="1"/>
    <col min="11" max="11" width="17" bestFit="1" customWidth="1"/>
    <col min="12" max="12" width="17.85546875" bestFit="1" customWidth="1"/>
    <col min="13" max="13" width="15.28515625" bestFit="1" customWidth="1"/>
    <col min="14" max="14" width="18.140625" customWidth="1"/>
    <col min="15" max="15" width="21.85546875" bestFit="1" customWidth="1"/>
    <col min="16" max="16" width="22.7109375" bestFit="1" customWidth="1"/>
    <col min="17" max="17" width="27.85546875" bestFit="1" customWidth="1"/>
    <col min="18" max="18" width="22.42578125" bestFit="1" customWidth="1"/>
  </cols>
  <sheetData>
    <row r="1" spans="1:18" ht="23.25" x14ac:dyDescent="0.35">
      <c r="A1" s="675"/>
      <c r="B1" s="1454"/>
      <c r="C1" s="1454"/>
      <c r="D1" s="674"/>
      <c r="E1" s="676"/>
      <c r="F1" s="675"/>
      <c r="G1" s="675"/>
      <c r="H1" s="675"/>
      <c r="I1" s="675"/>
      <c r="J1" s="675"/>
      <c r="K1" s="675"/>
      <c r="L1" s="675"/>
      <c r="M1" s="675"/>
      <c r="N1" s="675"/>
      <c r="O1" s="680"/>
      <c r="P1" s="675"/>
      <c r="Q1" s="675"/>
      <c r="R1" s="675"/>
    </row>
    <row r="2" spans="1:18" ht="23.25" x14ac:dyDescent="0.35">
      <c r="A2" s="675"/>
      <c r="B2" s="677"/>
      <c r="C2" s="675"/>
      <c r="D2" s="674"/>
      <c r="E2" s="676"/>
      <c r="F2" s="675"/>
      <c r="G2" s="675"/>
      <c r="H2" s="675"/>
      <c r="I2" s="675"/>
      <c r="J2" s="675"/>
      <c r="K2" s="675"/>
      <c r="L2" s="675"/>
      <c r="M2" s="675"/>
      <c r="N2" s="675"/>
      <c r="O2" s="680"/>
      <c r="P2" s="675"/>
      <c r="Q2" s="675"/>
      <c r="R2" s="675"/>
    </row>
    <row r="3" spans="1:18" ht="25.5" x14ac:dyDescent="0.35">
      <c r="A3" s="675"/>
      <c r="B3" s="1455" t="s">
        <v>375</v>
      </c>
      <c r="C3" s="1455"/>
      <c r="D3" s="1455"/>
      <c r="E3" s="1455"/>
      <c r="F3" s="1455"/>
      <c r="G3" s="1455"/>
      <c r="H3" s="1455"/>
      <c r="I3" s="1455"/>
      <c r="J3" s="1455"/>
      <c r="K3" s="1455"/>
      <c r="L3" s="1455"/>
      <c r="M3" s="1455"/>
      <c r="N3" s="1455"/>
      <c r="O3" s="1455"/>
      <c r="P3" s="1455"/>
      <c r="Q3" s="1455"/>
      <c r="R3" s="1455"/>
    </row>
    <row r="4" spans="1:18" ht="25.5" x14ac:dyDescent="0.35">
      <c r="A4" s="675"/>
      <c r="B4" s="1373"/>
      <c r="C4" s="678"/>
      <c r="D4" s="678"/>
      <c r="E4" s="679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</row>
    <row r="5" spans="1:18" ht="24" thickBot="1" x14ac:dyDescent="0.4">
      <c r="A5" s="675"/>
      <c r="B5" s="677"/>
      <c r="C5" s="675"/>
      <c r="D5" s="674"/>
      <c r="E5" s="676"/>
      <c r="F5" s="675"/>
      <c r="G5" s="675"/>
      <c r="H5" s="675"/>
      <c r="I5" s="675"/>
      <c r="J5" s="675"/>
      <c r="K5" s="675"/>
      <c r="L5" s="675"/>
      <c r="M5" s="675"/>
      <c r="N5" s="674"/>
      <c r="O5" s="673"/>
      <c r="P5" s="673"/>
      <c r="Q5" s="673"/>
      <c r="R5" s="673"/>
    </row>
    <row r="6" spans="1:18" ht="22.5" x14ac:dyDescent="0.3">
      <c r="A6" s="1456" t="s">
        <v>2</v>
      </c>
      <c r="B6" s="1457"/>
      <c r="C6" s="1457"/>
      <c r="D6" s="1457"/>
      <c r="E6" s="1460" t="s">
        <v>96</v>
      </c>
      <c r="F6" s="1457" t="s">
        <v>344</v>
      </c>
      <c r="G6" s="1462" t="s">
        <v>343</v>
      </c>
      <c r="H6" s="1462"/>
      <c r="I6" s="1462"/>
      <c r="J6" s="1462"/>
      <c r="K6" s="1462"/>
      <c r="L6" s="1462"/>
      <c r="M6" s="1462" t="s">
        <v>342</v>
      </c>
      <c r="N6" s="1462"/>
      <c r="O6" s="1462"/>
      <c r="P6" s="1462"/>
      <c r="Q6" s="1462" t="s">
        <v>60</v>
      </c>
      <c r="R6" s="1463"/>
    </row>
    <row r="7" spans="1:18" x14ac:dyDescent="0.2">
      <c r="A7" s="1458"/>
      <c r="B7" s="1459"/>
      <c r="C7" s="1459"/>
      <c r="D7" s="1459"/>
      <c r="E7" s="1461"/>
      <c r="F7" s="1459"/>
      <c r="G7" s="1464" t="s">
        <v>6</v>
      </c>
      <c r="H7" s="1464" t="s">
        <v>340</v>
      </c>
      <c r="I7" s="1464" t="s">
        <v>339</v>
      </c>
      <c r="J7" s="1464" t="s">
        <v>50</v>
      </c>
      <c r="K7" s="1464" t="s">
        <v>338</v>
      </c>
      <c r="L7" s="1464" t="s">
        <v>20</v>
      </c>
      <c r="M7" s="1459" t="s">
        <v>63</v>
      </c>
      <c r="N7" s="1459" t="s">
        <v>62</v>
      </c>
      <c r="O7" s="1464" t="s">
        <v>33</v>
      </c>
      <c r="P7" s="1465" t="s">
        <v>36</v>
      </c>
      <c r="Q7" s="1465" t="s">
        <v>337</v>
      </c>
      <c r="R7" s="1466" t="s">
        <v>336</v>
      </c>
    </row>
    <row r="8" spans="1:18" ht="72.75" customHeight="1" x14ac:dyDescent="0.2">
      <c r="A8" s="1458"/>
      <c r="B8" s="1459"/>
      <c r="C8" s="1459"/>
      <c r="D8" s="1459"/>
      <c r="E8" s="1461"/>
      <c r="F8" s="1459"/>
      <c r="G8" s="1464"/>
      <c r="H8" s="1464"/>
      <c r="I8" s="1464"/>
      <c r="J8" s="1464"/>
      <c r="K8" s="1464"/>
      <c r="L8" s="1464"/>
      <c r="M8" s="1459"/>
      <c r="N8" s="1459"/>
      <c r="O8" s="1464"/>
      <c r="P8" s="1465"/>
      <c r="Q8" s="1465"/>
      <c r="R8" s="1466"/>
    </row>
    <row r="9" spans="1:18" ht="23.25" x14ac:dyDescent="0.35">
      <c r="A9" s="1467" t="s">
        <v>374</v>
      </c>
      <c r="B9" s="1468"/>
      <c r="C9" s="1468"/>
      <c r="D9" s="654"/>
      <c r="E9" s="653"/>
      <c r="F9" s="653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57"/>
    </row>
    <row r="10" spans="1:18" ht="23.25" x14ac:dyDescent="0.35">
      <c r="A10" s="1363" t="s">
        <v>249</v>
      </c>
      <c r="B10" s="660" t="s">
        <v>352</v>
      </c>
      <c r="C10" s="659" t="s">
        <v>351</v>
      </c>
      <c r="D10" s="654" t="s">
        <v>3</v>
      </c>
      <c r="E10" s="669">
        <v>3405</v>
      </c>
      <c r="F10" s="653">
        <f t="shared" ref="F10:F15" si="0">SUM(G10:R10)</f>
        <v>329529</v>
      </c>
      <c r="G10" s="658">
        <v>172984</v>
      </c>
      <c r="H10" s="658">
        <v>47639</v>
      </c>
      <c r="I10" s="658">
        <f>126668-26612</f>
        <v>100056</v>
      </c>
      <c r="J10" s="658"/>
      <c r="K10" s="658"/>
      <c r="L10" s="658"/>
      <c r="M10" s="658"/>
      <c r="N10" s="658">
        <v>8850</v>
      </c>
      <c r="O10" s="658"/>
      <c r="P10" s="658"/>
      <c r="Q10" s="658"/>
      <c r="R10" s="657"/>
    </row>
    <row r="11" spans="1:18" ht="23.25" x14ac:dyDescent="0.35">
      <c r="A11" s="1363"/>
      <c r="B11" s="660"/>
      <c r="C11" s="659"/>
      <c r="D11" s="654" t="s">
        <v>225</v>
      </c>
      <c r="E11" s="669">
        <v>1400</v>
      </c>
      <c r="F11" s="653">
        <f t="shared" si="0"/>
        <v>344541</v>
      </c>
      <c r="G11" s="658">
        <f>193834+200+28-10500+977+291</f>
        <v>184830</v>
      </c>
      <c r="H11" s="658">
        <f>52231+44+8-2500+276+64</f>
        <v>50123</v>
      </c>
      <c r="I11" s="658">
        <f>99036+1782</f>
        <v>100818</v>
      </c>
      <c r="J11" s="658"/>
      <c r="K11" s="658"/>
      <c r="L11" s="658"/>
      <c r="M11" s="658"/>
      <c r="N11" s="658">
        <v>8770</v>
      </c>
      <c r="O11" s="658"/>
      <c r="P11" s="658"/>
      <c r="Q11" s="658"/>
      <c r="R11" s="657"/>
    </row>
    <row r="12" spans="1:18" ht="23.25" x14ac:dyDescent="0.35">
      <c r="A12" s="1363"/>
      <c r="B12" s="660"/>
      <c r="C12" s="659"/>
      <c r="D12" s="654" t="s">
        <v>235</v>
      </c>
      <c r="E12" s="669">
        <v>3299</v>
      </c>
      <c r="F12" s="653">
        <f t="shared" si="0"/>
        <v>346207</v>
      </c>
      <c r="G12" s="658">
        <v>186039</v>
      </c>
      <c r="H12" s="658">
        <v>49941</v>
      </c>
      <c r="I12" s="658">
        <v>101457</v>
      </c>
      <c r="J12" s="658"/>
      <c r="K12" s="658"/>
      <c r="L12" s="658"/>
      <c r="M12" s="658"/>
      <c r="N12" s="658">
        <v>8770</v>
      </c>
      <c r="O12" s="658"/>
      <c r="P12" s="658"/>
      <c r="Q12" s="658"/>
      <c r="R12" s="657"/>
    </row>
    <row r="13" spans="1:18" ht="23.25" x14ac:dyDescent="0.35">
      <c r="A13" s="1363" t="s">
        <v>249</v>
      </c>
      <c r="B13" s="660" t="s">
        <v>373</v>
      </c>
      <c r="C13" s="659" t="s">
        <v>372</v>
      </c>
      <c r="D13" s="654" t="s">
        <v>3</v>
      </c>
      <c r="E13" s="669"/>
      <c r="F13" s="653">
        <f t="shared" si="0"/>
        <v>37512</v>
      </c>
      <c r="G13" s="658">
        <v>29264</v>
      </c>
      <c r="H13" s="658">
        <v>8022</v>
      </c>
      <c r="I13" s="658">
        <f>1226-1000</f>
        <v>226</v>
      </c>
      <c r="J13" s="658"/>
      <c r="K13" s="658"/>
      <c r="L13" s="658"/>
      <c r="M13" s="658"/>
      <c r="N13" s="658"/>
      <c r="O13" s="658"/>
      <c r="P13" s="658"/>
      <c r="Q13" s="658"/>
      <c r="R13" s="657"/>
    </row>
    <row r="14" spans="1:18" ht="23.25" x14ac:dyDescent="0.35">
      <c r="A14" s="1363"/>
      <c r="B14" s="660"/>
      <c r="C14" s="659"/>
      <c r="D14" s="654" t="s">
        <v>225</v>
      </c>
      <c r="E14" s="669"/>
      <c r="F14" s="653">
        <f t="shared" si="0"/>
        <v>47793</v>
      </c>
      <c r="G14" s="658">
        <f>37576+86</f>
        <v>37662</v>
      </c>
      <c r="H14" s="658">
        <f>9886+19</f>
        <v>9905</v>
      </c>
      <c r="I14" s="658">
        <v>226</v>
      </c>
      <c r="J14" s="658"/>
      <c r="K14" s="658"/>
      <c r="L14" s="658"/>
      <c r="M14" s="658"/>
      <c r="N14" s="658"/>
      <c r="O14" s="658"/>
      <c r="P14" s="658"/>
      <c r="Q14" s="658"/>
      <c r="R14" s="657"/>
    </row>
    <row r="15" spans="1:18" ht="23.25" x14ac:dyDescent="0.35">
      <c r="A15" s="1363"/>
      <c r="B15" s="660"/>
      <c r="C15" s="659"/>
      <c r="D15" s="654" t="s">
        <v>235</v>
      </c>
      <c r="E15" s="669"/>
      <c r="F15" s="653">
        <f t="shared" si="0"/>
        <v>47893</v>
      </c>
      <c r="G15" s="658">
        <v>37743</v>
      </c>
      <c r="H15" s="658">
        <v>9924</v>
      </c>
      <c r="I15" s="658">
        <v>226</v>
      </c>
      <c r="J15" s="658"/>
      <c r="K15" s="658"/>
      <c r="L15" s="658"/>
      <c r="M15" s="658"/>
      <c r="N15" s="658"/>
      <c r="O15" s="658"/>
      <c r="P15" s="658"/>
      <c r="Q15" s="658"/>
      <c r="R15" s="657"/>
    </row>
    <row r="16" spans="1:18" ht="23.25" x14ac:dyDescent="0.35">
      <c r="A16" s="1363" t="s">
        <v>249</v>
      </c>
      <c r="B16" s="660" t="s">
        <v>370</v>
      </c>
      <c r="C16" s="659" t="s">
        <v>371</v>
      </c>
      <c r="D16" s="654" t="s">
        <v>3</v>
      </c>
      <c r="E16" s="669">
        <v>0</v>
      </c>
      <c r="F16" s="653">
        <v>0</v>
      </c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7"/>
    </row>
    <row r="17" spans="1:18" ht="23.25" x14ac:dyDescent="0.35">
      <c r="A17" s="1363"/>
      <c r="B17" s="660"/>
      <c r="C17" s="659"/>
      <c r="D17" s="654" t="s">
        <v>225</v>
      </c>
      <c r="E17" s="669">
        <v>0</v>
      </c>
      <c r="F17" s="653">
        <v>0</v>
      </c>
      <c r="G17" s="658"/>
      <c r="H17" s="658"/>
      <c r="I17" s="658"/>
      <c r="J17" s="658"/>
      <c r="K17" s="658"/>
      <c r="L17" s="658"/>
      <c r="M17" s="658"/>
      <c r="N17" s="658"/>
      <c r="O17" s="658"/>
      <c r="P17" s="658"/>
      <c r="Q17" s="658"/>
      <c r="R17" s="657"/>
    </row>
    <row r="18" spans="1:18" ht="23.25" x14ac:dyDescent="0.35">
      <c r="A18" s="1363"/>
      <c r="B18" s="660"/>
      <c r="C18" s="659"/>
      <c r="D18" s="654" t="s">
        <v>235</v>
      </c>
      <c r="E18" s="669">
        <v>1156</v>
      </c>
      <c r="F18" s="653">
        <f t="shared" ref="F18:F41" si="1">SUM(G18:R18)</f>
        <v>1156</v>
      </c>
      <c r="G18" s="658">
        <v>878</v>
      </c>
      <c r="H18" s="658">
        <v>207</v>
      </c>
      <c r="I18" s="658">
        <v>71</v>
      </c>
      <c r="J18" s="658"/>
      <c r="K18" s="658"/>
      <c r="L18" s="658"/>
      <c r="M18" s="658"/>
      <c r="N18" s="658"/>
      <c r="O18" s="658"/>
      <c r="P18" s="658"/>
      <c r="Q18" s="658"/>
      <c r="R18" s="657"/>
    </row>
    <row r="19" spans="1:18" ht="23.25" x14ac:dyDescent="0.35">
      <c r="A19" s="1363" t="s">
        <v>249</v>
      </c>
      <c r="B19" s="660" t="s">
        <v>370</v>
      </c>
      <c r="C19" s="659" t="s">
        <v>369</v>
      </c>
      <c r="D19" s="654" t="s">
        <v>3</v>
      </c>
      <c r="E19" s="669">
        <v>4100</v>
      </c>
      <c r="F19" s="653">
        <f t="shared" si="1"/>
        <v>4723</v>
      </c>
      <c r="G19" s="658">
        <v>3407</v>
      </c>
      <c r="H19" s="658">
        <v>918</v>
      </c>
      <c r="I19" s="658">
        <f>1028-630</f>
        <v>398</v>
      </c>
      <c r="J19" s="658"/>
      <c r="K19" s="658"/>
      <c r="L19" s="658"/>
      <c r="M19" s="658"/>
      <c r="N19" s="658"/>
      <c r="O19" s="658"/>
      <c r="P19" s="658"/>
      <c r="Q19" s="658"/>
      <c r="R19" s="657"/>
    </row>
    <row r="20" spans="1:18" ht="23.25" x14ac:dyDescent="0.35">
      <c r="A20" s="1363"/>
      <c r="B20" s="660"/>
      <c r="C20" s="659"/>
      <c r="D20" s="654" t="s">
        <v>225</v>
      </c>
      <c r="E20" s="669">
        <v>6600</v>
      </c>
      <c r="F20" s="653">
        <f t="shared" si="1"/>
        <v>8823</v>
      </c>
      <c r="G20" s="658">
        <v>6277</v>
      </c>
      <c r="H20" s="658">
        <v>1548</v>
      </c>
      <c r="I20" s="658">
        <v>998</v>
      </c>
      <c r="J20" s="658"/>
      <c r="K20" s="658"/>
      <c r="L20" s="658"/>
      <c r="M20" s="658"/>
      <c r="N20" s="658"/>
      <c r="O20" s="658"/>
      <c r="P20" s="658"/>
      <c r="Q20" s="658"/>
      <c r="R20" s="657"/>
    </row>
    <row r="21" spans="1:18" ht="23.25" x14ac:dyDescent="0.35">
      <c r="A21" s="1363"/>
      <c r="B21" s="660"/>
      <c r="C21" s="659"/>
      <c r="D21" s="654" t="s">
        <v>235</v>
      </c>
      <c r="E21" s="669">
        <v>6600</v>
      </c>
      <c r="F21" s="653">
        <f t="shared" si="1"/>
        <v>8823</v>
      </c>
      <c r="G21" s="658">
        <v>6277</v>
      </c>
      <c r="H21" s="658">
        <v>1548</v>
      </c>
      <c r="I21" s="658">
        <v>998</v>
      </c>
      <c r="J21" s="658"/>
      <c r="K21" s="658"/>
      <c r="L21" s="658"/>
      <c r="M21" s="658"/>
      <c r="N21" s="658"/>
      <c r="O21" s="658"/>
      <c r="P21" s="658"/>
      <c r="Q21" s="658"/>
      <c r="R21" s="657"/>
    </row>
    <row r="22" spans="1:18" ht="23.25" x14ac:dyDescent="0.35">
      <c r="A22" s="1363" t="s">
        <v>249</v>
      </c>
      <c r="B22" s="660" t="s">
        <v>350</v>
      </c>
      <c r="C22" s="659" t="s">
        <v>316</v>
      </c>
      <c r="D22" s="654" t="s">
        <v>3</v>
      </c>
      <c r="E22" s="669">
        <v>492596</v>
      </c>
      <c r="F22" s="653">
        <f t="shared" si="1"/>
        <v>0</v>
      </c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72"/>
    </row>
    <row r="23" spans="1:18" ht="23.25" x14ac:dyDescent="0.35">
      <c r="A23" s="1363"/>
      <c r="B23" s="660"/>
      <c r="C23" s="659"/>
      <c r="D23" s="654" t="s">
        <v>225</v>
      </c>
      <c r="E23" s="669">
        <f>525083+473-13000+3035+355</f>
        <v>515946</v>
      </c>
      <c r="F23" s="653">
        <f t="shared" si="1"/>
        <v>0</v>
      </c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72"/>
    </row>
    <row r="24" spans="1:18" ht="23.25" x14ac:dyDescent="0.35">
      <c r="A24" s="1363"/>
      <c r="B24" s="660"/>
      <c r="C24" s="659"/>
      <c r="D24" s="654" t="s">
        <v>235</v>
      </c>
      <c r="E24" s="669">
        <v>515912</v>
      </c>
      <c r="F24" s="653">
        <f t="shared" si="1"/>
        <v>0</v>
      </c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72"/>
    </row>
    <row r="25" spans="1:18" ht="23.25" x14ac:dyDescent="0.35">
      <c r="A25" s="1363" t="s">
        <v>262</v>
      </c>
      <c r="B25" s="660" t="s">
        <v>368</v>
      </c>
      <c r="C25" s="659" t="s">
        <v>367</v>
      </c>
      <c r="D25" s="654" t="s">
        <v>3</v>
      </c>
      <c r="E25" s="669"/>
      <c r="F25" s="653">
        <f t="shared" si="1"/>
        <v>22295</v>
      </c>
      <c r="G25" s="658">
        <v>13827</v>
      </c>
      <c r="H25" s="658">
        <v>3691</v>
      </c>
      <c r="I25" s="658">
        <f>5095-318</f>
        <v>4777</v>
      </c>
      <c r="J25" s="658"/>
      <c r="K25" s="658"/>
      <c r="L25" s="658"/>
      <c r="M25" s="658"/>
      <c r="N25" s="658"/>
      <c r="O25" s="658"/>
      <c r="P25" s="658"/>
      <c r="Q25" s="658"/>
      <c r="R25" s="657"/>
    </row>
    <row r="26" spans="1:18" ht="23.25" x14ac:dyDescent="0.35">
      <c r="A26" s="1363"/>
      <c r="B26" s="660"/>
      <c r="C26" s="659"/>
      <c r="D26" s="654" t="s">
        <v>225</v>
      </c>
      <c r="E26" s="669"/>
      <c r="F26" s="653">
        <f t="shared" si="1"/>
        <v>20187</v>
      </c>
      <c r="G26" s="658">
        <v>12309</v>
      </c>
      <c r="H26" s="658">
        <v>3401</v>
      </c>
      <c r="I26" s="658">
        <v>4477</v>
      </c>
      <c r="J26" s="658"/>
      <c r="K26" s="658"/>
      <c r="L26" s="658"/>
      <c r="M26" s="658"/>
      <c r="N26" s="658"/>
      <c r="O26" s="658"/>
      <c r="P26" s="658"/>
      <c r="Q26" s="658"/>
      <c r="R26" s="657"/>
    </row>
    <row r="27" spans="1:18" ht="23.25" x14ac:dyDescent="0.35">
      <c r="A27" s="1363"/>
      <c r="B27" s="660"/>
      <c r="C27" s="659"/>
      <c r="D27" s="654" t="s">
        <v>235</v>
      </c>
      <c r="E27" s="669"/>
      <c r="F27" s="653">
        <f t="shared" si="1"/>
        <v>20187</v>
      </c>
      <c r="G27" s="658">
        <v>12309</v>
      </c>
      <c r="H27" s="658">
        <v>3401</v>
      </c>
      <c r="I27" s="658">
        <v>4477</v>
      </c>
      <c r="J27" s="658"/>
      <c r="K27" s="658"/>
      <c r="L27" s="658"/>
      <c r="M27" s="658"/>
      <c r="N27" s="658"/>
      <c r="O27" s="658"/>
      <c r="P27" s="658"/>
      <c r="Q27" s="658"/>
      <c r="R27" s="657"/>
    </row>
    <row r="28" spans="1:18" ht="23.25" x14ac:dyDescent="0.35">
      <c r="A28" s="1363" t="s">
        <v>249</v>
      </c>
      <c r="B28" s="660" t="s">
        <v>366</v>
      </c>
      <c r="C28" s="659" t="s">
        <v>365</v>
      </c>
      <c r="D28" s="654" t="s">
        <v>3</v>
      </c>
      <c r="E28" s="669"/>
      <c r="F28" s="653">
        <f t="shared" si="1"/>
        <v>30608</v>
      </c>
      <c r="G28" s="658">
        <v>23393</v>
      </c>
      <c r="H28" s="658">
        <v>6506</v>
      </c>
      <c r="I28" s="658">
        <v>709</v>
      </c>
      <c r="J28" s="658"/>
      <c r="K28" s="658"/>
      <c r="L28" s="658"/>
      <c r="M28" s="658"/>
      <c r="N28" s="658"/>
      <c r="O28" s="658"/>
      <c r="P28" s="658"/>
      <c r="Q28" s="658"/>
      <c r="R28" s="657"/>
    </row>
    <row r="29" spans="1:18" ht="23.25" x14ac:dyDescent="0.35">
      <c r="A29" s="1363"/>
      <c r="B29" s="660"/>
      <c r="C29" s="659"/>
      <c r="D29" s="654" t="s">
        <v>225</v>
      </c>
      <c r="E29" s="669"/>
      <c r="F29" s="653">
        <f t="shared" si="1"/>
        <v>30628</v>
      </c>
      <c r="G29" s="658">
        <f>23400+10</f>
        <v>23410</v>
      </c>
      <c r="H29" s="658">
        <f>6507+2</f>
        <v>6509</v>
      </c>
      <c r="I29" s="658">
        <v>709</v>
      </c>
      <c r="J29" s="658"/>
      <c r="K29" s="658"/>
      <c r="L29" s="658"/>
      <c r="M29" s="658"/>
      <c r="N29" s="658"/>
      <c r="O29" s="658"/>
      <c r="P29" s="658"/>
      <c r="Q29" s="658"/>
      <c r="R29" s="657"/>
    </row>
    <row r="30" spans="1:18" ht="23.25" x14ac:dyDescent="0.35">
      <c r="A30" s="1363"/>
      <c r="B30" s="660"/>
      <c r="C30" s="659"/>
      <c r="D30" s="654" t="s">
        <v>235</v>
      </c>
      <c r="E30" s="669"/>
      <c r="F30" s="653">
        <f t="shared" si="1"/>
        <v>30640</v>
      </c>
      <c r="G30" s="658">
        <v>23420</v>
      </c>
      <c r="H30" s="658">
        <v>6511</v>
      </c>
      <c r="I30" s="658">
        <v>709</v>
      </c>
      <c r="J30" s="658"/>
      <c r="K30" s="658"/>
      <c r="L30" s="658"/>
      <c r="M30" s="658"/>
      <c r="N30" s="658"/>
      <c r="O30" s="658"/>
      <c r="P30" s="658"/>
      <c r="Q30" s="658"/>
      <c r="R30" s="657"/>
    </row>
    <row r="31" spans="1:18" ht="23.25" x14ac:dyDescent="0.35">
      <c r="A31" s="1363" t="s">
        <v>262</v>
      </c>
      <c r="B31" s="660" t="s">
        <v>364</v>
      </c>
      <c r="C31" s="659" t="s">
        <v>363</v>
      </c>
      <c r="D31" s="654" t="s">
        <v>3</v>
      </c>
      <c r="E31" s="669">
        <v>600</v>
      </c>
      <c r="F31" s="653">
        <f t="shared" si="1"/>
        <v>1200</v>
      </c>
      <c r="G31" s="667"/>
      <c r="H31" s="667"/>
      <c r="I31" s="667"/>
      <c r="J31" s="667"/>
      <c r="K31" s="667"/>
      <c r="L31" s="667"/>
      <c r="M31" s="667"/>
      <c r="N31" s="667"/>
      <c r="O31" s="667">
        <v>1200</v>
      </c>
      <c r="P31" s="667"/>
      <c r="Q31" s="667"/>
      <c r="R31" s="657"/>
    </row>
    <row r="32" spans="1:18" ht="23.25" x14ac:dyDescent="0.35">
      <c r="A32" s="1363"/>
      <c r="B32" s="660"/>
      <c r="C32" s="659"/>
      <c r="D32" s="654" t="s">
        <v>225</v>
      </c>
      <c r="E32" s="669">
        <v>600</v>
      </c>
      <c r="F32" s="653">
        <f t="shared" si="1"/>
        <v>1200</v>
      </c>
      <c r="G32" s="667"/>
      <c r="H32" s="667"/>
      <c r="I32" s="667"/>
      <c r="J32" s="667"/>
      <c r="K32" s="667"/>
      <c r="L32" s="667"/>
      <c r="M32" s="667"/>
      <c r="N32" s="667"/>
      <c r="O32" s="667">
        <v>1200</v>
      </c>
      <c r="P32" s="667"/>
      <c r="Q32" s="667"/>
      <c r="R32" s="657"/>
    </row>
    <row r="33" spans="1:18" ht="23.25" x14ac:dyDescent="0.35">
      <c r="A33" s="1363"/>
      <c r="B33" s="660"/>
      <c r="C33" s="659"/>
      <c r="D33" s="654" t="s">
        <v>235</v>
      </c>
      <c r="E33" s="669">
        <v>600</v>
      </c>
      <c r="F33" s="653">
        <f t="shared" si="1"/>
        <v>1200</v>
      </c>
      <c r="G33" s="667"/>
      <c r="H33" s="667"/>
      <c r="I33" s="667"/>
      <c r="J33" s="667"/>
      <c r="K33" s="667"/>
      <c r="L33" s="667"/>
      <c r="M33" s="667"/>
      <c r="N33" s="667"/>
      <c r="O33" s="667">
        <v>1200</v>
      </c>
      <c r="P33" s="667"/>
      <c r="Q33" s="667"/>
      <c r="R33" s="657"/>
    </row>
    <row r="34" spans="1:18" ht="23.25" x14ac:dyDescent="0.35">
      <c r="A34" s="1363" t="s">
        <v>249</v>
      </c>
      <c r="B34" s="660" t="s">
        <v>362</v>
      </c>
      <c r="C34" s="659" t="s">
        <v>361</v>
      </c>
      <c r="D34" s="654" t="s">
        <v>3</v>
      </c>
      <c r="E34" s="669">
        <v>0</v>
      </c>
      <c r="F34" s="653">
        <f t="shared" si="1"/>
        <v>66142</v>
      </c>
      <c r="G34" s="667">
        <v>51598</v>
      </c>
      <c r="H34" s="667">
        <v>14149</v>
      </c>
      <c r="I34" s="667">
        <v>395</v>
      </c>
      <c r="J34" s="667"/>
      <c r="K34" s="667"/>
      <c r="L34" s="667"/>
      <c r="M34" s="667"/>
      <c r="N34" s="667"/>
      <c r="O34" s="667"/>
      <c r="P34" s="667"/>
      <c r="Q34" s="667"/>
      <c r="R34" s="657"/>
    </row>
    <row r="35" spans="1:18" ht="23.25" x14ac:dyDescent="0.35">
      <c r="A35" s="1363"/>
      <c r="B35" s="660"/>
      <c r="C35" s="659"/>
      <c r="D35" s="654" t="s">
        <v>225</v>
      </c>
      <c r="E35" s="669">
        <v>2005</v>
      </c>
      <c r="F35" s="653">
        <f t="shared" si="1"/>
        <v>64687</v>
      </c>
      <c r="G35" s="667">
        <f>46886+72</f>
        <v>46958</v>
      </c>
      <c r="H35" s="667">
        <f>13919+15</f>
        <v>13934</v>
      </c>
      <c r="I35" s="667">
        <v>3215</v>
      </c>
      <c r="J35" s="667"/>
      <c r="K35" s="667"/>
      <c r="L35" s="667"/>
      <c r="M35" s="667"/>
      <c r="N35" s="667">
        <v>580</v>
      </c>
      <c r="O35" s="667"/>
      <c r="P35" s="667"/>
      <c r="Q35" s="667"/>
      <c r="R35" s="657"/>
    </row>
    <row r="36" spans="1:18" ht="23.25" x14ac:dyDescent="0.35">
      <c r="A36" s="1363"/>
      <c r="B36" s="660"/>
      <c r="C36" s="659"/>
      <c r="D36" s="654" t="s">
        <v>235</v>
      </c>
      <c r="E36" s="669">
        <v>2005</v>
      </c>
      <c r="F36" s="653">
        <f t="shared" si="1"/>
        <v>64774</v>
      </c>
      <c r="G36" s="667">
        <v>47029</v>
      </c>
      <c r="H36" s="667">
        <v>13950</v>
      </c>
      <c r="I36" s="667">
        <v>3215</v>
      </c>
      <c r="J36" s="667"/>
      <c r="K36" s="667"/>
      <c r="L36" s="667"/>
      <c r="M36" s="667"/>
      <c r="N36" s="667">
        <v>580</v>
      </c>
      <c r="O36" s="667"/>
      <c r="P36" s="667"/>
      <c r="Q36" s="667"/>
      <c r="R36" s="657"/>
    </row>
    <row r="37" spans="1:18" ht="23.25" x14ac:dyDescent="0.35">
      <c r="A37" s="1363" t="s">
        <v>246</v>
      </c>
      <c r="B37" s="660" t="s">
        <v>360</v>
      </c>
      <c r="C37" s="659" t="s">
        <v>359</v>
      </c>
      <c r="D37" s="654" t="s">
        <v>3</v>
      </c>
      <c r="E37" s="669"/>
      <c r="F37" s="653">
        <f t="shared" si="1"/>
        <v>8692</v>
      </c>
      <c r="G37" s="658">
        <v>6705</v>
      </c>
      <c r="H37" s="658">
        <v>1854</v>
      </c>
      <c r="I37" s="658">
        <v>133</v>
      </c>
      <c r="J37" s="658"/>
      <c r="K37" s="658"/>
      <c r="L37" s="658"/>
      <c r="M37" s="658"/>
      <c r="N37" s="658"/>
      <c r="O37" s="658"/>
      <c r="P37" s="658"/>
      <c r="Q37" s="658"/>
      <c r="R37" s="657"/>
    </row>
    <row r="38" spans="1:18" ht="23.25" x14ac:dyDescent="0.35">
      <c r="A38" s="1363"/>
      <c r="B38" s="660"/>
      <c r="C38" s="659"/>
      <c r="D38" s="654" t="s">
        <v>225</v>
      </c>
      <c r="E38" s="669"/>
      <c r="F38" s="653">
        <f t="shared" si="1"/>
        <v>8692</v>
      </c>
      <c r="G38" s="658">
        <f>6714-9</f>
        <v>6705</v>
      </c>
      <c r="H38" s="658">
        <f>1856-2</f>
        <v>1854</v>
      </c>
      <c r="I38" s="658">
        <v>133</v>
      </c>
      <c r="J38" s="658"/>
      <c r="K38" s="658"/>
      <c r="L38" s="658"/>
      <c r="M38" s="658"/>
      <c r="N38" s="658"/>
      <c r="O38" s="658"/>
      <c r="P38" s="658"/>
      <c r="Q38" s="658"/>
      <c r="R38" s="657"/>
    </row>
    <row r="39" spans="1:18" ht="23.25" x14ac:dyDescent="0.35">
      <c r="A39" s="1363"/>
      <c r="B39" s="660"/>
      <c r="C39" s="659"/>
      <c r="D39" s="654" t="s">
        <v>235</v>
      </c>
      <c r="E39" s="669"/>
      <c r="F39" s="653">
        <f t="shared" si="1"/>
        <v>8692</v>
      </c>
      <c r="G39" s="658">
        <v>6705</v>
      </c>
      <c r="H39" s="658">
        <v>1854</v>
      </c>
      <c r="I39" s="658">
        <v>133</v>
      </c>
      <c r="J39" s="658"/>
      <c r="K39" s="658"/>
      <c r="L39" s="658"/>
      <c r="M39" s="658"/>
      <c r="N39" s="658"/>
      <c r="O39" s="658"/>
      <c r="P39" s="658"/>
      <c r="Q39" s="658"/>
      <c r="R39" s="657"/>
    </row>
    <row r="40" spans="1:18" ht="23.25" x14ac:dyDescent="0.35">
      <c r="A40" s="1467" t="s">
        <v>358</v>
      </c>
      <c r="B40" s="1468"/>
      <c r="C40" s="1468"/>
      <c r="D40" s="654" t="s">
        <v>3</v>
      </c>
      <c r="E40" s="668">
        <f>E10+E13+E19+E22+E25+E28+E31+E34+E37</f>
        <v>500701</v>
      </c>
      <c r="F40" s="653">
        <f t="shared" si="1"/>
        <v>500701</v>
      </c>
      <c r="G40" s="668">
        <f t="shared" ref="G40:R40" si="2">G10+G13+G19+G22+G25+G28+G31+G34+G37</f>
        <v>301178</v>
      </c>
      <c r="H40" s="668">
        <f t="shared" si="2"/>
        <v>82779</v>
      </c>
      <c r="I40" s="668">
        <f t="shared" si="2"/>
        <v>106694</v>
      </c>
      <c r="J40" s="668">
        <f t="shared" si="2"/>
        <v>0</v>
      </c>
      <c r="K40" s="668">
        <f t="shared" si="2"/>
        <v>0</v>
      </c>
      <c r="L40" s="668">
        <f t="shared" si="2"/>
        <v>0</v>
      </c>
      <c r="M40" s="668">
        <f t="shared" si="2"/>
        <v>0</v>
      </c>
      <c r="N40" s="668">
        <f t="shared" si="2"/>
        <v>8850</v>
      </c>
      <c r="O40" s="668">
        <f t="shared" si="2"/>
        <v>1200</v>
      </c>
      <c r="P40" s="668">
        <f t="shared" si="2"/>
        <v>0</v>
      </c>
      <c r="Q40" s="668">
        <f t="shared" si="2"/>
        <v>0</v>
      </c>
      <c r="R40" s="671">
        <f t="shared" si="2"/>
        <v>0</v>
      </c>
    </row>
    <row r="41" spans="1:18" ht="23.25" x14ac:dyDescent="0.35">
      <c r="A41" s="1458"/>
      <c r="B41" s="1459"/>
      <c r="C41" s="1459"/>
      <c r="D41" s="654" t="s">
        <v>225</v>
      </c>
      <c r="E41" s="668">
        <f>E11+E14+E20+E23+E26+E29+E32+E35+E38</f>
        <v>526551</v>
      </c>
      <c r="F41" s="653">
        <f t="shared" si="1"/>
        <v>526551</v>
      </c>
      <c r="G41" s="668">
        <f t="shared" ref="G41:R41" si="3">G11+G14+G20+G23+G26+G29+G32+G35+G38</f>
        <v>318151</v>
      </c>
      <c r="H41" s="668">
        <f t="shared" si="3"/>
        <v>87274</v>
      </c>
      <c r="I41" s="668">
        <f t="shared" si="3"/>
        <v>110576</v>
      </c>
      <c r="J41" s="668">
        <f t="shared" si="3"/>
        <v>0</v>
      </c>
      <c r="K41" s="668">
        <f t="shared" si="3"/>
        <v>0</v>
      </c>
      <c r="L41" s="668">
        <f t="shared" si="3"/>
        <v>0</v>
      </c>
      <c r="M41" s="668">
        <f t="shared" si="3"/>
        <v>0</v>
      </c>
      <c r="N41" s="668">
        <f t="shared" si="3"/>
        <v>9350</v>
      </c>
      <c r="O41" s="668">
        <f t="shared" si="3"/>
        <v>1200</v>
      </c>
      <c r="P41" s="668">
        <f t="shared" si="3"/>
        <v>0</v>
      </c>
      <c r="Q41" s="668">
        <f t="shared" si="3"/>
        <v>0</v>
      </c>
      <c r="R41" s="671">
        <f t="shared" si="3"/>
        <v>0</v>
      </c>
    </row>
    <row r="42" spans="1:18" ht="23.25" x14ac:dyDescent="0.35">
      <c r="A42" s="1374"/>
      <c r="B42" s="1375"/>
      <c r="C42" s="1375"/>
      <c r="D42" s="654" t="s">
        <v>235</v>
      </c>
      <c r="E42" s="668">
        <f t="shared" ref="E42:Q42" si="4">E12+E15+E21+E24+E27+E30+E33+E36+E39+E18</f>
        <v>529572</v>
      </c>
      <c r="F42" s="668">
        <f t="shared" si="4"/>
        <v>529572</v>
      </c>
      <c r="G42" s="668">
        <f t="shared" si="4"/>
        <v>320400</v>
      </c>
      <c r="H42" s="668">
        <f t="shared" si="4"/>
        <v>87336</v>
      </c>
      <c r="I42" s="668">
        <f t="shared" si="4"/>
        <v>111286</v>
      </c>
      <c r="J42" s="668">
        <f t="shared" si="4"/>
        <v>0</v>
      </c>
      <c r="K42" s="668">
        <f t="shared" si="4"/>
        <v>0</v>
      </c>
      <c r="L42" s="668">
        <f t="shared" si="4"/>
        <v>0</v>
      </c>
      <c r="M42" s="668">
        <f t="shared" si="4"/>
        <v>0</v>
      </c>
      <c r="N42" s="668">
        <f t="shared" si="4"/>
        <v>9350</v>
      </c>
      <c r="O42" s="668">
        <f t="shared" si="4"/>
        <v>1200</v>
      </c>
      <c r="P42" s="668">
        <f t="shared" si="4"/>
        <v>0</v>
      </c>
      <c r="Q42" s="668">
        <f t="shared" si="4"/>
        <v>0</v>
      </c>
      <c r="R42" s="671">
        <f>R12+R15+R21+R24+R27+R30+R33+R36+R39</f>
        <v>0</v>
      </c>
    </row>
    <row r="43" spans="1:18" ht="23.25" x14ac:dyDescent="0.35">
      <c r="A43" s="1376"/>
      <c r="B43" s="1377"/>
      <c r="C43" s="1377"/>
      <c r="D43" s="654"/>
      <c r="E43" s="670"/>
      <c r="F43" s="653">
        <f t="shared" ref="F43:F81" si="5">SUM(G43:R43)</f>
        <v>0</v>
      </c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65"/>
    </row>
    <row r="44" spans="1:18" ht="23.25" x14ac:dyDescent="0.35">
      <c r="A44" s="1467" t="s">
        <v>357</v>
      </c>
      <c r="B44" s="1468"/>
      <c r="C44" s="1468"/>
      <c r="D44" s="654"/>
      <c r="E44" s="670"/>
      <c r="F44" s="653">
        <f t="shared" si="5"/>
        <v>0</v>
      </c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657"/>
    </row>
    <row r="45" spans="1:18" ht="23.25" x14ac:dyDescent="0.35">
      <c r="A45" s="1363" t="s">
        <v>249</v>
      </c>
      <c r="B45" s="660" t="s">
        <v>352</v>
      </c>
      <c r="C45" s="659" t="s">
        <v>351</v>
      </c>
      <c r="D45" s="654" t="s">
        <v>3</v>
      </c>
      <c r="E45" s="669">
        <v>8128</v>
      </c>
      <c r="F45" s="653">
        <f t="shared" si="5"/>
        <v>27431</v>
      </c>
      <c r="G45" s="667">
        <v>20569</v>
      </c>
      <c r="H45" s="667">
        <v>4335</v>
      </c>
      <c r="I45" s="667">
        <v>2527</v>
      </c>
      <c r="J45" s="667"/>
      <c r="K45" s="667"/>
      <c r="L45" s="667"/>
      <c r="M45" s="667"/>
      <c r="N45" s="667"/>
      <c r="O45" s="667"/>
      <c r="P45" s="667"/>
      <c r="Q45" s="667"/>
      <c r="R45" s="657"/>
    </row>
    <row r="46" spans="1:18" ht="23.25" x14ac:dyDescent="0.35">
      <c r="A46" s="1363"/>
      <c r="B46" s="660"/>
      <c r="C46" s="659"/>
      <c r="D46" s="654" t="s">
        <v>225</v>
      </c>
      <c r="E46" s="669">
        <f>8128+1300</f>
        <v>9428</v>
      </c>
      <c r="F46" s="653">
        <f t="shared" si="5"/>
        <v>28823</v>
      </c>
      <c r="G46" s="667">
        <f>20601+45+1300</f>
        <v>21946</v>
      </c>
      <c r="H46" s="667">
        <f>4340+10</f>
        <v>4350</v>
      </c>
      <c r="I46" s="667">
        <v>2527</v>
      </c>
      <c r="J46" s="667"/>
      <c r="K46" s="667"/>
      <c r="L46" s="667"/>
      <c r="M46" s="667"/>
      <c r="N46" s="667"/>
      <c r="O46" s="667"/>
      <c r="P46" s="667"/>
      <c r="Q46" s="667"/>
      <c r="R46" s="657"/>
    </row>
    <row r="47" spans="1:18" ht="23.25" x14ac:dyDescent="0.35">
      <c r="A47" s="1363"/>
      <c r="B47" s="660"/>
      <c r="C47" s="659"/>
      <c r="D47" s="654" t="s">
        <v>235</v>
      </c>
      <c r="E47" s="669">
        <v>9428</v>
      </c>
      <c r="F47" s="653">
        <f t="shared" si="5"/>
        <v>29325</v>
      </c>
      <c r="G47" s="667">
        <v>21431</v>
      </c>
      <c r="H47" s="667">
        <v>5367</v>
      </c>
      <c r="I47" s="667">
        <v>2527</v>
      </c>
      <c r="J47" s="667"/>
      <c r="K47" s="667"/>
      <c r="L47" s="667"/>
      <c r="M47" s="667"/>
      <c r="N47" s="667"/>
      <c r="O47" s="667"/>
      <c r="P47" s="667"/>
      <c r="Q47" s="667"/>
      <c r="R47" s="657"/>
    </row>
    <row r="48" spans="1:18" ht="23.25" x14ac:dyDescent="0.35">
      <c r="A48" s="1363" t="s">
        <v>249</v>
      </c>
      <c r="B48" s="660" t="s">
        <v>350</v>
      </c>
      <c r="C48" s="659" t="s">
        <v>316</v>
      </c>
      <c r="D48" s="654" t="s">
        <v>3</v>
      </c>
      <c r="E48" s="669">
        <v>19303</v>
      </c>
      <c r="F48" s="653">
        <f t="shared" si="5"/>
        <v>0</v>
      </c>
      <c r="G48" s="667"/>
      <c r="H48" s="667"/>
      <c r="I48" s="667"/>
      <c r="J48" s="667"/>
      <c r="K48" s="667"/>
      <c r="L48" s="667"/>
      <c r="M48" s="667"/>
      <c r="N48" s="667"/>
      <c r="O48" s="667"/>
      <c r="P48" s="667"/>
      <c r="Q48" s="667"/>
      <c r="R48" s="657"/>
    </row>
    <row r="49" spans="1:18" ht="23.25" x14ac:dyDescent="0.35">
      <c r="A49" s="1363"/>
      <c r="B49" s="660"/>
      <c r="C49" s="659"/>
      <c r="D49" s="654" t="s">
        <v>225</v>
      </c>
      <c r="E49" s="669">
        <f>19340+55</f>
        <v>19395</v>
      </c>
      <c r="F49" s="653">
        <f t="shared" si="5"/>
        <v>0</v>
      </c>
      <c r="G49" s="667"/>
      <c r="H49" s="667"/>
      <c r="I49" s="667"/>
      <c r="J49" s="667"/>
      <c r="K49" s="667"/>
      <c r="L49" s="667"/>
      <c r="M49" s="667"/>
      <c r="N49" s="667"/>
      <c r="O49" s="667"/>
      <c r="P49" s="667"/>
      <c r="Q49" s="667"/>
      <c r="R49" s="657"/>
    </row>
    <row r="50" spans="1:18" ht="23.25" x14ac:dyDescent="0.35">
      <c r="A50" s="1363"/>
      <c r="B50" s="660"/>
      <c r="C50" s="659"/>
      <c r="D50" s="654" t="s">
        <v>235</v>
      </c>
      <c r="E50" s="669">
        <v>19897</v>
      </c>
      <c r="F50" s="653">
        <f t="shared" si="5"/>
        <v>0</v>
      </c>
      <c r="G50" s="667"/>
      <c r="H50" s="667"/>
      <c r="I50" s="667"/>
      <c r="J50" s="667"/>
      <c r="K50" s="667"/>
      <c r="L50" s="667"/>
      <c r="M50" s="667"/>
      <c r="N50" s="667"/>
      <c r="O50" s="667"/>
      <c r="P50" s="667"/>
      <c r="Q50" s="667"/>
      <c r="R50" s="657"/>
    </row>
    <row r="51" spans="1:18" ht="23.25" x14ac:dyDescent="0.35">
      <c r="A51" s="1467" t="s">
        <v>356</v>
      </c>
      <c r="B51" s="1468"/>
      <c r="C51" s="1468"/>
      <c r="D51" s="654" t="s">
        <v>3</v>
      </c>
      <c r="E51" s="668">
        <f>(E45+E48)</f>
        <v>27431</v>
      </c>
      <c r="F51" s="653">
        <f t="shared" si="5"/>
        <v>27431</v>
      </c>
      <c r="G51" s="653">
        <f t="shared" ref="G51:R51" si="6">(G45+G48)</f>
        <v>20569</v>
      </c>
      <c r="H51" s="653">
        <f t="shared" si="6"/>
        <v>4335</v>
      </c>
      <c r="I51" s="653">
        <f t="shared" si="6"/>
        <v>2527</v>
      </c>
      <c r="J51" s="653">
        <f t="shared" si="6"/>
        <v>0</v>
      </c>
      <c r="K51" s="653">
        <f t="shared" si="6"/>
        <v>0</v>
      </c>
      <c r="L51" s="653">
        <f t="shared" si="6"/>
        <v>0</v>
      </c>
      <c r="M51" s="653">
        <f t="shared" si="6"/>
        <v>0</v>
      </c>
      <c r="N51" s="653">
        <f t="shared" si="6"/>
        <v>0</v>
      </c>
      <c r="O51" s="653">
        <f t="shared" si="6"/>
        <v>0</v>
      </c>
      <c r="P51" s="653">
        <f t="shared" si="6"/>
        <v>0</v>
      </c>
      <c r="Q51" s="653">
        <f t="shared" si="6"/>
        <v>0</v>
      </c>
      <c r="R51" s="665">
        <f t="shared" si="6"/>
        <v>0</v>
      </c>
    </row>
    <row r="52" spans="1:18" ht="23.25" x14ac:dyDescent="0.35">
      <c r="A52" s="1458"/>
      <c r="B52" s="1459"/>
      <c r="C52" s="1459"/>
      <c r="D52" s="654" t="s">
        <v>225</v>
      </c>
      <c r="E52" s="668">
        <f>(E46+E49)</f>
        <v>28823</v>
      </c>
      <c r="F52" s="653">
        <f t="shared" si="5"/>
        <v>28823</v>
      </c>
      <c r="G52" s="653">
        <f t="shared" ref="G52:R52" si="7">(G46+G49)</f>
        <v>21946</v>
      </c>
      <c r="H52" s="653">
        <f t="shared" si="7"/>
        <v>4350</v>
      </c>
      <c r="I52" s="653">
        <f t="shared" si="7"/>
        <v>2527</v>
      </c>
      <c r="J52" s="653">
        <f t="shared" si="7"/>
        <v>0</v>
      </c>
      <c r="K52" s="653">
        <f t="shared" si="7"/>
        <v>0</v>
      </c>
      <c r="L52" s="653">
        <f t="shared" si="7"/>
        <v>0</v>
      </c>
      <c r="M52" s="653">
        <f t="shared" si="7"/>
        <v>0</v>
      </c>
      <c r="N52" s="653">
        <f t="shared" si="7"/>
        <v>0</v>
      </c>
      <c r="O52" s="653">
        <f t="shared" si="7"/>
        <v>0</v>
      </c>
      <c r="P52" s="653">
        <f t="shared" si="7"/>
        <v>0</v>
      </c>
      <c r="Q52" s="653">
        <f t="shared" si="7"/>
        <v>0</v>
      </c>
      <c r="R52" s="665">
        <f t="shared" si="7"/>
        <v>0</v>
      </c>
    </row>
    <row r="53" spans="1:18" ht="23.25" x14ac:dyDescent="0.35">
      <c r="A53" s="1374"/>
      <c r="B53" s="1375"/>
      <c r="C53" s="1375"/>
      <c r="D53" s="654" t="s">
        <v>235</v>
      </c>
      <c r="E53" s="668">
        <f>(E47+E50)</f>
        <v>29325</v>
      </c>
      <c r="F53" s="653">
        <f t="shared" si="5"/>
        <v>29325</v>
      </c>
      <c r="G53" s="653">
        <f t="shared" ref="G53:R53" si="8">(G47+G50)</f>
        <v>21431</v>
      </c>
      <c r="H53" s="653">
        <f t="shared" si="8"/>
        <v>5367</v>
      </c>
      <c r="I53" s="653">
        <f t="shared" si="8"/>
        <v>2527</v>
      </c>
      <c r="J53" s="653">
        <f t="shared" si="8"/>
        <v>0</v>
      </c>
      <c r="K53" s="653">
        <f t="shared" si="8"/>
        <v>0</v>
      </c>
      <c r="L53" s="653">
        <f t="shared" si="8"/>
        <v>0</v>
      </c>
      <c r="M53" s="653">
        <f t="shared" si="8"/>
        <v>0</v>
      </c>
      <c r="N53" s="653">
        <f t="shared" si="8"/>
        <v>0</v>
      </c>
      <c r="O53" s="653">
        <f t="shared" si="8"/>
        <v>0</v>
      </c>
      <c r="P53" s="653">
        <f t="shared" si="8"/>
        <v>0</v>
      </c>
      <c r="Q53" s="653">
        <f t="shared" si="8"/>
        <v>0</v>
      </c>
      <c r="R53" s="665">
        <f t="shared" si="8"/>
        <v>0</v>
      </c>
    </row>
    <row r="54" spans="1:18" ht="23.25" x14ac:dyDescent="0.35">
      <c r="A54" s="1376"/>
      <c r="B54" s="1377"/>
      <c r="C54" s="1377"/>
      <c r="D54" s="654"/>
      <c r="E54" s="653"/>
      <c r="F54" s="653">
        <f t="shared" si="5"/>
        <v>0</v>
      </c>
      <c r="G54" s="653"/>
      <c r="H54" s="653"/>
      <c r="I54" s="653"/>
      <c r="J54" s="653"/>
      <c r="K54" s="653"/>
      <c r="L54" s="653"/>
      <c r="M54" s="653"/>
      <c r="N54" s="653"/>
      <c r="O54" s="653"/>
      <c r="P54" s="653"/>
      <c r="Q54" s="653"/>
      <c r="R54" s="665"/>
    </row>
    <row r="55" spans="1:18" ht="23.25" x14ac:dyDescent="0.35">
      <c r="A55" s="1467" t="s">
        <v>355</v>
      </c>
      <c r="B55" s="1468"/>
      <c r="C55" s="1468"/>
      <c r="D55" s="654"/>
      <c r="E55" s="653"/>
      <c r="F55" s="653">
        <f t="shared" si="5"/>
        <v>0</v>
      </c>
      <c r="G55" s="667"/>
      <c r="H55" s="667"/>
      <c r="I55" s="667"/>
      <c r="J55" s="667"/>
      <c r="K55" s="653"/>
      <c r="L55" s="653"/>
      <c r="M55" s="653"/>
      <c r="N55" s="667"/>
      <c r="O55" s="667"/>
      <c r="P55" s="667"/>
      <c r="Q55" s="667"/>
      <c r="R55" s="657"/>
    </row>
    <row r="56" spans="1:18" ht="23.25" x14ac:dyDescent="0.35">
      <c r="A56" s="1363" t="s">
        <v>249</v>
      </c>
      <c r="B56" s="660" t="s">
        <v>352</v>
      </c>
      <c r="C56" s="659" t="s">
        <v>351</v>
      </c>
      <c r="D56" s="654" t="s">
        <v>3</v>
      </c>
      <c r="E56" s="668">
        <v>3706</v>
      </c>
      <c r="F56" s="653">
        <f t="shared" si="5"/>
        <v>25030</v>
      </c>
      <c r="G56" s="667">
        <v>16691</v>
      </c>
      <c r="H56" s="667">
        <v>4197</v>
      </c>
      <c r="I56" s="667">
        <v>3542</v>
      </c>
      <c r="J56" s="667"/>
      <c r="K56" s="667"/>
      <c r="L56" s="667"/>
      <c r="M56" s="667"/>
      <c r="N56" s="667">
        <v>600</v>
      </c>
      <c r="O56" s="667"/>
      <c r="P56" s="667"/>
      <c r="Q56" s="667"/>
      <c r="R56" s="657"/>
    </row>
    <row r="57" spans="1:18" ht="23.25" x14ac:dyDescent="0.35">
      <c r="A57" s="1363"/>
      <c r="B57" s="660"/>
      <c r="C57" s="659"/>
      <c r="D57" s="654" t="s">
        <v>225</v>
      </c>
      <c r="E57" s="668">
        <v>6205</v>
      </c>
      <c r="F57" s="653">
        <f t="shared" si="5"/>
        <v>27597</v>
      </c>
      <c r="G57" s="667">
        <f>19378+34</f>
        <v>19412</v>
      </c>
      <c r="H57" s="667">
        <f>4168+7</f>
        <v>4175</v>
      </c>
      <c r="I57" s="667">
        <v>3410</v>
      </c>
      <c r="J57" s="667"/>
      <c r="K57" s="667"/>
      <c r="L57" s="667"/>
      <c r="M57" s="667"/>
      <c r="N57" s="667">
        <v>600</v>
      </c>
      <c r="O57" s="667"/>
      <c r="P57" s="667"/>
      <c r="Q57" s="667"/>
      <c r="R57" s="657"/>
    </row>
    <row r="58" spans="1:18" ht="23.25" x14ac:dyDescent="0.35">
      <c r="A58" s="1363"/>
      <c r="B58" s="660"/>
      <c r="C58" s="659"/>
      <c r="D58" s="654" t="s">
        <v>235</v>
      </c>
      <c r="E58" s="668">
        <v>6205</v>
      </c>
      <c r="F58" s="653">
        <f t="shared" si="5"/>
        <v>27628</v>
      </c>
      <c r="G58" s="667">
        <v>18978</v>
      </c>
      <c r="H58" s="667">
        <v>4700</v>
      </c>
      <c r="I58" s="667">
        <v>3410</v>
      </c>
      <c r="J58" s="667"/>
      <c r="K58" s="667"/>
      <c r="L58" s="667"/>
      <c r="M58" s="667"/>
      <c r="N58" s="667">
        <v>540</v>
      </c>
      <c r="O58" s="667"/>
      <c r="P58" s="667"/>
      <c r="Q58" s="667"/>
      <c r="R58" s="657"/>
    </row>
    <row r="59" spans="1:18" ht="23.25" x14ac:dyDescent="0.35">
      <c r="A59" s="1363" t="s">
        <v>249</v>
      </c>
      <c r="B59" s="660" t="s">
        <v>350</v>
      </c>
      <c r="C59" s="659" t="s">
        <v>316</v>
      </c>
      <c r="D59" s="654" t="s">
        <v>3</v>
      </c>
      <c r="E59" s="668">
        <v>21324</v>
      </c>
      <c r="F59" s="653">
        <f t="shared" si="5"/>
        <v>0</v>
      </c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7"/>
    </row>
    <row r="60" spans="1:18" ht="23.25" x14ac:dyDescent="0.35">
      <c r="A60" s="1363"/>
      <c r="B60" s="660"/>
      <c r="C60" s="659"/>
      <c r="D60" s="654" t="s">
        <v>225</v>
      </c>
      <c r="E60" s="668">
        <f>21351+41</f>
        <v>21392</v>
      </c>
      <c r="F60" s="653">
        <f t="shared" si="5"/>
        <v>0</v>
      </c>
      <c r="G60" s="658"/>
      <c r="H60" s="658"/>
      <c r="I60" s="658"/>
      <c r="J60" s="658"/>
      <c r="K60" s="658"/>
      <c r="L60" s="658"/>
      <c r="M60" s="658"/>
      <c r="N60" s="658"/>
      <c r="O60" s="658"/>
      <c r="P60" s="658"/>
      <c r="Q60" s="658"/>
      <c r="R60" s="657"/>
    </row>
    <row r="61" spans="1:18" ht="23.25" x14ac:dyDescent="0.35">
      <c r="A61" s="1363"/>
      <c r="B61" s="660"/>
      <c r="C61" s="659"/>
      <c r="D61" s="654" t="s">
        <v>235</v>
      </c>
      <c r="E61" s="668">
        <v>21423</v>
      </c>
      <c r="F61" s="653">
        <f t="shared" si="5"/>
        <v>0</v>
      </c>
      <c r="G61" s="658"/>
      <c r="H61" s="658"/>
      <c r="I61" s="658"/>
      <c r="J61" s="658"/>
      <c r="K61" s="658"/>
      <c r="L61" s="658"/>
      <c r="M61" s="658"/>
      <c r="N61" s="658"/>
      <c r="O61" s="658"/>
      <c r="P61" s="658"/>
      <c r="Q61" s="658"/>
      <c r="R61" s="657"/>
    </row>
    <row r="62" spans="1:18" ht="23.25" x14ac:dyDescent="0.35">
      <c r="A62" s="1467" t="s">
        <v>354</v>
      </c>
      <c r="B62" s="1468"/>
      <c r="C62" s="1468"/>
      <c r="D62" s="654" t="s">
        <v>3</v>
      </c>
      <c r="E62" s="668">
        <f>(E56+E59)</f>
        <v>25030</v>
      </c>
      <c r="F62" s="653">
        <f t="shared" si="5"/>
        <v>25030</v>
      </c>
      <c r="G62" s="653">
        <f t="shared" ref="G62:R62" si="9">(G56+G59)</f>
        <v>16691</v>
      </c>
      <c r="H62" s="653">
        <f t="shared" si="9"/>
        <v>4197</v>
      </c>
      <c r="I62" s="653">
        <f t="shared" si="9"/>
        <v>3542</v>
      </c>
      <c r="J62" s="653">
        <f t="shared" si="9"/>
        <v>0</v>
      </c>
      <c r="K62" s="653">
        <f t="shared" si="9"/>
        <v>0</v>
      </c>
      <c r="L62" s="653">
        <f t="shared" si="9"/>
        <v>0</v>
      </c>
      <c r="M62" s="653">
        <f t="shared" si="9"/>
        <v>0</v>
      </c>
      <c r="N62" s="653">
        <f t="shared" si="9"/>
        <v>600</v>
      </c>
      <c r="O62" s="653">
        <f t="shared" si="9"/>
        <v>0</v>
      </c>
      <c r="P62" s="653">
        <f t="shared" si="9"/>
        <v>0</v>
      </c>
      <c r="Q62" s="653">
        <f t="shared" si="9"/>
        <v>0</v>
      </c>
      <c r="R62" s="665">
        <f t="shared" si="9"/>
        <v>0</v>
      </c>
    </row>
    <row r="63" spans="1:18" ht="23.25" x14ac:dyDescent="0.35">
      <c r="A63" s="1458"/>
      <c r="B63" s="1459"/>
      <c r="C63" s="1459"/>
      <c r="D63" s="654" t="s">
        <v>225</v>
      </c>
      <c r="E63" s="668">
        <f>(E57+E60)</f>
        <v>27597</v>
      </c>
      <c r="F63" s="653">
        <f t="shared" si="5"/>
        <v>27597</v>
      </c>
      <c r="G63" s="653">
        <f t="shared" ref="G63:R63" si="10">(G57+G60)</f>
        <v>19412</v>
      </c>
      <c r="H63" s="653">
        <f t="shared" si="10"/>
        <v>4175</v>
      </c>
      <c r="I63" s="653">
        <f t="shared" si="10"/>
        <v>3410</v>
      </c>
      <c r="J63" s="653">
        <f t="shared" si="10"/>
        <v>0</v>
      </c>
      <c r="K63" s="653">
        <f t="shared" si="10"/>
        <v>0</v>
      </c>
      <c r="L63" s="653">
        <f t="shared" si="10"/>
        <v>0</v>
      </c>
      <c r="M63" s="653">
        <f t="shared" si="10"/>
        <v>0</v>
      </c>
      <c r="N63" s="653">
        <f t="shared" si="10"/>
        <v>600</v>
      </c>
      <c r="O63" s="653">
        <f t="shared" si="10"/>
        <v>0</v>
      </c>
      <c r="P63" s="653">
        <f t="shared" si="10"/>
        <v>0</v>
      </c>
      <c r="Q63" s="653">
        <f t="shared" si="10"/>
        <v>0</v>
      </c>
      <c r="R63" s="665">
        <f t="shared" si="10"/>
        <v>0</v>
      </c>
    </row>
    <row r="64" spans="1:18" ht="23.25" x14ac:dyDescent="0.35">
      <c r="A64" s="1374"/>
      <c r="B64" s="1375"/>
      <c r="C64" s="1375"/>
      <c r="D64" s="654" t="s">
        <v>235</v>
      </c>
      <c r="E64" s="668">
        <f>(E58+E61)</f>
        <v>27628</v>
      </c>
      <c r="F64" s="653">
        <f t="shared" si="5"/>
        <v>27628</v>
      </c>
      <c r="G64" s="653">
        <f t="shared" ref="G64:R64" si="11">(G58+G61)</f>
        <v>18978</v>
      </c>
      <c r="H64" s="653">
        <f t="shared" si="11"/>
        <v>4700</v>
      </c>
      <c r="I64" s="653">
        <f t="shared" si="11"/>
        <v>3410</v>
      </c>
      <c r="J64" s="653">
        <f t="shared" si="11"/>
        <v>0</v>
      </c>
      <c r="K64" s="653">
        <f t="shared" si="11"/>
        <v>0</v>
      </c>
      <c r="L64" s="653">
        <f t="shared" si="11"/>
        <v>0</v>
      </c>
      <c r="M64" s="653">
        <f t="shared" si="11"/>
        <v>0</v>
      </c>
      <c r="N64" s="653">
        <f t="shared" si="11"/>
        <v>540</v>
      </c>
      <c r="O64" s="653">
        <f t="shared" si="11"/>
        <v>0</v>
      </c>
      <c r="P64" s="653">
        <f t="shared" si="11"/>
        <v>0</v>
      </c>
      <c r="Q64" s="653">
        <f t="shared" si="11"/>
        <v>0</v>
      </c>
      <c r="R64" s="665">
        <f t="shared" si="11"/>
        <v>0</v>
      </c>
    </row>
    <row r="65" spans="1:18" ht="23.25" x14ac:dyDescent="0.35">
      <c r="A65" s="1376"/>
      <c r="B65" s="1377"/>
      <c r="C65" s="1377"/>
      <c r="D65" s="654"/>
      <c r="E65" s="653"/>
      <c r="F65" s="653">
        <f t="shared" si="5"/>
        <v>0</v>
      </c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65"/>
    </row>
    <row r="66" spans="1:18" ht="23.25" x14ac:dyDescent="0.35">
      <c r="A66" s="1467" t="s">
        <v>353</v>
      </c>
      <c r="B66" s="1468"/>
      <c r="C66" s="1468"/>
      <c r="D66" s="654"/>
      <c r="E66" s="653"/>
      <c r="F66" s="653">
        <f t="shared" si="5"/>
        <v>0</v>
      </c>
      <c r="G66" s="667"/>
      <c r="H66" s="667"/>
      <c r="I66" s="667"/>
      <c r="J66" s="667"/>
      <c r="K66" s="667"/>
      <c r="L66" s="667"/>
      <c r="M66" s="667"/>
      <c r="N66" s="667"/>
      <c r="O66" s="667"/>
      <c r="P66" s="667"/>
      <c r="Q66" s="667"/>
      <c r="R66" s="657"/>
    </row>
    <row r="67" spans="1:18" ht="23.25" x14ac:dyDescent="0.35">
      <c r="A67" s="1363" t="s">
        <v>249</v>
      </c>
      <c r="B67" s="660" t="s">
        <v>352</v>
      </c>
      <c r="C67" s="659" t="s">
        <v>351</v>
      </c>
      <c r="D67" s="654" t="s">
        <v>3</v>
      </c>
      <c r="E67" s="653">
        <v>5332</v>
      </c>
      <c r="F67" s="653">
        <f t="shared" si="5"/>
        <v>11675</v>
      </c>
      <c r="G67" s="658">
        <v>8265</v>
      </c>
      <c r="H67" s="658">
        <v>1808</v>
      </c>
      <c r="I67" s="658">
        <v>1475</v>
      </c>
      <c r="J67" s="658"/>
      <c r="K67" s="658"/>
      <c r="L67" s="658"/>
      <c r="M67" s="658"/>
      <c r="N67" s="658">
        <v>127</v>
      </c>
      <c r="O67" s="666"/>
      <c r="P67" s="658"/>
      <c r="Q67" s="658"/>
      <c r="R67" s="657"/>
    </row>
    <row r="68" spans="1:18" ht="23.25" x14ac:dyDescent="0.35">
      <c r="A68" s="1363"/>
      <c r="B68" s="660"/>
      <c r="C68" s="659"/>
      <c r="D68" s="654" t="s">
        <v>225</v>
      </c>
      <c r="E68" s="653">
        <v>5332</v>
      </c>
      <c r="F68" s="653">
        <f t="shared" si="5"/>
        <v>13795</v>
      </c>
      <c r="G68" s="658">
        <f>8309+97+1536</f>
        <v>9942</v>
      </c>
      <c r="H68" s="658">
        <f>1815+21+415</f>
        <v>2251</v>
      </c>
      <c r="I68" s="658">
        <v>1475</v>
      </c>
      <c r="J68" s="658"/>
      <c r="K68" s="658"/>
      <c r="L68" s="658"/>
      <c r="M68" s="658"/>
      <c r="N68" s="658">
        <v>127</v>
      </c>
      <c r="O68" s="666"/>
      <c r="P68" s="658"/>
      <c r="Q68" s="658"/>
      <c r="R68" s="657"/>
    </row>
    <row r="69" spans="1:18" ht="23.25" x14ac:dyDescent="0.35">
      <c r="A69" s="1363"/>
      <c r="B69" s="660"/>
      <c r="C69" s="659"/>
      <c r="D69" s="654" t="s">
        <v>235</v>
      </c>
      <c r="E69" s="653">
        <v>5982</v>
      </c>
      <c r="F69" s="653">
        <f t="shared" si="5"/>
        <v>14553</v>
      </c>
      <c r="G69" s="658">
        <v>10430</v>
      </c>
      <c r="H69" s="658">
        <v>2521</v>
      </c>
      <c r="I69" s="658">
        <v>1475</v>
      </c>
      <c r="J69" s="658"/>
      <c r="K69" s="658"/>
      <c r="L69" s="658"/>
      <c r="M69" s="658"/>
      <c r="N69" s="658">
        <v>127</v>
      </c>
      <c r="O69" s="666"/>
      <c r="P69" s="658"/>
      <c r="Q69" s="658"/>
      <c r="R69" s="657"/>
    </row>
    <row r="70" spans="1:18" ht="23.25" x14ac:dyDescent="0.35">
      <c r="A70" s="1363" t="s">
        <v>249</v>
      </c>
      <c r="B70" s="660" t="s">
        <v>350</v>
      </c>
      <c r="C70" s="659" t="s">
        <v>316</v>
      </c>
      <c r="D70" s="654" t="s">
        <v>3</v>
      </c>
      <c r="E70" s="653">
        <v>6343</v>
      </c>
      <c r="F70" s="653">
        <f t="shared" si="5"/>
        <v>0</v>
      </c>
      <c r="G70" s="658"/>
      <c r="H70" s="658"/>
      <c r="I70" s="658"/>
      <c r="J70" s="658"/>
      <c r="K70" s="658"/>
      <c r="L70" s="658"/>
      <c r="M70" s="658"/>
      <c r="N70" s="658"/>
      <c r="O70" s="658"/>
      <c r="P70" s="658"/>
      <c r="Q70" s="658"/>
      <c r="R70" s="657"/>
    </row>
    <row r="71" spans="1:18" ht="23.25" x14ac:dyDescent="0.35">
      <c r="A71" s="1363"/>
      <c r="B71" s="660"/>
      <c r="C71" s="659"/>
      <c r="D71" s="654" t="s">
        <v>225</v>
      </c>
      <c r="E71" s="653">
        <f>6394+118+1951</f>
        <v>8463</v>
      </c>
      <c r="F71" s="653">
        <f t="shared" si="5"/>
        <v>0</v>
      </c>
      <c r="G71" s="658"/>
      <c r="H71" s="658"/>
      <c r="I71" s="658"/>
      <c r="J71" s="658"/>
      <c r="K71" s="658"/>
      <c r="L71" s="658"/>
      <c r="M71" s="658"/>
      <c r="N71" s="658"/>
      <c r="O71" s="658"/>
      <c r="P71" s="658"/>
      <c r="Q71" s="658"/>
      <c r="R71" s="657"/>
    </row>
    <row r="72" spans="1:18" ht="23.25" x14ac:dyDescent="0.35">
      <c r="A72" s="1363"/>
      <c r="B72" s="660"/>
      <c r="C72" s="659"/>
      <c r="D72" s="654" t="s">
        <v>235</v>
      </c>
      <c r="E72" s="653">
        <v>8571</v>
      </c>
      <c r="F72" s="653">
        <f t="shared" si="5"/>
        <v>0</v>
      </c>
      <c r="G72" s="658"/>
      <c r="H72" s="658"/>
      <c r="I72" s="658"/>
      <c r="J72" s="658"/>
      <c r="K72" s="658"/>
      <c r="L72" s="658"/>
      <c r="M72" s="658"/>
      <c r="N72" s="658"/>
      <c r="O72" s="658"/>
      <c r="P72" s="658"/>
      <c r="Q72" s="658"/>
      <c r="R72" s="657"/>
    </row>
    <row r="73" spans="1:18" ht="23.25" x14ac:dyDescent="0.35">
      <c r="A73" s="1467" t="s">
        <v>349</v>
      </c>
      <c r="B73" s="1468"/>
      <c r="C73" s="1468"/>
      <c r="D73" s="654" t="s">
        <v>3</v>
      </c>
      <c r="E73" s="653">
        <f>(E67+E70)</f>
        <v>11675</v>
      </c>
      <c r="F73" s="653">
        <f t="shared" si="5"/>
        <v>11675</v>
      </c>
      <c r="G73" s="653">
        <f t="shared" ref="G73:R73" si="12">(G67+G70)</f>
        <v>8265</v>
      </c>
      <c r="H73" s="653">
        <f t="shared" si="12"/>
        <v>1808</v>
      </c>
      <c r="I73" s="653">
        <f t="shared" si="12"/>
        <v>1475</v>
      </c>
      <c r="J73" s="653">
        <f t="shared" si="12"/>
        <v>0</v>
      </c>
      <c r="K73" s="653">
        <f t="shared" si="12"/>
        <v>0</v>
      </c>
      <c r="L73" s="653">
        <f t="shared" si="12"/>
        <v>0</v>
      </c>
      <c r="M73" s="653">
        <f t="shared" si="12"/>
        <v>0</v>
      </c>
      <c r="N73" s="653">
        <f t="shared" si="12"/>
        <v>127</v>
      </c>
      <c r="O73" s="653">
        <f t="shared" si="12"/>
        <v>0</v>
      </c>
      <c r="P73" s="653">
        <f t="shared" si="12"/>
        <v>0</v>
      </c>
      <c r="Q73" s="653">
        <f t="shared" si="12"/>
        <v>0</v>
      </c>
      <c r="R73" s="665">
        <f t="shared" si="12"/>
        <v>0</v>
      </c>
    </row>
    <row r="74" spans="1:18" ht="23.25" x14ac:dyDescent="0.35">
      <c r="A74" s="1458"/>
      <c r="B74" s="1459"/>
      <c r="C74" s="1459"/>
      <c r="D74" s="654" t="s">
        <v>225</v>
      </c>
      <c r="E74" s="653">
        <f>(E68+E71)</f>
        <v>13795</v>
      </c>
      <c r="F74" s="653">
        <f t="shared" si="5"/>
        <v>13795</v>
      </c>
      <c r="G74" s="653">
        <f t="shared" ref="G74:R74" si="13">(G68+G71)</f>
        <v>9942</v>
      </c>
      <c r="H74" s="653">
        <f t="shared" si="13"/>
        <v>2251</v>
      </c>
      <c r="I74" s="653">
        <f t="shared" si="13"/>
        <v>1475</v>
      </c>
      <c r="J74" s="653">
        <f t="shared" si="13"/>
        <v>0</v>
      </c>
      <c r="K74" s="653">
        <f t="shared" si="13"/>
        <v>0</v>
      </c>
      <c r="L74" s="653">
        <f t="shared" si="13"/>
        <v>0</v>
      </c>
      <c r="M74" s="653">
        <f t="shared" si="13"/>
        <v>0</v>
      </c>
      <c r="N74" s="653">
        <f t="shared" si="13"/>
        <v>127</v>
      </c>
      <c r="O74" s="653">
        <f t="shared" si="13"/>
        <v>0</v>
      </c>
      <c r="P74" s="653">
        <f t="shared" si="13"/>
        <v>0</v>
      </c>
      <c r="Q74" s="653">
        <f t="shared" si="13"/>
        <v>0</v>
      </c>
      <c r="R74" s="665">
        <f t="shared" si="13"/>
        <v>0</v>
      </c>
    </row>
    <row r="75" spans="1:18" ht="23.25" x14ac:dyDescent="0.35">
      <c r="A75" s="1374"/>
      <c r="B75" s="1375"/>
      <c r="C75" s="1375"/>
      <c r="D75" s="654" t="s">
        <v>235</v>
      </c>
      <c r="E75" s="653">
        <f>(E69+E72)</f>
        <v>14553</v>
      </c>
      <c r="F75" s="653">
        <f t="shared" si="5"/>
        <v>14553</v>
      </c>
      <c r="G75" s="653">
        <f t="shared" ref="G75:R75" si="14">(G69+G72)</f>
        <v>10430</v>
      </c>
      <c r="H75" s="653">
        <f t="shared" si="14"/>
        <v>2521</v>
      </c>
      <c r="I75" s="653">
        <f t="shared" si="14"/>
        <v>1475</v>
      </c>
      <c r="J75" s="653">
        <f t="shared" si="14"/>
        <v>0</v>
      </c>
      <c r="K75" s="653">
        <f t="shared" si="14"/>
        <v>0</v>
      </c>
      <c r="L75" s="653">
        <f t="shared" si="14"/>
        <v>0</v>
      </c>
      <c r="M75" s="653">
        <f t="shared" si="14"/>
        <v>0</v>
      </c>
      <c r="N75" s="653">
        <f t="shared" si="14"/>
        <v>127</v>
      </c>
      <c r="O75" s="653">
        <f t="shared" si="14"/>
        <v>0</v>
      </c>
      <c r="P75" s="653">
        <f t="shared" si="14"/>
        <v>0</v>
      </c>
      <c r="Q75" s="653">
        <f t="shared" si="14"/>
        <v>0</v>
      </c>
      <c r="R75" s="665">
        <f t="shared" si="14"/>
        <v>0</v>
      </c>
    </row>
    <row r="76" spans="1:18" ht="23.25" x14ac:dyDescent="0.35">
      <c r="A76" s="1376"/>
      <c r="B76" s="1377"/>
      <c r="C76" s="1377"/>
      <c r="D76" s="654"/>
      <c r="E76" s="653"/>
      <c r="F76" s="653">
        <f t="shared" si="5"/>
        <v>0</v>
      </c>
      <c r="G76" s="653"/>
      <c r="H76" s="653"/>
      <c r="I76" s="653"/>
      <c r="J76" s="653"/>
      <c r="K76" s="653"/>
      <c r="L76" s="653"/>
      <c r="M76" s="653"/>
      <c r="N76" s="653"/>
      <c r="O76" s="653"/>
      <c r="P76" s="653"/>
      <c r="Q76" s="653"/>
      <c r="R76" s="665"/>
    </row>
    <row r="77" spans="1:18" ht="22.5" x14ac:dyDescent="0.3">
      <c r="A77" s="1467" t="s">
        <v>348</v>
      </c>
      <c r="B77" s="1468"/>
      <c r="C77" s="1468"/>
      <c r="D77" s="655" t="s">
        <v>3</v>
      </c>
      <c r="E77" s="653">
        <f>SUM(E51+E62+E73)</f>
        <v>64136</v>
      </c>
      <c r="F77" s="653">
        <f t="shared" si="5"/>
        <v>64136</v>
      </c>
      <c r="G77" s="653">
        <f t="shared" ref="G77:R77" si="15">SUM(G51+G62+G73)</f>
        <v>45525</v>
      </c>
      <c r="H77" s="653">
        <f t="shared" si="15"/>
        <v>10340</v>
      </c>
      <c r="I77" s="653">
        <f t="shared" si="15"/>
        <v>7544</v>
      </c>
      <c r="J77" s="653">
        <f t="shared" si="15"/>
        <v>0</v>
      </c>
      <c r="K77" s="653">
        <f t="shared" si="15"/>
        <v>0</v>
      </c>
      <c r="L77" s="653">
        <f t="shared" si="15"/>
        <v>0</v>
      </c>
      <c r="M77" s="653">
        <f t="shared" si="15"/>
        <v>0</v>
      </c>
      <c r="N77" s="653">
        <f t="shared" si="15"/>
        <v>727</v>
      </c>
      <c r="O77" s="653">
        <f t="shared" si="15"/>
        <v>0</v>
      </c>
      <c r="P77" s="653">
        <f t="shared" si="15"/>
        <v>0</v>
      </c>
      <c r="Q77" s="653">
        <f t="shared" si="15"/>
        <v>0</v>
      </c>
      <c r="R77" s="665">
        <f t="shared" si="15"/>
        <v>0</v>
      </c>
    </row>
    <row r="78" spans="1:18" ht="23.25" x14ac:dyDescent="0.35">
      <c r="A78" s="1458"/>
      <c r="B78" s="1459"/>
      <c r="C78" s="1459"/>
      <c r="D78" s="654" t="s">
        <v>225</v>
      </c>
      <c r="E78" s="653">
        <f>SUM(E52+E63+E74)</f>
        <v>70215</v>
      </c>
      <c r="F78" s="653">
        <f t="shared" si="5"/>
        <v>70215</v>
      </c>
      <c r="G78" s="653">
        <f t="shared" ref="G78:R78" si="16">SUM(G52+G63+G74)</f>
        <v>51300</v>
      </c>
      <c r="H78" s="653">
        <f t="shared" si="16"/>
        <v>10776</v>
      </c>
      <c r="I78" s="653">
        <f t="shared" si="16"/>
        <v>7412</v>
      </c>
      <c r="J78" s="653">
        <f t="shared" si="16"/>
        <v>0</v>
      </c>
      <c r="K78" s="653">
        <f t="shared" si="16"/>
        <v>0</v>
      </c>
      <c r="L78" s="653">
        <f t="shared" si="16"/>
        <v>0</v>
      </c>
      <c r="M78" s="653">
        <f t="shared" si="16"/>
        <v>0</v>
      </c>
      <c r="N78" s="653">
        <f t="shared" si="16"/>
        <v>727</v>
      </c>
      <c r="O78" s="653">
        <f t="shared" si="16"/>
        <v>0</v>
      </c>
      <c r="P78" s="653">
        <f t="shared" si="16"/>
        <v>0</v>
      </c>
      <c r="Q78" s="653">
        <f t="shared" si="16"/>
        <v>0</v>
      </c>
      <c r="R78" s="665">
        <f t="shared" si="16"/>
        <v>0</v>
      </c>
    </row>
    <row r="79" spans="1:18" ht="23.25" x14ac:dyDescent="0.35">
      <c r="A79" s="1363"/>
      <c r="B79" s="660"/>
      <c r="C79" s="659"/>
      <c r="D79" s="654" t="s">
        <v>235</v>
      </c>
      <c r="E79" s="653">
        <f>SUM(E53+E64+E75)</f>
        <v>71506</v>
      </c>
      <c r="F79" s="653">
        <f t="shared" si="5"/>
        <v>71506</v>
      </c>
      <c r="G79" s="653">
        <f t="shared" ref="G79:R79" si="17">SUM(G53+G64+G75)</f>
        <v>50839</v>
      </c>
      <c r="H79" s="653">
        <f t="shared" si="17"/>
        <v>12588</v>
      </c>
      <c r="I79" s="653">
        <f t="shared" si="17"/>
        <v>7412</v>
      </c>
      <c r="J79" s="653">
        <f t="shared" si="17"/>
        <v>0</v>
      </c>
      <c r="K79" s="653">
        <f t="shared" si="17"/>
        <v>0</v>
      </c>
      <c r="L79" s="653">
        <f t="shared" si="17"/>
        <v>0</v>
      </c>
      <c r="M79" s="653">
        <f t="shared" si="17"/>
        <v>0</v>
      </c>
      <c r="N79" s="653">
        <f t="shared" si="17"/>
        <v>667</v>
      </c>
      <c r="O79" s="653">
        <f t="shared" si="17"/>
        <v>0</v>
      </c>
      <c r="P79" s="653">
        <f t="shared" si="17"/>
        <v>0</v>
      </c>
      <c r="Q79" s="653">
        <f t="shared" si="17"/>
        <v>0</v>
      </c>
      <c r="R79" s="665">
        <f t="shared" si="17"/>
        <v>0</v>
      </c>
    </row>
    <row r="80" spans="1:18" ht="23.25" x14ac:dyDescent="0.35">
      <c r="A80" s="1363"/>
      <c r="B80" s="660"/>
      <c r="C80" s="659"/>
      <c r="D80" s="655"/>
      <c r="E80" s="653"/>
      <c r="F80" s="653">
        <f t="shared" si="5"/>
        <v>0</v>
      </c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57"/>
    </row>
    <row r="81" spans="1:18" ht="22.5" x14ac:dyDescent="0.3">
      <c r="A81" s="1471" t="s">
        <v>347</v>
      </c>
      <c r="B81" s="1472"/>
      <c r="C81" s="1472"/>
      <c r="D81" s="664" t="s">
        <v>3</v>
      </c>
      <c r="E81" s="661">
        <f>SUM(E40+E77)</f>
        <v>564837</v>
      </c>
      <c r="F81" s="653">
        <f t="shared" si="5"/>
        <v>564837</v>
      </c>
      <c r="G81" s="661">
        <f t="shared" ref="G81:R81" si="18">SUM(G40+G77)</f>
        <v>346703</v>
      </c>
      <c r="H81" s="661">
        <f t="shared" si="18"/>
        <v>93119</v>
      </c>
      <c r="I81" s="661">
        <f t="shared" si="18"/>
        <v>114238</v>
      </c>
      <c r="J81" s="661">
        <f t="shared" si="18"/>
        <v>0</v>
      </c>
      <c r="K81" s="661">
        <f t="shared" si="18"/>
        <v>0</v>
      </c>
      <c r="L81" s="661">
        <f t="shared" si="18"/>
        <v>0</v>
      </c>
      <c r="M81" s="661">
        <f t="shared" si="18"/>
        <v>0</v>
      </c>
      <c r="N81" s="661">
        <f t="shared" si="18"/>
        <v>9577</v>
      </c>
      <c r="O81" s="661">
        <f t="shared" si="18"/>
        <v>1200</v>
      </c>
      <c r="P81" s="661">
        <f t="shared" si="18"/>
        <v>0</v>
      </c>
      <c r="Q81" s="661">
        <f t="shared" si="18"/>
        <v>0</v>
      </c>
      <c r="R81" s="662">
        <f t="shared" si="18"/>
        <v>0</v>
      </c>
    </row>
    <row r="82" spans="1:18" ht="23.25" x14ac:dyDescent="0.35">
      <c r="A82" s="1458"/>
      <c r="B82" s="1459"/>
      <c r="C82" s="1459"/>
      <c r="D82" s="663" t="s">
        <v>225</v>
      </c>
      <c r="E82" s="661">
        <f>SUM(E41+E78)</f>
        <v>596766</v>
      </c>
      <c r="F82" s="661">
        <f>SUM(F41+F78)</f>
        <v>596766</v>
      </c>
      <c r="G82" s="661">
        <f t="shared" ref="G82:R82" si="19">SUM(G41+G78)</f>
        <v>369451</v>
      </c>
      <c r="H82" s="661">
        <f t="shared" si="19"/>
        <v>98050</v>
      </c>
      <c r="I82" s="661">
        <f t="shared" si="19"/>
        <v>117988</v>
      </c>
      <c r="J82" s="661">
        <f t="shared" si="19"/>
        <v>0</v>
      </c>
      <c r="K82" s="661">
        <f t="shared" si="19"/>
        <v>0</v>
      </c>
      <c r="L82" s="661">
        <f t="shared" si="19"/>
        <v>0</v>
      </c>
      <c r="M82" s="661">
        <f t="shared" si="19"/>
        <v>0</v>
      </c>
      <c r="N82" s="661">
        <f t="shared" si="19"/>
        <v>10077</v>
      </c>
      <c r="O82" s="661">
        <f t="shared" si="19"/>
        <v>1200</v>
      </c>
      <c r="P82" s="661">
        <f t="shared" si="19"/>
        <v>0</v>
      </c>
      <c r="Q82" s="661">
        <f t="shared" si="19"/>
        <v>0</v>
      </c>
      <c r="R82" s="662">
        <f t="shared" si="19"/>
        <v>0</v>
      </c>
    </row>
    <row r="83" spans="1:18" ht="23.25" x14ac:dyDescent="0.35">
      <c r="A83" s="1363"/>
      <c r="B83" s="660"/>
      <c r="C83" s="659"/>
      <c r="D83" s="654" t="s">
        <v>235</v>
      </c>
      <c r="E83" s="661">
        <f>SUM(E42+E79)</f>
        <v>601078</v>
      </c>
      <c r="F83" s="661">
        <f>SUM(F42+F79)</f>
        <v>601078</v>
      </c>
      <c r="G83" s="661">
        <f t="shared" ref="G83:R83" si="20">SUM(G42+G79)</f>
        <v>371239</v>
      </c>
      <c r="H83" s="661">
        <f t="shared" si="20"/>
        <v>99924</v>
      </c>
      <c r="I83" s="661">
        <f t="shared" si="20"/>
        <v>118698</v>
      </c>
      <c r="J83" s="661">
        <f t="shared" si="20"/>
        <v>0</v>
      </c>
      <c r="K83" s="661">
        <f t="shared" si="20"/>
        <v>0</v>
      </c>
      <c r="L83" s="661">
        <f t="shared" si="20"/>
        <v>0</v>
      </c>
      <c r="M83" s="661">
        <f t="shared" si="20"/>
        <v>0</v>
      </c>
      <c r="N83" s="661">
        <f t="shared" si="20"/>
        <v>10017</v>
      </c>
      <c r="O83" s="661">
        <f t="shared" si="20"/>
        <v>1200</v>
      </c>
      <c r="P83" s="661">
        <f t="shared" si="20"/>
        <v>0</v>
      </c>
      <c r="Q83" s="661">
        <f t="shared" si="20"/>
        <v>0</v>
      </c>
      <c r="R83" s="662">
        <f t="shared" si="20"/>
        <v>0</v>
      </c>
    </row>
    <row r="84" spans="1:18" ht="23.25" x14ac:dyDescent="0.35">
      <c r="A84" s="1363"/>
      <c r="B84" s="660"/>
      <c r="C84" s="659"/>
      <c r="D84" s="655"/>
      <c r="E84" s="653"/>
      <c r="F84" s="653">
        <f t="shared" ref="F84:F94" si="21">SUM(G84:R84)</f>
        <v>0</v>
      </c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57"/>
    </row>
    <row r="85" spans="1:18" ht="22.5" x14ac:dyDescent="0.3">
      <c r="A85" s="1467" t="s">
        <v>243</v>
      </c>
      <c r="B85" s="1468"/>
      <c r="C85" s="1468"/>
      <c r="D85" s="655" t="s">
        <v>3</v>
      </c>
      <c r="E85" s="651">
        <f>+E89+E93</f>
        <v>564837</v>
      </c>
      <c r="F85" s="653">
        <f t="shared" si="21"/>
        <v>8692</v>
      </c>
      <c r="G85" s="651">
        <f t="shared" ref="G85:R85" si="22">G37</f>
        <v>6705</v>
      </c>
      <c r="H85" s="651">
        <f t="shared" si="22"/>
        <v>1854</v>
      </c>
      <c r="I85" s="651">
        <f t="shared" si="22"/>
        <v>133</v>
      </c>
      <c r="J85" s="651">
        <f t="shared" si="22"/>
        <v>0</v>
      </c>
      <c r="K85" s="651">
        <f t="shared" si="22"/>
        <v>0</v>
      </c>
      <c r="L85" s="651">
        <f t="shared" si="22"/>
        <v>0</v>
      </c>
      <c r="M85" s="651">
        <f t="shared" si="22"/>
        <v>0</v>
      </c>
      <c r="N85" s="651">
        <f t="shared" si="22"/>
        <v>0</v>
      </c>
      <c r="O85" s="651">
        <f t="shared" si="22"/>
        <v>0</v>
      </c>
      <c r="P85" s="651">
        <f t="shared" si="22"/>
        <v>0</v>
      </c>
      <c r="Q85" s="651">
        <f t="shared" si="22"/>
        <v>0</v>
      </c>
      <c r="R85" s="652">
        <f t="shared" si="22"/>
        <v>0</v>
      </c>
    </row>
    <row r="86" spans="1:18" ht="23.25" x14ac:dyDescent="0.35">
      <c r="A86" s="1458"/>
      <c r="B86" s="1459"/>
      <c r="C86" s="1459"/>
      <c r="D86" s="654" t="s">
        <v>225</v>
      </c>
      <c r="E86" s="651">
        <f>+E90+E94</f>
        <v>596766</v>
      </c>
      <c r="F86" s="653">
        <f t="shared" si="21"/>
        <v>8692</v>
      </c>
      <c r="G86" s="651">
        <f t="shared" ref="G86:R86" si="23">G38</f>
        <v>6705</v>
      </c>
      <c r="H86" s="651">
        <f t="shared" si="23"/>
        <v>1854</v>
      </c>
      <c r="I86" s="651">
        <f t="shared" si="23"/>
        <v>133</v>
      </c>
      <c r="J86" s="651">
        <f t="shared" si="23"/>
        <v>0</v>
      </c>
      <c r="K86" s="651">
        <f t="shared" si="23"/>
        <v>0</v>
      </c>
      <c r="L86" s="651">
        <f t="shared" si="23"/>
        <v>0</v>
      </c>
      <c r="M86" s="651">
        <f t="shared" si="23"/>
        <v>0</v>
      </c>
      <c r="N86" s="651">
        <f t="shared" si="23"/>
        <v>0</v>
      </c>
      <c r="O86" s="651">
        <f t="shared" si="23"/>
        <v>0</v>
      </c>
      <c r="P86" s="651">
        <f t="shared" si="23"/>
        <v>0</v>
      </c>
      <c r="Q86" s="651">
        <f t="shared" si="23"/>
        <v>0</v>
      </c>
      <c r="R86" s="652">
        <f t="shared" si="23"/>
        <v>0</v>
      </c>
    </row>
    <row r="87" spans="1:18" ht="23.25" x14ac:dyDescent="0.35">
      <c r="A87" s="1363"/>
      <c r="B87" s="655"/>
      <c r="C87" s="655"/>
      <c r="D87" s="654" t="s">
        <v>235</v>
      </c>
      <c r="E87" s="651">
        <f>+E91+E95</f>
        <v>600478</v>
      </c>
      <c r="F87" s="653">
        <f t="shared" si="21"/>
        <v>8692</v>
      </c>
      <c r="G87" s="651">
        <f t="shared" ref="G87:R87" si="24">G39</f>
        <v>6705</v>
      </c>
      <c r="H87" s="651">
        <f t="shared" si="24"/>
        <v>1854</v>
      </c>
      <c r="I87" s="651">
        <f t="shared" si="24"/>
        <v>133</v>
      </c>
      <c r="J87" s="651">
        <f t="shared" si="24"/>
        <v>0</v>
      </c>
      <c r="K87" s="651">
        <f t="shared" si="24"/>
        <v>0</v>
      </c>
      <c r="L87" s="651">
        <f t="shared" si="24"/>
        <v>0</v>
      </c>
      <c r="M87" s="651">
        <f t="shared" si="24"/>
        <v>0</v>
      </c>
      <c r="N87" s="651">
        <f t="shared" si="24"/>
        <v>0</v>
      </c>
      <c r="O87" s="651">
        <f t="shared" si="24"/>
        <v>0</v>
      </c>
      <c r="P87" s="651">
        <f t="shared" si="24"/>
        <v>0</v>
      </c>
      <c r="Q87" s="651">
        <f t="shared" si="24"/>
        <v>0</v>
      </c>
      <c r="R87" s="652">
        <f t="shared" si="24"/>
        <v>0</v>
      </c>
    </row>
    <row r="88" spans="1:18" ht="23.25" x14ac:dyDescent="0.35">
      <c r="A88" s="1363"/>
      <c r="B88" s="655"/>
      <c r="C88" s="655"/>
      <c r="D88" s="655"/>
      <c r="E88" s="651"/>
      <c r="F88" s="653">
        <f t="shared" si="21"/>
        <v>0</v>
      </c>
      <c r="G88" s="651"/>
      <c r="H88" s="651"/>
      <c r="I88" s="651"/>
      <c r="J88" s="651"/>
      <c r="K88" s="651"/>
      <c r="L88" s="651"/>
      <c r="M88" s="651"/>
      <c r="N88" s="651"/>
      <c r="O88" s="651"/>
      <c r="P88" s="651"/>
      <c r="Q88" s="651"/>
      <c r="R88" s="652"/>
    </row>
    <row r="89" spans="1:18" ht="22.5" x14ac:dyDescent="0.3">
      <c r="A89" s="1467" t="s">
        <v>242</v>
      </c>
      <c r="B89" s="1468"/>
      <c r="C89" s="1468"/>
      <c r="D89" s="655" t="s">
        <v>3</v>
      </c>
      <c r="E89" s="651">
        <f>E31+E25</f>
        <v>600</v>
      </c>
      <c r="F89" s="653">
        <f t="shared" si="21"/>
        <v>23495</v>
      </c>
      <c r="G89" s="651">
        <f t="shared" ref="G89:R89" si="25">G31+G25</f>
        <v>13827</v>
      </c>
      <c r="H89" s="651">
        <f t="shared" si="25"/>
        <v>3691</v>
      </c>
      <c r="I89" s="651">
        <f t="shared" si="25"/>
        <v>4777</v>
      </c>
      <c r="J89" s="651">
        <f t="shared" si="25"/>
        <v>0</v>
      </c>
      <c r="K89" s="651">
        <f t="shared" si="25"/>
        <v>0</v>
      </c>
      <c r="L89" s="651">
        <f t="shared" si="25"/>
        <v>0</v>
      </c>
      <c r="M89" s="651">
        <f t="shared" si="25"/>
        <v>0</v>
      </c>
      <c r="N89" s="651">
        <f t="shared" si="25"/>
        <v>0</v>
      </c>
      <c r="O89" s="651">
        <f t="shared" si="25"/>
        <v>1200</v>
      </c>
      <c r="P89" s="651">
        <f t="shared" si="25"/>
        <v>0</v>
      </c>
      <c r="Q89" s="651">
        <f t="shared" si="25"/>
        <v>0</v>
      </c>
      <c r="R89" s="652">
        <f t="shared" si="25"/>
        <v>0</v>
      </c>
    </row>
    <row r="90" spans="1:18" ht="23.25" x14ac:dyDescent="0.35">
      <c r="A90" s="1458"/>
      <c r="B90" s="1459"/>
      <c r="C90" s="1459"/>
      <c r="D90" s="654" t="s">
        <v>225</v>
      </c>
      <c r="E90" s="651">
        <f>E32+E26</f>
        <v>600</v>
      </c>
      <c r="F90" s="653">
        <f t="shared" si="21"/>
        <v>21387</v>
      </c>
      <c r="G90" s="651">
        <f t="shared" ref="G90:R90" si="26">G32+G26</f>
        <v>12309</v>
      </c>
      <c r="H90" s="651">
        <f t="shared" si="26"/>
        <v>3401</v>
      </c>
      <c r="I90" s="651">
        <f t="shared" si="26"/>
        <v>4477</v>
      </c>
      <c r="J90" s="651">
        <f t="shared" si="26"/>
        <v>0</v>
      </c>
      <c r="K90" s="651">
        <f t="shared" si="26"/>
        <v>0</v>
      </c>
      <c r="L90" s="651">
        <f t="shared" si="26"/>
        <v>0</v>
      </c>
      <c r="M90" s="651">
        <f t="shared" si="26"/>
        <v>0</v>
      </c>
      <c r="N90" s="651">
        <f t="shared" si="26"/>
        <v>0</v>
      </c>
      <c r="O90" s="651">
        <f t="shared" si="26"/>
        <v>1200</v>
      </c>
      <c r="P90" s="651">
        <f t="shared" si="26"/>
        <v>0</v>
      </c>
      <c r="Q90" s="651">
        <f t="shared" si="26"/>
        <v>0</v>
      </c>
      <c r="R90" s="652">
        <f t="shared" si="26"/>
        <v>0</v>
      </c>
    </row>
    <row r="91" spans="1:18" ht="23.25" x14ac:dyDescent="0.35">
      <c r="A91" s="1363"/>
      <c r="B91" s="655"/>
      <c r="C91" s="655"/>
      <c r="D91" s="654" t="s">
        <v>235</v>
      </c>
      <c r="E91" s="651"/>
      <c r="F91" s="653">
        <f t="shared" si="21"/>
        <v>21387</v>
      </c>
      <c r="G91" s="651">
        <f t="shared" ref="G91:R91" si="27">G33+G27</f>
        <v>12309</v>
      </c>
      <c r="H91" s="651">
        <f t="shared" si="27"/>
        <v>3401</v>
      </c>
      <c r="I91" s="651">
        <f t="shared" si="27"/>
        <v>4477</v>
      </c>
      <c r="J91" s="651">
        <f t="shared" si="27"/>
        <v>0</v>
      </c>
      <c r="K91" s="651">
        <f t="shared" si="27"/>
        <v>0</v>
      </c>
      <c r="L91" s="651">
        <f t="shared" si="27"/>
        <v>0</v>
      </c>
      <c r="M91" s="651">
        <f t="shared" si="27"/>
        <v>0</v>
      </c>
      <c r="N91" s="651">
        <f t="shared" si="27"/>
        <v>0</v>
      </c>
      <c r="O91" s="651">
        <f t="shared" si="27"/>
        <v>1200</v>
      </c>
      <c r="P91" s="651">
        <f t="shared" si="27"/>
        <v>0</v>
      </c>
      <c r="Q91" s="651">
        <f t="shared" si="27"/>
        <v>0</v>
      </c>
      <c r="R91" s="652">
        <f t="shared" si="27"/>
        <v>0</v>
      </c>
    </row>
    <row r="92" spans="1:18" ht="23.25" x14ac:dyDescent="0.35">
      <c r="A92" s="1364"/>
      <c r="B92" s="656"/>
      <c r="C92" s="655"/>
      <c r="D92" s="655"/>
      <c r="E92" s="651"/>
      <c r="F92" s="653">
        <f t="shared" si="21"/>
        <v>0</v>
      </c>
      <c r="G92" s="651"/>
      <c r="H92" s="651"/>
      <c r="I92" s="651"/>
      <c r="J92" s="651"/>
      <c r="K92" s="651"/>
      <c r="L92" s="651"/>
      <c r="M92" s="651"/>
      <c r="N92" s="651"/>
      <c r="O92" s="651"/>
      <c r="P92" s="651"/>
      <c r="Q92" s="651"/>
      <c r="R92" s="652"/>
    </row>
    <row r="93" spans="1:18" ht="22.5" x14ac:dyDescent="0.3">
      <c r="A93" s="1469" t="s">
        <v>346</v>
      </c>
      <c r="B93" s="1470"/>
      <c r="C93" s="655"/>
      <c r="D93" s="655" t="s">
        <v>3</v>
      </c>
      <c r="E93" s="651">
        <v>564237</v>
      </c>
      <c r="F93" s="653">
        <f t="shared" si="21"/>
        <v>532650</v>
      </c>
      <c r="G93" s="651">
        <v>326171</v>
      </c>
      <c r="H93" s="651">
        <v>87574</v>
      </c>
      <c r="I93" s="651">
        <f t="shared" ref="I93:R93" si="28">I10+I13+I19+I22+I28+I34+I45+I48+I56+I59+I67+I70</f>
        <v>109328</v>
      </c>
      <c r="J93" s="651">
        <f t="shared" si="28"/>
        <v>0</v>
      </c>
      <c r="K93" s="651">
        <f t="shared" si="28"/>
        <v>0</v>
      </c>
      <c r="L93" s="651">
        <f t="shared" si="28"/>
        <v>0</v>
      </c>
      <c r="M93" s="651">
        <f t="shared" si="28"/>
        <v>0</v>
      </c>
      <c r="N93" s="651">
        <f t="shared" si="28"/>
        <v>9577</v>
      </c>
      <c r="O93" s="651">
        <f t="shared" si="28"/>
        <v>0</v>
      </c>
      <c r="P93" s="651">
        <f t="shared" si="28"/>
        <v>0</v>
      </c>
      <c r="Q93" s="651">
        <f t="shared" si="28"/>
        <v>0</v>
      </c>
      <c r="R93" s="652">
        <f t="shared" si="28"/>
        <v>0</v>
      </c>
    </row>
    <row r="94" spans="1:18" ht="23.25" x14ac:dyDescent="0.35">
      <c r="A94" s="1458"/>
      <c r="B94" s="1459"/>
      <c r="C94" s="1459"/>
      <c r="D94" s="654" t="s">
        <v>225</v>
      </c>
      <c r="E94" s="651">
        <f>E11+E14+E20+E23+E29+E35+E46+E49+E57+E60+E68+E71</f>
        <v>596166</v>
      </c>
      <c r="F94" s="653">
        <f t="shared" si="21"/>
        <v>566687</v>
      </c>
      <c r="G94" s="651">
        <f>G11+G14+G20+G23+G29+G35+G46+G49+G57+G60+G68+G71</f>
        <v>350437</v>
      </c>
      <c r="H94" s="651">
        <f>H11+H14+H20+H23+H29+H35+H46+H49+H57+H60+H68+H71</f>
        <v>92795</v>
      </c>
      <c r="I94" s="651">
        <f t="shared" ref="I94:R94" si="29">I11+I14+I20+I23+I29+I35+I46+I49+I57+I60+I68+I71</f>
        <v>113378</v>
      </c>
      <c r="J94" s="651">
        <f t="shared" si="29"/>
        <v>0</v>
      </c>
      <c r="K94" s="651">
        <f t="shared" si="29"/>
        <v>0</v>
      </c>
      <c r="L94" s="651">
        <f t="shared" si="29"/>
        <v>0</v>
      </c>
      <c r="M94" s="651">
        <f t="shared" si="29"/>
        <v>0</v>
      </c>
      <c r="N94" s="651">
        <f t="shared" si="29"/>
        <v>10077</v>
      </c>
      <c r="O94" s="651">
        <f t="shared" si="29"/>
        <v>0</v>
      </c>
      <c r="P94" s="651">
        <f t="shared" si="29"/>
        <v>0</v>
      </c>
      <c r="Q94" s="651">
        <f t="shared" si="29"/>
        <v>0</v>
      </c>
      <c r="R94" s="652">
        <f t="shared" si="29"/>
        <v>0</v>
      </c>
    </row>
    <row r="95" spans="1:18" ht="24" thickBot="1" x14ac:dyDescent="0.4">
      <c r="A95" s="1365"/>
      <c r="B95" s="1366"/>
      <c r="C95" s="1366"/>
      <c r="D95" s="1367" t="s">
        <v>235</v>
      </c>
      <c r="E95" s="1368">
        <f t="shared" ref="E95:R95" si="30">E12+E15+E21+E24+E30+E36+E47+E50+E58+E61+E69+E72+E18</f>
        <v>600478</v>
      </c>
      <c r="F95" s="1368">
        <f t="shared" si="30"/>
        <v>570999</v>
      </c>
      <c r="G95" s="1368">
        <f t="shared" si="30"/>
        <v>352225</v>
      </c>
      <c r="H95" s="1368">
        <f t="shared" si="30"/>
        <v>94669</v>
      </c>
      <c r="I95" s="1368">
        <f t="shared" si="30"/>
        <v>114088</v>
      </c>
      <c r="J95" s="1368">
        <f t="shared" si="30"/>
        <v>0</v>
      </c>
      <c r="K95" s="1368">
        <f t="shared" si="30"/>
        <v>0</v>
      </c>
      <c r="L95" s="1368">
        <f t="shared" si="30"/>
        <v>0</v>
      </c>
      <c r="M95" s="1368">
        <f t="shared" si="30"/>
        <v>0</v>
      </c>
      <c r="N95" s="1368">
        <f t="shared" si="30"/>
        <v>10017</v>
      </c>
      <c r="O95" s="1368">
        <f t="shared" si="30"/>
        <v>0</v>
      </c>
      <c r="P95" s="1368">
        <f t="shared" si="30"/>
        <v>0</v>
      </c>
      <c r="Q95" s="1368">
        <f t="shared" si="30"/>
        <v>0</v>
      </c>
      <c r="R95" s="1369">
        <f t="shared" si="30"/>
        <v>0</v>
      </c>
    </row>
    <row r="100" spans="7:20" s="1380" customFormat="1" ht="18" x14ac:dyDescent="0.25"/>
    <row r="103" spans="7:20" s="1380" customFormat="1" ht="18" x14ac:dyDescent="0.25">
      <c r="G103" s="1381"/>
      <c r="H103" s="1381"/>
      <c r="I103" s="1381"/>
      <c r="J103" s="1381"/>
      <c r="K103" s="1381"/>
      <c r="L103" s="1381"/>
      <c r="M103" s="1381"/>
      <c r="N103" s="1381"/>
      <c r="O103" s="1381"/>
      <c r="P103" s="1381"/>
      <c r="Q103" s="1381"/>
      <c r="R103" s="1381"/>
      <c r="S103" s="1381"/>
      <c r="T103" s="1381"/>
    </row>
  </sheetData>
  <mergeCells count="42">
    <mergeCell ref="A90:C90"/>
    <mergeCell ref="A93:B93"/>
    <mergeCell ref="A94:C94"/>
    <mergeCell ref="A89:C89"/>
    <mergeCell ref="A74:C74"/>
    <mergeCell ref="A77:C77"/>
    <mergeCell ref="A78:C78"/>
    <mergeCell ref="A81:C81"/>
    <mergeCell ref="A82:C82"/>
    <mergeCell ref="A85:C85"/>
    <mergeCell ref="A86:C86"/>
    <mergeCell ref="A73:C73"/>
    <mergeCell ref="A41:C41"/>
    <mergeCell ref="A44:C44"/>
    <mergeCell ref="A51:C51"/>
    <mergeCell ref="A52:C52"/>
    <mergeCell ref="A55:C55"/>
    <mergeCell ref="A62:C62"/>
    <mergeCell ref="A63:C63"/>
    <mergeCell ref="A66:C66"/>
    <mergeCell ref="A40:C40"/>
    <mergeCell ref="I7:I8"/>
    <mergeCell ref="J7:J8"/>
    <mergeCell ref="K7:K8"/>
    <mergeCell ref="L7:L8"/>
    <mergeCell ref="A9:C9"/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O7:O8"/>
    <mergeCell ref="P7:P8"/>
    <mergeCell ref="Q7:Q8"/>
    <mergeCell ref="R7:R8"/>
    <mergeCell ref="M7:M8"/>
    <mergeCell ref="N7:N8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&amp;L5.melléklet a 28/2017.(XII.21.)önkormányzati rendelethez
5.melléklet a 24/2016.(XII.16.)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8"/>
  <sheetViews>
    <sheetView topLeftCell="H1" zoomScale="70" zoomScaleNormal="70" workbookViewId="0">
      <pane ySplit="3" topLeftCell="A43" activePane="bottomLeft" state="frozen"/>
      <selection pane="bottomLeft" activeCell="T1" sqref="T1"/>
    </sheetView>
  </sheetViews>
  <sheetFormatPr defaultColWidth="6.7109375" defaultRowHeight="21.75" customHeight="1" x14ac:dyDescent="0.2"/>
  <cols>
    <col min="1" max="1" width="32.140625" style="1261" customWidth="1"/>
    <col min="2" max="2" width="20" style="1261" customWidth="1"/>
    <col min="3" max="3" width="18.140625" style="1261" customWidth="1"/>
    <col min="4" max="4" width="20.5703125" style="1261" customWidth="1"/>
    <col min="5" max="5" width="18.140625" style="1261" customWidth="1"/>
    <col min="6" max="6" width="17.7109375" style="1261" customWidth="1"/>
    <col min="7" max="7" width="11.42578125" style="1261" customWidth="1"/>
    <col min="8" max="8" width="11" style="1261" customWidth="1"/>
    <col min="9" max="9" width="14.42578125" style="1261" customWidth="1"/>
    <col min="10" max="10" width="15.28515625" style="1261" customWidth="1"/>
    <col min="11" max="11" width="14.42578125" style="1261" customWidth="1"/>
    <col min="12" max="12" width="19.85546875" style="1261" customWidth="1"/>
    <col min="13" max="13" width="14.42578125" style="1261" customWidth="1"/>
    <col min="14" max="14" width="19.140625" style="1261" customWidth="1"/>
    <col min="15" max="15" width="20.42578125" style="1261" customWidth="1"/>
    <col min="16" max="16" width="18.140625" style="1261" customWidth="1"/>
    <col min="17" max="17" width="14.5703125" style="1261" customWidth="1"/>
    <col min="18" max="18" width="20.5703125" style="1261" customWidth="1"/>
    <col min="19" max="19" width="15.85546875" style="1261" customWidth="1"/>
    <col min="20" max="20" width="24.5703125" style="1261" customWidth="1"/>
    <col min="21" max="21" width="57.28515625" style="1261" customWidth="1"/>
    <col min="22" max="22" width="21.85546875" style="1261" customWidth="1"/>
    <col min="23" max="23" width="24" style="1261" customWidth="1"/>
    <col min="24" max="24" width="31.85546875" style="1261" customWidth="1"/>
    <col min="25" max="25" width="27.140625" style="1261" customWidth="1"/>
    <col min="26" max="26" width="18.85546875" style="1261" customWidth="1"/>
    <col min="27" max="27" width="21.140625" style="1261" customWidth="1"/>
    <col min="28" max="28" width="18.7109375" style="1261" customWidth="1"/>
    <col min="29" max="29" width="21.140625" style="1261" customWidth="1"/>
    <col min="30" max="30" width="0" style="1261" hidden="1" customWidth="1"/>
    <col min="31" max="31" width="6.140625" style="1261" customWidth="1"/>
    <col min="32" max="253" width="9.140625" style="1261" customWidth="1"/>
    <col min="254" max="254" width="25.85546875" style="1261" customWidth="1"/>
    <col min="255" max="255" width="10" style="1261" customWidth="1"/>
    <col min="256" max="16384" width="6.7109375" style="1261"/>
  </cols>
  <sheetData>
    <row r="1" spans="1:31" ht="54" customHeight="1" thickBot="1" x14ac:dyDescent="0.25">
      <c r="A1" s="1489" t="s">
        <v>977</v>
      </c>
      <c r="B1" s="1490"/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  <c r="R1" s="1490"/>
      <c r="S1" s="1491"/>
      <c r="T1" s="1370" t="s">
        <v>739</v>
      </c>
      <c r="U1" s="1493" t="s">
        <v>976</v>
      </c>
      <c r="V1" s="1494"/>
      <c r="W1" s="1494"/>
      <c r="X1" s="1494"/>
      <c r="Y1" s="1494"/>
      <c r="Z1" s="1494"/>
      <c r="AA1" s="1494"/>
      <c r="AB1" s="1494"/>
      <c r="AC1" s="1370" t="s">
        <v>739</v>
      </c>
    </row>
    <row r="2" spans="1:31" ht="21.75" customHeight="1" x14ac:dyDescent="0.2">
      <c r="A2" s="1492" t="s">
        <v>965</v>
      </c>
      <c r="B2" s="1484" t="s">
        <v>964</v>
      </c>
      <c r="C2" s="1284"/>
      <c r="D2" s="1484" t="s">
        <v>975</v>
      </c>
      <c r="E2" s="1484" t="s">
        <v>974</v>
      </c>
      <c r="F2" s="1484" t="s">
        <v>973</v>
      </c>
      <c r="G2" s="1484" t="s">
        <v>27</v>
      </c>
      <c r="H2" s="1484" t="s">
        <v>972</v>
      </c>
      <c r="I2" s="1484" t="s">
        <v>971</v>
      </c>
      <c r="J2" s="1484" t="s">
        <v>970</v>
      </c>
      <c r="K2" s="1484" t="s">
        <v>969</v>
      </c>
      <c r="L2" s="1484"/>
      <c r="M2" s="1484" t="s">
        <v>968</v>
      </c>
      <c r="N2" s="1484"/>
      <c r="O2" s="1484" t="s">
        <v>32</v>
      </c>
      <c r="P2" s="1484" t="s">
        <v>967</v>
      </c>
      <c r="Q2" s="1484"/>
      <c r="R2" s="1284"/>
      <c r="S2" s="1286"/>
      <c r="T2" s="1482" t="s">
        <v>966</v>
      </c>
      <c r="U2" s="1492" t="s">
        <v>965</v>
      </c>
      <c r="V2" s="1484" t="s">
        <v>964</v>
      </c>
      <c r="W2" s="1284"/>
      <c r="X2" s="1497" t="s">
        <v>343</v>
      </c>
      <c r="Y2" s="1497"/>
      <c r="Z2" s="1497"/>
      <c r="AA2" s="1497" t="s">
        <v>342</v>
      </c>
      <c r="AB2" s="1497"/>
      <c r="AC2" s="1482" t="s">
        <v>963</v>
      </c>
    </row>
    <row r="3" spans="1:31" ht="51.75" customHeight="1" thickBot="1" x14ac:dyDescent="0.25">
      <c r="A3" s="1495"/>
      <c r="B3" s="1485"/>
      <c r="C3" s="1285"/>
      <c r="D3" s="1485"/>
      <c r="E3" s="1485"/>
      <c r="F3" s="1485"/>
      <c r="G3" s="1485"/>
      <c r="H3" s="1485"/>
      <c r="I3" s="1485"/>
      <c r="J3" s="1485"/>
      <c r="K3" s="1285" t="s">
        <v>962</v>
      </c>
      <c r="L3" s="1285" t="s">
        <v>961</v>
      </c>
      <c r="M3" s="1285" t="s">
        <v>962</v>
      </c>
      <c r="N3" s="1285" t="s">
        <v>961</v>
      </c>
      <c r="O3" s="1485"/>
      <c r="P3" s="1285" t="s">
        <v>960</v>
      </c>
      <c r="Q3" s="1285" t="s">
        <v>959</v>
      </c>
      <c r="R3" s="1285" t="s">
        <v>958</v>
      </c>
      <c r="S3" s="1287" t="s">
        <v>957</v>
      </c>
      <c r="T3" s="1487"/>
      <c r="U3" s="1475"/>
      <c r="V3" s="1496"/>
      <c r="W3" s="1270"/>
      <c r="X3" s="1270" t="s">
        <v>956</v>
      </c>
      <c r="Y3" s="1270" t="s">
        <v>955</v>
      </c>
      <c r="Z3" s="1270" t="s">
        <v>339</v>
      </c>
      <c r="AA3" s="1270" t="s">
        <v>62</v>
      </c>
      <c r="AB3" s="1270" t="s">
        <v>63</v>
      </c>
      <c r="AC3" s="1483"/>
      <c r="AE3" s="1269"/>
    </row>
    <row r="4" spans="1:31" ht="21.75" customHeight="1" x14ac:dyDescent="0.2">
      <c r="A4" s="1486" t="s">
        <v>954</v>
      </c>
      <c r="B4" s="1488" t="s">
        <v>246</v>
      </c>
      <c r="C4" s="1281" t="s">
        <v>3</v>
      </c>
      <c r="D4" s="1281"/>
      <c r="E4" s="1282">
        <v>585</v>
      </c>
      <c r="F4" s="1282"/>
      <c r="G4" s="1282">
        <v>1500</v>
      </c>
      <c r="H4" s="1282">
        <v>563</v>
      </c>
      <c r="I4" s="1282"/>
      <c r="J4" s="1282"/>
      <c r="K4" s="1282">
        <v>0</v>
      </c>
      <c r="L4" s="1282">
        <v>0</v>
      </c>
      <c r="M4" s="1282">
        <v>0</v>
      </c>
      <c r="N4" s="1282">
        <v>0</v>
      </c>
      <c r="O4" s="1282">
        <v>0</v>
      </c>
      <c r="P4" s="1282">
        <v>0</v>
      </c>
      <c r="Q4" s="1282">
        <v>0</v>
      </c>
      <c r="R4" s="1282">
        <v>91700</v>
      </c>
      <c r="S4" s="1288">
        <v>2648</v>
      </c>
      <c r="T4" s="1283">
        <v>94348</v>
      </c>
      <c r="U4" s="1474" t="s">
        <v>954</v>
      </c>
      <c r="V4" s="1473" t="s">
        <v>246</v>
      </c>
      <c r="W4" s="1271" t="s">
        <v>3</v>
      </c>
      <c r="X4" s="1272">
        <v>66512</v>
      </c>
      <c r="Y4" s="1272">
        <v>14546</v>
      </c>
      <c r="Z4" s="1272">
        <v>12407</v>
      </c>
      <c r="AA4" s="1272">
        <v>883</v>
      </c>
      <c r="AB4" s="1272">
        <v>0</v>
      </c>
      <c r="AC4" s="1273">
        <v>94348</v>
      </c>
      <c r="AE4" s="1267"/>
    </row>
    <row r="5" spans="1:31" ht="21.75" customHeight="1" x14ac:dyDescent="0.2">
      <c r="A5" s="1474"/>
      <c r="B5" s="1473"/>
      <c r="C5" s="1271" t="s">
        <v>215</v>
      </c>
      <c r="D5" s="1271"/>
      <c r="E5" s="1272">
        <v>585</v>
      </c>
      <c r="F5" s="1272"/>
      <c r="G5" s="1272">
        <v>1500</v>
      </c>
      <c r="H5" s="1272">
        <v>563</v>
      </c>
      <c r="I5" s="1272"/>
      <c r="J5" s="1272"/>
      <c r="K5" s="1272"/>
      <c r="L5" s="1272"/>
      <c r="M5" s="1272"/>
      <c r="N5" s="1272"/>
      <c r="O5" s="1272"/>
      <c r="P5" s="1272"/>
      <c r="Q5" s="1272"/>
      <c r="R5" s="1272">
        <f>AC5-S5</f>
        <v>94795</v>
      </c>
      <c r="S5" s="1289">
        <f>E5+G5+H5</f>
        <v>2648</v>
      </c>
      <c r="T5" s="1273">
        <f>SUM(R5:S5)</f>
        <v>97443</v>
      </c>
      <c r="U5" s="1474"/>
      <c r="V5" s="1473"/>
      <c r="W5" s="1271" t="s">
        <v>215</v>
      </c>
      <c r="X5" s="1272">
        <f>66512+47+708+50+1241</f>
        <v>68558</v>
      </c>
      <c r="Y5" s="1272">
        <f>14546+9+156+11+273</f>
        <v>14995</v>
      </c>
      <c r="Z5" s="1272">
        <f>12407+600</f>
        <v>13007</v>
      </c>
      <c r="AA5" s="1272">
        <v>883</v>
      </c>
      <c r="AB5" s="1272"/>
      <c r="AC5" s="1273">
        <f>SUM(X5:AB5)</f>
        <v>97443</v>
      </c>
      <c r="AE5" s="1267"/>
    </row>
    <row r="6" spans="1:31" ht="21.75" customHeight="1" x14ac:dyDescent="0.2">
      <c r="A6" s="1474"/>
      <c r="B6" s="1473"/>
      <c r="C6" s="1271" t="s">
        <v>924</v>
      </c>
      <c r="D6" s="1271"/>
      <c r="E6" s="1272">
        <v>585</v>
      </c>
      <c r="F6" s="1272"/>
      <c r="G6" s="1272">
        <v>1500</v>
      </c>
      <c r="H6" s="1272">
        <v>563</v>
      </c>
      <c r="I6" s="1272"/>
      <c r="J6" s="1272"/>
      <c r="K6" s="1272"/>
      <c r="L6" s="1272"/>
      <c r="M6" s="1272"/>
      <c r="N6" s="1272"/>
      <c r="O6" s="1272">
        <v>11</v>
      </c>
      <c r="P6" s="1272"/>
      <c r="Q6" s="1272">
        <v>28</v>
      </c>
      <c r="R6" s="1272">
        <f>AC6-S6</f>
        <v>96399</v>
      </c>
      <c r="S6" s="1289">
        <f>E6+G6+H6+O6+D6+F6+I6+J6+K6+L6+M6+N6+Q6</f>
        <v>2687</v>
      </c>
      <c r="T6" s="1273">
        <f>SUM(R6:S6)</f>
        <v>99086</v>
      </c>
      <c r="U6" s="1474"/>
      <c r="V6" s="1473"/>
      <c r="W6" s="1271" t="s">
        <v>924</v>
      </c>
      <c r="X6" s="1272">
        <v>68638</v>
      </c>
      <c r="Y6" s="1272">
        <f>14546+9+156+11+273+17</f>
        <v>15012</v>
      </c>
      <c r="Z6" s="1272">
        <f>12407+600+190+28+800+293</f>
        <v>14318</v>
      </c>
      <c r="AA6" s="1272">
        <f>883+11+224</f>
        <v>1118</v>
      </c>
      <c r="AB6" s="1272"/>
      <c r="AC6" s="1273">
        <f>SUM(X6:AB6)</f>
        <v>99086</v>
      </c>
      <c r="AE6" s="1267"/>
    </row>
    <row r="7" spans="1:31" ht="21.75" customHeight="1" x14ac:dyDescent="0.2">
      <c r="A7" s="1474"/>
      <c r="B7" s="1473"/>
      <c r="C7" s="1271" t="s">
        <v>936</v>
      </c>
      <c r="D7" s="1271"/>
      <c r="E7" s="1272">
        <v>585</v>
      </c>
      <c r="F7" s="1272"/>
      <c r="G7" s="1272">
        <v>1500</v>
      </c>
      <c r="H7" s="1272">
        <v>563</v>
      </c>
      <c r="I7" s="1272"/>
      <c r="J7" s="1272"/>
      <c r="K7" s="1272"/>
      <c r="L7" s="1272"/>
      <c r="M7" s="1272"/>
      <c r="N7" s="1272"/>
      <c r="O7" s="1272">
        <v>11</v>
      </c>
      <c r="P7" s="1272"/>
      <c r="Q7" s="1272">
        <v>28</v>
      </c>
      <c r="R7" s="1272">
        <f>AC7-S7</f>
        <v>97252</v>
      </c>
      <c r="S7" s="1289">
        <f>E7+G7+H7+O7+D7+F7+I7+J7+K7+L7+M7+N7+Q7</f>
        <v>2687</v>
      </c>
      <c r="T7" s="1273">
        <f>SUM(R7:S7)</f>
        <v>99939</v>
      </c>
      <c r="U7" s="1474"/>
      <c r="V7" s="1473"/>
      <c r="W7" s="1271" t="s">
        <v>772</v>
      </c>
      <c r="X7" s="1272">
        <f>68638+57-500+16+577</f>
        <v>68788</v>
      </c>
      <c r="Y7" s="1272">
        <f>14546+9+156+11+273+17+12-110+4+127</f>
        <v>15045</v>
      </c>
      <c r="Z7" s="1272">
        <f>12407+600+190+28+800+293+610+60</f>
        <v>14988</v>
      </c>
      <c r="AA7" s="1272">
        <f>883+11+224</f>
        <v>1118</v>
      </c>
      <c r="AB7" s="1272"/>
      <c r="AC7" s="1273">
        <f>SUM(X7:AB7)</f>
        <v>99939</v>
      </c>
      <c r="AE7" s="1267"/>
    </row>
    <row r="8" spans="1:31" ht="21.75" customHeight="1" x14ac:dyDescent="0.2">
      <c r="A8" s="1474" t="s">
        <v>953</v>
      </c>
      <c r="B8" s="1473" t="s">
        <v>246</v>
      </c>
      <c r="C8" s="1271" t="s">
        <v>3</v>
      </c>
      <c r="D8" s="1271"/>
      <c r="E8" s="1272">
        <v>48</v>
      </c>
      <c r="F8" s="1272"/>
      <c r="G8" s="1272">
        <v>302</v>
      </c>
      <c r="H8" s="1272">
        <v>95</v>
      </c>
      <c r="I8" s="1272"/>
      <c r="J8" s="1272"/>
      <c r="K8" s="1272">
        <v>0</v>
      </c>
      <c r="L8" s="1272">
        <v>0</v>
      </c>
      <c r="M8" s="1272">
        <v>0</v>
      </c>
      <c r="N8" s="1272">
        <v>0</v>
      </c>
      <c r="O8" s="1272">
        <v>0</v>
      </c>
      <c r="P8" s="1272">
        <v>0</v>
      </c>
      <c r="Q8" s="1272">
        <v>0</v>
      </c>
      <c r="R8" s="1272">
        <v>32521</v>
      </c>
      <c r="S8" s="1289">
        <v>445</v>
      </c>
      <c r="T8" s="1273">
        <v>32966</v>
      </c>
      <c r="U8" s="1474" t="s">
        <v>953</v>
      </c>
      <c r="V8" s="1473" t="s">
        <v>246</v>
      </c>
      <c r="W8" s="1271" t="s">
        <v>3</v>
      </c>
      <c r="X8" s="1272">
        <v>22022</v>
      </c>
      <c r="Y8" s="1272">
        <v>4795</v>
      </c>
      <c r="Z8" s="1272">
        <v>5649</v>
      </c>
      <c r="AA8" s="1272">
        <v>0</v>
      </c>
      <c r="AB8" s="1272">
        <v>500</v>
      </c>
      <c r="AC8" s="1273">
        <v>32966</v>
      </c>
      <c r="AE8" s="1267"/>
    </row>
    <row r="9" spans="1:31" ht="21.75" customHeight="1" x14ac:dyDescent="0.2">
      <c r="A9" s="1474"/>
      <c r="B9" s="1473"/>
      <c r="C9" s="1271" t="s">
        <v>215</v>
      </c>
      <c r="D9" s="1271"/>
      <c r="E9" s="1272">
        <v>48</v>
      </c>
      <c r="F9" s="1272"/>
      <c r="G9" s="1272">
        <v>302</v>
      </c>
      <c r="H9" s="1272">
        <v>95</v>
      </c>
      <c r="I9" s="1272"/>
      <c r="J9" s="1272"/>
      <c r="K9" s="1272"/>
      <c r="L9" s="1272"/>
      <c r="M9" s="1272"/>
      <c r="N9" s="1272"/>
      <c r="O9" s="1272"/>
      <c r="P9" s="1272"/>
      <c r="Q9" s="1272"/>
      <c r="R9" s="1272">
        <f>AC9-S9</f>
        <v>33760</v>
      </c>
      <c r="S9" s="1289">
        <f>E9+G9+H9</f>
        <v>445</v>
      </c>
      <c r="T9" s="1273">
        <f>SUM(R9:S9)</f>
        <v>34205</v>
      </c>
      <c r="U9" s="1474"/>
      <c r="V9" s="1473"/>
      <c r="W9" s="1271" t="s">
        <v>215</v>
      </c>
      <c r="X9" s="1272">
        <f>22022+581</f>
        <v>22603</v>
      </c>
      <c r="Y9" s="1272">
        <f>4795+128</f>
        <v>4923</v>
      </c>
      <c r="Z9" s="1272">
        <f>5649+530</f>
        <v>6179</v>
      </c>
      <c r="AA9" s="1272">
        <v>0</v>
      </c>
      <c r="AB9" s="1272">
        <v>500</v>
      </c>
      <c r="AC9" s="1273">
        <f>SUM(X9:AB9)</f>
        <v>34205</v>
      </c>
      <c r="AE9" s="1267"/>
    </row>
    <row r="10" spans="1:31" ht="21.75" customHeight="1" x14ac:dyDescent="0.2">
      <c r="A10" s="1474"/>
      <c r="B10" s="1473"/>
      <c r="C10" s="1271" t="s">
        <v>924</v>
      </c>
      <c r="D10" s="1271"/>
      <c r="E10" s="1272">
        <v>48</v>
      </c>
      <c r="F10" s="1272"/>
      <c r="G10" s="1272">
        <v>302</v>
      </c>
      <c r="H10" s="1272">
        <v>95</v>
      </c>
      <c r="I10" s="1272"/>
      <c r="J10" s="1272"/>
      <c r="K10" s="1272"/>
      <c r="L10" s="1272"/>
      <c r="M10" s="1272"/>
      <c r="N10" s="1272"/>
      <c r="O10" s="1272"/>
      <c r="P10" s="1272"/>
      <c r="Q10" s="1272"/>
      <c r="R10" s="1272">
        <f>AC10-S10</f>
        <v>34884</v>
      </c>
      <c r="S10" s="1289">
        <f>E10+G10+H10+O10+D10+F10+I10+J10+K10+L10+M10+N10+Q10</f>
        <v>445</v>
      </c>
      <c r="T10" s="1273">
        <f>SUM(R10:S10)</f>
        <v>35329</v>
      </c>
      <c r="U10" s="1474"/>
      <c r="V10" s="1473"/>
      <c r="W10" s="1271" t="s">
        <v>924</v>
      </c>
      <c r="X10" s="1272">
        <f>22022+581</f>
        <v>22603</v>
      </c>
      <c r="Y10" s="1272">
        <f>4795+128</f>
        <v>4923</v>
      </c>
      <c r="Z10" s="1272">
        <f>5649+530+100+807+117</f>
        <v>7203</v>
      </c>
      <c r="AA10" s="1272">
        <v>100</v>
      </c>
      <c r="AB10" s="1272">
        <v>500</v>
      </c>
      <c r="AC10" s="1273">
        <f>SUM(X10:AB10)</f>
        <v>35329</v>
      </c>
      <c r="AE10" s="1267"/>
    </row>
    <row r="11" spans="1:31" ht="21.75" customHeight="1" x14ac:dyDescent="0.2">
      <c r="A11" s="1474"/>
      <c r="B11" s="1473"/>
      <c r="C11" s="1271" t="s">
        <v>936</v>
      </c>
      <c r="D11" s="1271"/>
      <c r="E11" s="1272">
        <v>48</v>
      </c>
      <c r="F11" s="1272"/>
      <c r="G11" s="1272">
        <v>302</v>
      </c>
      <c r="H11" s="1272">
        <v>95</v>
      </c>
      <c r="I11" s="1272"/>
      <c r="J11" s="1272"/>
      <c r="K11" s="1272"/>
      <c r="L11" s="1272"/>
      <c r="M11" s="1272"/>
      <c r="N11" s="1272"/>
      <c r="O11" s="1272"/>
      <c r="P11" s="1272"/>
      <c r="Q11" s="1272"/>
      <c r="R11" s="1272">
        <f>AC11-S11</f>
        <v>35145</v>
      </c>
      <c r="S11" s="1289">
        <f>E11+G11+H11+O11+D11+F11+I11+J11+K11+L11+M11+N11+Q11</f>
        <v>445</v>
      </c>
      <c r="T11" s="1273">
        <f>SUM(R11:S11)</f>
        <v>35590</v>
      </c>
      <c r="U11" s="1474"/>
      <c r="V11" s="1473"/>
      <c r="W11" s="1271" t="s">
        <v>772</v>
      </c>
      <c r="X11" s="1272">
        <f>22022+581-107+192</f>
        <v>22688</v>
      </c>
      <c r="Y11" s="1272">
        <f>4795+128+107+42</f>
        <v>5072</v>
      </c>
      <c r="Z11" s="1272">
        <f>5649+530+100+807+117+27</f>
        <v>7230</v>
      </c>
      <c r="AA11" s="1272">
        <v>100</v>
      </c>
      <c r="AB11" s="1272">
        <v>500</v>
      </c>
      <c r="AC11" s="1273">
        <f>SUM(X11:AB11)</f>
        <v>35590</v>
      </c>
      <c r="AE11" s="1267"/>
    </row>
    <row r="12" spans="1:31" ht="21.75" customHeight="1" x14ac:dyDescent="0.2">
      <c r="A12" s="1474" t="s">
        <v>952</v>
      </c>
      <c r="B12" s="1473" t="s">
        <v>246</v>
      </c>
      <c r="C12" s="1271" t="s">
        <v>3</v>
      </c>
      <c r="D12" s="1271"/>
      <c r="E12" s="1272">
        <v>324</v>
      </c>
      <c r="F12" s="1272"/>
      <c r="G12" s="1272">
        <v>1774</v>
      </c>
      <c r="H12" s="1272">
        <v>566</v>
      </c>
      <c r="I12" s="1272"/>
      <c r="J12" s="1272"/>
      <c r="K12" s="1272">
        <v>0</v>
      </c>
      <c r="L12" s="1272">
        <v>0</v>
      </c>
      <c r="M12" s="1272">
        <v>0</v>
      </c>
      <c r="N12" s="1272">
        <v>0</v>
      </c>
      <c r="O12" s="1272">
        <v>0</v>
      </c>
      <c r="P12" s="1272">
        <v>0</v>
      </c>
      <c r="Q12" s="1272">
        <v>0</v>
      </c>
      <c r="R12" s="1272">
        <v>75364</v>
      </c>
      <c r="S12" s="1289">
        <v>2664</v>
      </c>
      <c r="T12" s="1273">
        <v>78028</v>
      </c>
      <c r="U12" s="1474" t="s">
        <v>952</v>
      </c>
      <c r="V12" s="1473" t="s">
        <v>246</v>
      </c>
      <c r="W12" s="1271" t="s">
        <v>3</v>
      </c>
      <c r="X12" s="1272">
        <v>55004</v>
      </c>
      <c r="Y12" s="1272">
        <v>12019</v>
      </c>
      <c r="Z12" s="1272">
        <v>10405</v>
      </c>
      <c r="AA12" s="1272">
        <v>0</v>
      </c>
      <c r="AB12" s="1272">
        <v>600</v>
      </c>
      <c r="AC12" s="1273">
        <v>78028</v>
      </c>
      <c r="AE12" s="1267"/>
    </row>
    <row r="13" spans="1:31" ht="21.75" customHeight="1" x14ac:dyDescent="0.2">
      <c r="A13" s="1474"/>
      <c r="B13" s="1473"/>
      <c r="C13" s="1271" t="s">
        <v>215</v>
      </c>
      <c r="D13" s="1271"/>
      <c r="E13" s="1272">
        <v>324</v>
      </c>
      <c r="F13" s="1272"/>
      <c r="G13" s="1272">
        <v>1774</v>
      </c>
      <c r="H13" s="1272">
        <v>566</v>
      </c>
      <c r="I13" s="1272"/>
      <c r="J13" s="1272"/>
      <c r="K13" s="1272"/>
      <c r="L13" s="1272"/>
      <c r="M13" s="1272"/>
      <c r="N13" s="1272"/>
      <c r="O13" s="1272"/>
      <c r="P13" s="1272"/>
      <c r="Q13" s="1272"/>
      <c r="R13" s="1272">
        <f>AC13-S13</f>
        <v>77759</v>
      </c>
      <c r="S13" s="1289">
        <f>E13+G13+H13</f>
        <v>2664</v>
      </c>
      <c r="T13" s="1273">
        <f>SUM(R13:S13)</f>
        <v>80423</v>
      </c>
      <c r="U13" s="1474"/>
      <c r="V13" s="1473"/>
      <c r="W13" s="1271" t="s">
        <v>215</v>
      </c>
      <c r="X13" s="1272">
        <f>55004+158+1162</f>
        <v>56324</v>
      </c>
      <c r="Y13" s="1272">
        <f>12019+19+256</f>
        <v>12294</v>
      </c>
      <c r="Z13" s="1272">
        <f>10405+800-200</f>
        <v>11005</v>
      </c>
      <c r="AA13" s="1272">
        <v>200</v>
      </c>
      <c r="AB13" s="1272">
        <v>600</v>
      </c>
      <c r="AC13" s="1273">
        <f>SUM(X13:AB13)</f>
        <v>80423</v>
      </c>
      <c r="AE13" s="1267"/>
    </row>
    <row r="14" spans="1:31" ht="21.75" customHeight="1" x14ac:dyDescent="0.2">
      <c r="A14" s="1474"/>
      <c r="B14" s="1473"/>
      <c r="C14" s="1271" t="s">
        <v>924</v>
      </c>
      <c r="D14" s="1271"/>
      <c r="E14" s="1272">
        <v>324</v>
      </c>
      <c r="F14" s="1272"/>
      <c r="G14" s="1272">
        <v>1774</v>
      </c>
      <c r="H14" s="1272">
        <v>566</v>
      </c>
      <c r="I14" s="1272"/>
      <c r="J14" s="1272"/>
      <c r="K14" s="1272"/>
      <c r="L14" s="1272"/>
      <c r="M14" s="1272"/>
      <c r="N14" s="1272"/>
      <c r="O14" s="1272"/>
      <c r="P14" s="1272"/>
      <c r="Q14" s="1272"/>
      <c r="R14" s="1272">
        <f>AC14-S14</f>
        <v>79609</v>
      </c>
      <c r="S14" s="1289">
        <f>E14+G14+H14+O14+D14+F14+I14+J14+K14+L14+M14+N14+Q14</f>
        <v>2664</v>
      </c>
      <c r="T14" s="1273">
        <f>SUM(R14:S14)</f>
        <v>82273</v>
      </c>
      <c r="U14" s="1474"/>
      <c r="V14" s="1473"/>
      <c r="W14" s="1271" t="s">
        <v>924</v>
      </c>
      <c r="X14" s="1272">
        <f>55004+158+1162+249</f>
        <v>56573</v>
      </c>
      <c r="Y14" s="1272">
        <f>12019+19+256+55</f>
        <v>12349</v>
      </c>
      <c r="Z14" s="1272">
        <f>10405+800-200+1296+249+1</f>
        <v>12551</v>
      </c>
      <c r="AA14" s="1272">
        <v>200</v>
      </c>
      <c r="AB14" s="1272">
        <v>600</v>
      </c>
      <c r="AC14" s="1273">
        <f>SUM(X14:AB14)</f>
        <v>82273</v>
      </c>
      <c r="AE14" s="1267"/>
    </row>
    <row r="15" spans="1:31" ht="21.75" customHeight="1" x14ac:dyDescent="0.2">
      <c r="A15" s="1474"/>
      <c r="B15" s="1473"/>
      <c r="C15" s="1271" t="s">
        <v>936</v>
      </c>
      <c r="D15" s="1271"/>
      <c r="E15" s="1272">
        <v>324</v>
      </c>
      <c r="F15" s="1272"/>
      <c r="G15" s="1272">
        <v>1774</v>
      </c>
      <c r="H15" s="1272">
        <v>566</v>
      </c>
      <c r="I15" s="1272"/>
      <c r="J15" s="1272"/>
      <c r="K15" s="1272"/>
      <c r="L15" s="1272"/>
      <c r="M15" s="1272"/>
      <c r="N15" s="1272"/>
      <c r="O15" s="1272"/>
      <c r="P15" s="1272"/>
      <c r="Q15" s="1272"/>
      <c r="R15" s="1272">
        <f>AC15-S15</f>
        <v>80596</v>
      </c>
      <c r="S15" s="1289">
        <f>E15+G15+H15+O15+D15+F15+I15+J15+K15+L15+M15+N15+Q15</f>
        <v>2664</v>
      </c>
      <c r="T15" s="1273">
        <f>SUM(R15:S15)</f>
        <v>83260</v>
      </c>
      <c r="U15" s="1474"/>
      <c r="V15" s="1473"/>
      <c r="W15" s="1271" t="s">
        <v>772</v>
      </c>
      <c r="X15" s="1272">
        <f>55004+158+1162+249+187-220+62+512</f>
        <v>57114</v>
      </c>
      <c r="Y15" s="1272">
        <f>12019+19+256+55+41+220+13+112</f>
        <v>12735</v>
      </c>
      <c r="Z15" s="1272">
        <f>10405+800-200+1296+249+1+60</f>
        <v>12611</v>
      </c>
      <c r="AA15" s="1272">
        <f>200-1</f>
        <v>199</v>
      </c>
      <c r="AB15" s="1272">
        <f>600+1</f>
        <v>601</v>
      </c>
      <c r="AC15" s="1273">
        <f>SUM(X15:AB15)</f>
        <v>83260</v>
      </c>
      <c r="AE15" s="1267"/>
    </row>
    <row r="16" spans="1:31" ht="21.75" customHeight="1" x14ac:dyDescent="0.2">
      <c r="A16" s="1474" t="s">
        <v>951</v>
      </c>
      <c r="B16" s="1473" t="s">
        <v>246</v>
      </c>
      <c r="C16" s="1271" t="s">
        <v>3</v>
      </c>
      <c r="D16" s="1271"/>
      <c r="E16" s="1272">
        <v>1602</v>
      </c>
      <c r="F16" s="1272"/>
      <c r="G16" s="1272">
        <v>2466</v>
      </c>
      <c r="H16" s="1272">
        <v>1098</v>
      </c>
      <c r="I16" s="1272"/>
      <c r="J16" s="1272"/>
      <c r="K16" s="1272">
        <v>0</v>
      </c>
      <c r="L16" s="1272">
        <v>0</v>
      </c>
      <c r="M16" s="1272">
        <v>0</v>
      </c>
      <c r="N16" s="1272">
        <v>0</v>
      </c>
      <c r="O16" s="1272">
        <v>0</v>
      </c>
      <c r="P16" s="1272">
        <v>0</v>
      </c>
      <c r="Q16" s="1272">
        <v>0</v>
      </c>
      <c r="R16" s="1272">
        <v>100991</v>
      </c>
      <c r="S16" s="1289">
        <v>5166</v>
      </c>
      <c r="T16" s="1273">
        <v>106157</v>
      </c>
      <c r="U16" s="1474" t="s">
        <v>951</v>
      </c>
      <c r="V16" s="1473" t="s">
        <v>246</v>
      </c>
      <c r="W16" s="1271" t="s">
        <v>3</v>
      </c>
      <c r="X16" s="1272">
        <v>71459</v>
      </c>
      <c r="Y16" s="1272">
        <v>15372</v>
      </c>
      <c r="Z16" s="1272">
        <v>17849</v>
      </c>
      <c r="AA16" s="1272">
        <v>800</v>
      </c>
      <c r="AB16" s="1272">
        <v>677</v>
      </c>
      <c r="AC16" s="1273">
        <v>106157</v>
      </c>
      <c r="AE16" s="1267"/>
    </row>
    <row r="17" spans="1:31" ht="21.75" customHeight="1" x14ac:dyDescent="0.2">
      <c r="A17" s="1474"/>
      <c r="B17" s="1473"/>
      <c r="C17" s="1271" t="s">
        <v>215</v>
      </c>
      <c r="D17" s="1271"/>
      <c r="E17" s="1272">
        <v>1602</v>
      </c>
      <c r="F17" s="1272">
        <v>1298</v>
      </c>
      <c r="G17" s="1272">
        <v>2466</v>
      </c>
      <c r="H17" s="1272">
        <v>1098</v>
      </c>
      <c r="I17" s="1272"/>
      <c r="J17" s="1272"/>
      <c r="K17" s="1272"/>
      <c r="L17" s="1272"/>
      <c r="M17" s="1272"/>
      <c r="N17" s="1272"/>
      <c r="O17" s="1272"/>
      <c r="P17" s="1272"/>
      <c r="Q17" s="1272"/>
      <c r="R17" s="1272">
        <f>AC17-S17</f>
        <v>104049</v>
      </c>
      <c r="S17" s="1289">
        <f>E17+F17+G17+H17</f>
        <v>6464</v>
      </c>
      <c r="T17" s="1273">
        <f>SUM(R17:S17)</f>
        <v>110513</v>
      </c>
      <c r="U17" s="1474"/>
      <c r="V17" s="1473"/>
      <c r="W17" s="1271" t="s">
        <v>215</v>
      </c>
      <c r="X17" s="1272">
        <f>71459+13+1354</f>
        <v>72826</v>
      </c>
      <c r="Y17" s="1272">
        <f>15372+3+298</f>
        <v>15673</v>
      </c>
      <c r="Z17" s="1272">
        <f>17849+1298+1390</f>
        <v>20537</v>
      </c>
      <c r="AA17" s="1272">
        <v>800</v>
      </c>
      <c r="AB17" s="1272">
        <v>677</v>
      </c>
      <c r="AC17" s="1273">
        <f>SUM(X17:AB17)</f>
        <v>110513</v>
      </c>
      <c r="AE17" s="1267"/>
    </row>
    <row r="18" spans="1:31" ht="21.75" customHeight="1" x14ac:dyDescent="0.2">
      <c r="A18" s="1474"/>
      <c r="B18" s="1473"/>
      <c r="C18" s="1271" t="s">
        <v>924</v>
      </c>
      <c r="D18" s="1271"/>
      <c r="E18" s="1272">
        <v>1602</v>
      </c>
      <c r="F18" s="1272">
        <v>1298</v>
      </c>
      <c r="G18" s="1272">
        <v>2466</v>
      </c>
      <c r="H18" s="1272">
        <v>1098</v>
      </c>
      <c r="I18" s="1272"/>
      <c r="J18" s="1272"/>
      <c r="K18" s="1272"/>
      <c r="L18" s="1272"/>
      <c r="M18" s="1272"/>
      <c r="N18" s="1272"/>
      <c r="O18" s="1272"/>
      <c r="P18" s="1272"/>
      <c r="Q18" s="1272">
        <v>296</v>
      </c>
      <c r="R18" s="1272">
        <f>AC18-S18</f>
        <v>106499</v>
      </c>
      <c r="S18" s="1289">
        <f>E18+G18+H18+O18+D18+F18+I18+J18+K18+L18+M18+N18+Q18</f>
        <v>6760</v>
      </c>
      <c r="T18" s="1273">
        <f>SUM(R18:S18)</f>
        <v>113259</v>
      </c>
      <c r="U18" s="1474"/>
      <c r="V18" s="1473"/>
      <c r="W18" s="1271" t="s">
        <v>924</v>
      </c>
      <c r="X18" s="1272">
        <f>71459+13+1354+13</f>
        <v>72839</v>
      </c>
      <c r="Y18" s="1272">
        <f>15372+3+298+3</f>
        <v>15676</v>
      </c>
      <c r="Z18" s="1272">
        <f>17849+1298+1390+110+296+2002+322</f>
        <v>23267</v>
      </c>
      <c r="AA18" s="1272">
        <v>800</v>
      </c>
      <c r="AB18" s="1272">
        <v>677</v>
      </c>
      <c r="AC18" s="1273">
        <f>SUM(X18:AB18)</f>
        <v>113259</v>
      </c>
      <c r="AE18" s="1267"/>
    </row>
    <row r="19" spans="1:31" ht="21.75" customHeight="1" x14ac:dyDescent="0.2">
      <c r="A19" s="1474"/>
      <c r="B19" s="1473"/>
      <c r="C19" s="1271" t="s">
        <v>936</v>
      </c>
      <c r="D19" s="1271"/>
      <c r="E19" s="1272">
        <v>1602</v>
      </c>
      <c r="F19" s="1272">
        <v>1298</v>
      </c>
      <c r="G19" s="1272">
        <v>2466</v>
      </c>
      <c r="H19" s="1272">
        <v>1098</v>
      </c>
      <c r="I19" s="1272"/>
      <c r="J19" s="1272"/>
      <c r="K19" s="1272"/>
      <c r="L19" s="1272"/>
      <c r="M19" s="1272"/>
      <c r="N19" s="1272"/>
      <c r="O19" s="1272"/>
      <c r="P19" s="1272"/>
      <c r="Q19" s="1272">
        <v>296</v>
      </c>
      <c r="R19" s="1272">
        <f>AC19-S19</f>
        <v>105482</v>
      </c>
      <c r="S19" s="1289">
        <f>E19+G19+H19+O19+D19+F19+I19+J19+K19+L19+M19+N19+Q19</f>
        <v>6760</v>
      </c>
      <c r="T19" s="1273">
        <f>SUM(R19:S19)</f>
        <v>112242</v>
      </c>
      <c r="U19" s="1474"/>
      <c r="V19" s="1473"/>
      <c r="W19" s="1271" t="s">
        <v>772</v>
      </c>
      <c r="X19" s="1272">
        <f>71459+13+1354+13+9+4-895</f>
        <v>71957</v>
      </c>
      <c r="Y19" s="1272">
        <f>15372+3+298+3+2+1-198</f>
        <v>15481</v>
      </c>
      <c r="Z19" s="1272">
        <f>17849+1298+1390+110+296+2002+322+60</f>
        <v>23327</v>
      </c>
      <c r="AA19" s="1272">
        <v>800</v>
      </c>
      <c r="AB19" s="1272">
        <v>677</v>
      </c>
      <c r="AC19" s="1273">
        <f>SUM(X19:AB19)</f>
        <v>112242</v>
      </c>
      <c r="AE19" s="1267"/>
    </row>
    <row r="20" spans="1:31" ht="21.75" customHeight="1" x14ac:dyDescent="0.2">
      <c r="A20" s="1474" t="s">
        <v>950</v>
      </c>
      <c r="B20" s="1473" t="s">
        <v>246</v>
      </c>
      <c r="C20" s="1271" t="s">
        <v>3</v>
      </c>
      <c r="D20" s="1272">
        <v>0</v>
      </c>
      <c r="E20" s="1272">
        <v>293</v>
      </c>
      <c r="F20" s="1272"/>
      <c r="G20" s="1272">
        <v>1433</v>
      </c>
      <c r="H20" s="1272">
        <v>466</v>
      </c>
      <c r="I20" s="1272"/>
      <c r="J20" s="1272"/>
      <c r="K20" s="1272">
        <v>0</v>
      </c>
      <c r="L20" s="1272">
        <v>0</v>
      </c>
      <c r="M20" s="1272">
        <v>0</v>
      </c>
      <c r="N20" s="1272">
        <v>0</v>
      </c>
      <c r="O20" s="1272">
        <v>0</v>
      </c>
      <c r="P20" s="1272">
        <v>0</v>
      </c>
      <c r="Q20" s="1272">
        <v>0</v>
      </c>
      <c r="R20" s="1272">
        <v>58566</v>
      </c>
      <c r="S20" s="1289">
        <v>2192</v>
      </c>
      <c r="T20" s="1273">
        <v>60758</v>
      </c>
      <c r="U20" s="1474" t="s">
        <v>950</v>
      </c>
      <c r="V20" s="1473" t="s">
        <v>246</v>
      </c>
      <c r="W20" s="1271" t="s">
        <v>3</v>
      </c>
      <c r="X20" s="1272">
        <v>39074</v>
      </c>
      <c r="Y20" s="1272">
        <v>8461</v>
      </c>
      <c r="Z20" s="1272">
        <v>8828</v>
      </c>
      <c r="AA20" s="1272">
        <v>2595</v>
      </c>
      <c r="AB20" s="1272">
        <v>1800</v>
      </c>
      <c r="AC20" s="1273">
        <v>60758</v>
      </c>
      <c r="AE20" s="1267"/>
    </row>
    <row r="21" spans="1:31" ht="21.75" customHeight="1" x14ac:dyDescent="0.2">
      <c r="A21" s="1474"/>
      <c r="B21" s="1473"/>
      <c r="C21" s="1271" t="s">
        <v>215</v>
      </c>
      <c r="D21" s="1272"/>
      <c r="E21" s="1272">
        <v>293</v>
      </c>
      <c r="F21" s="1272"/>
      <c r="G21" s="1272">
        <v>1433</v>
      </c>
      <c r="H21" s="1272">
        <v>466</v>
      </c>
      <c r="I21" s="1272"/>
      <c r="J21" s="1272"/>
      <c r="K21" s="1272"/>
      <c r="L21" s="1272"/>
      <c r="M21" s="1272"/>
      <c r="N21" s="1272"/>
      <c r="O21" s="1272"/>
      <c r="P21" s="1272"/>
      <c r="Q21" s="1272"/>
      <c r="R21" s="1272">
        <f>AC21-S21</f>
        <v>60860</v>
      </c>
      <c r="S21" s="1289">
        <f>E21+G21+H21</f>
        <v>2192</v>
      </c>
      <c r="T21" s="1273">
        <f>SUM(R21:S21)</f>
        <v>63052</v>
      </c>
      <c r="U21" s="1474"/>
      <c r="V21" s="1473"/>
      <c r="W21" s="1271" t="s">
        <v>215</v>
      </c>
      <c r="X21" s="1272">
        <f>39074+51+774</f>
        <v>39899</v>
      </c>
      <c r="Y21" s="1272">
        <f>8461+9+170</f>
        <v>8640</v>
      </c>
      <c r="Z21" s="1272">
        <f>8828+1290</f>
        <v>10118</v>
      </c>
      <c r="AA21" s="1272">
        <v>2595</v>
      </c>
      <c r="AB21" s="1272">
        <v>1800</v>
      </c>
      <c r="AC21" s="1273">
        <f>SUM(X21:AB21)</f>
        <v>63052</v>
      </c>
      <c r="AE21" s="1267"/>
    </row>
    <row r="22" spans="1:31" ht="21.75" customHeight="1" x14ac:dyDescent="0.2">
      <c r="A22" s="1474"/>
      <c r="B22" s="1473"/>
      <c r="C22" s="1271" t="s">
        <v>924</v>
      </c>
      <c r="D22" s="1272"/>
      <c r="E22" s="1272">
        <f>293+315</f>
        <v>608</v>
      </c>
      <c r="F22" s="1272"/>
      <c r="G22" s="1272">
        <v>1433</v>
      </c>
      <c r="H22" s="1272">
        <v>466</v>
      </c>
      <c r="I22" s="1272"/>
      <c r="J22" s="1272">
        <v>120</v>
      </c>
      <c r="K22" s="1272"/>
      <c r="L22" s="1272"/>
      <c r="M22" s="1272"/>
      <c r="N22" s="1272"/>
      <c r="O22" s="1272"/>
      <c r="P22" s="1272"/>
      <c r="Q22" s="1272">
        <v>33</v>
      </c>
      <c r="R22" s="1272">
        <f>AC22-S22</f>
        <v>62861</v>
      </c>
      <c r="S22" s="1289">
        <f>E22+G22+H22+O22+D22+F22+I22+J22+K22+L22+M22+N22+Q22</f>
        <v>2660</v>
      </c>
      <c r="T22" s="1273">
        <f>SUM(R22:S22)</f>
        <v>65521</v>
      </c>
      <c r="U22" s="1474"/>
      <c r="V22" s="1473"/>
      <c r="W22" s="1271" t="s">
        <v>924</v>
      </c>
      <c r="X22" s="1272">
        <f>39074+51+774+79</f>
        <v>39978</v>
      </c>
      <c r="Y22" s="1272">
        <f>8461+9+170+18</f>
        <v>8658</v>
      </c>
      <c r="Z22" s="1272">
        <f>8828+1290+435+33+78+1650+176</f>
        <v>12490</v>
      </c>
      <c r="AA22" s="1272">
        <v>2595</v>
      </c>
      <c r="AB22" s="1272">
        <v>1800</v>
      </c>
      <c r="AC22" s="1273">
        <f>SUM(X22:AB22)</f>
        <v>65521</v>
      </c>
      <c r="AE22" s="1267"/>
    </row>
    <row r="23" spans="1:31" ht="21.75" customHeight="1" x14ac:dyDescent="0.2">
      <c r="A23" s="1474"/>
      <c r="B23" s="1473"/>
      <c r="C23" s="1271" t="s">
        <v>936</v>
      </c>
      <c r="D23" s="1272"/>
      <c r="E23" s="1272">
        <f>293+315+220</f>
        <v>828</v>
      </c>
      <c r="F23" s="1272"/>
      <c r="G23" s="1272">
        <v>1433</v>
      </c>
      <c r="H23" s="1272">
        <v>466</v>
      </c>
      <c r="I23" s="1272"/>
      <c r="J23" s="1272">
        <v>120</v>
      </c>
      <c r="K23" s="1272"/>
      <c r="L23" s="1272"/>
      <c r="M23" s="1272"/>
      <c r="N23" s="1272"/>
      <c r="O23" s="1272"/>
      <c r="P23" s="1272"/>
      <c r="Q23" s="1272">
        <v>33</v>
      </c>
      <c r="R23" s="1272">
        <f>AC23-S23</f>
        <v>63419</v>
      </c>
      <c r="S23" s="1289">
        <f>E23+G23+H23+O23+D23+F23+I23+J23+K23+L23+M23+N23+Q23</f>
        <v>2880</v>
      </c>
      <c r="T23" s="1273">
        <f>SUM(R23:S23)</f>
        <v>66299</v>
      </c>
      <c r="U23" s="1474"/>
      <c r="V23" s="1473"/>
      <c r="W23" s="1271" t="s">
        <v>772</v>
      </c>
      <c r="X23" s="1272">
        <f>39074+51+774+79+60+20+329</f>
        <v>40387</v>
      </c>
      <c r="Y23" s="1272">
        <f>8461+9+170+18+13+4+72</f>
        <v>8747</v>
      </c>
      <c r="Z23" s="1272">
        <f>8828+1290+435+33+78+1650+176+220+60</f>
        <v>12770</v>
      </c>
      <c r="AA23" s="1272">
        <v>2595</v>
      </c>
      <c r="AB23" s="1272">
        <v>1800</v>
      </c>
      <c r="AC23" s="1273">
        <f>SUM(X23:AB23)</f>
        <v>66299</v>
      </c>
      <c r="AE23" s="1267"/>
    </row>
    <row r="24" spans="1:31" ht="21.75" customHeight="1" x14ac:dyDescent="0.2">
      <c r="A24" s="1474" t="s">
        <v>949</v>
      </c>
      <c r="B24" s="1473" t="s">
        <v>246</v>
      </c>
      <c r="C24" s="1271" t="s">
        <v>3</v>
      </c>
      <c r="D24" s="1271"/>
      <c r="E24" s="1272">
        <v>110</v>
      </c>
      <c r="F24" s="1272"/>
      <c r="G24" s="1272">
        <v>1933</v>
      </c>
      <c r="H24" s="1272">
        <v>852</v>
      </c>
      <c r="I24" s="1272"/>
      <c r="J24" s="1272"/>
      <c r="K24" s="1272">
        <v>0</v>
      </c>
      <c r="L24" s="1272">
        <v>0</v>
      </c>
      <c r="M24" s="1272">
        <v>0</v>
      </c>
      <c r="N24" s="1272">
        <v>0</v>
      </c>
      <c r="O24" s="1272">
        <v>0</v>
      </c>
      <c r="P24" s="1272">
        <v>0</v>
      </c>
      <c r="Q24" s="1272">
        <v>0</v>
      </c>
      <c r="R24" s="1272">
        <v>82626</v>
      </c>
      <c r="S24" s="1289">
        <v>2895</v>
      </c>
      <c r="T24" s="1273">
        <v>85521</v>
      </c>
      <c r="U24" s="1474" t="s">
        <v>949</v>
      </c>
      <c r="V24" s="1473" t="s">
        <v>246</v>
      </c>
      <c r="W24" s="1271" t="s">
        <v>3</v>
      </c>
      <c r="X24" s="1272">
        <v>58885</v>
      </c>
      <c r="Y24" s="1272">
        <v>12868</v>
      </c>
      <c r="Z24" s="1272">
        <v>10528</v>
      </c>
      <c r="AA24" s="1272">
        <v>2140</v>
      </c>
      <c r="AB24" s="1272">
        <v>1100</v>
      </c>
      <c r="AC24" s="1273">
        <v>85521</v>
      </c>
      <c r="AE24" s="1267"/>
    </row>
    <row r="25" spans="1:31" ht="21.75" customHeight="1" x14ac:dyDescent="0.2">
      <c r="A25" s="1474"/>
      <c r="B25" s="1473"/>
      <c r="C25" s="1271" t="s">
        <v>215</v>
      </c>
      <c r="D25" s="1271"/>
      <c r="E25" s="1272">
        <v>110</v>
      </c>
      <c r="F25" s="1272"/>
      <c r="G25" s="1272">
        <v>1933</v>
      </c>
      <c r="H25" s="1272">
        <v>852</v>
      </c>
      <c r="I25" s="1272"/>
      <c r="J25" s="1272"/>
      <c r="K25" s="1272"/>
      <c r="L25" s="1272"/>
      <c r="M25" s="1272"/>
      <c r="N25" s="1272"/>
      <c r="O25" s="1272"/>
      <c r="P25" s="1272"/>
      <c r="Q25" s="1272"/>
      <c r="R25" s="1272">
        <f>AC25-S25</f>
        <v>85130</v>
      </c>
      <c r="S25" s="1289">
        <f>E25+G25+H25</f>
        <v>2895</v>
      </c>
      <c r="T25" s="1273">
        <f>SUM(R25:S25)</f>
        <v>88025</v>
      </c>
      <c r="U25" s="1474"/>
      <c r="V25" s="1473"/>
      <c r="W25" s="1271" t="s">
        <v>215</v>
      </c>
      <c r="X25" s="1272">
        <f>58885+110+1161-275</f>
        <v>59881</v>
      </c>
      <c r="Y25" s="1272">
        <f>12868+18+255-61</f>
        <v>13080</v>
      </c>
      <c r="Z25" s="1272">
        <f>10528+960+336</f>
        <v>11824</v>
      </c>
      <c r="AA25" s="1272">
        <v>2140</v>
      </c>
      <c r="AB25" s="1272">
        <v>1100</v>
      </c>
      <c r="AC25" s="1273">
        <f>SUM(X25:AB25)</f>
        <v>88025</v>
      </c>
      <c r="AE25" s="1267"/>
    </row>
    <row r="26" spans="1:31" ht="21.75" customHeight="1" x14ac:dyDescent="0.2">
      <c r="A26" s="1474"/>
      <c r="B26" s="1473"/>
      <c r="C26" s="1271" t="s">
        <v>924</v>
      </c>
      <c r="D26" s="1271"/>
      <c r="E26" s="1272">
        <v>110</v>
      </c>
      <c r="F26" s="1272"/>
      <c r="G26" s="1272">
        <v>1933</v>
      </c>
      <c r="H26" s="1272">
        <v>852</v>
      </c>
      <c r="I26" s="1272"/>
      <c r="J26" s="1272"/>
      <c r="K26" s="1272"/>
      <c r="L26" s="1272"/>
      <c r="M26" s="1272">
        <v>350</v>
      </c>
      <c r="N26" s="1272"/>
      <c r="O26" s="1272"/>
      <c r="P26" s="1272"/>
      <c r="Q26" s="1272"/>
      <c r="R26" s="1272">
        <f>AC26-S26</f>
        <v>84988</v>
      </c>
      <c r="S26" s="1289">
        <f>E26+G26+H26+O26+D26+F26+I26+J26+K26+L26+M26+N26+Q26</f>
        <v>3245</v>
      </c>
      <c r="T26" s="1273">
        <f>SUM(R26:S26)</f>
        <v>88233</v>
      </c>
      <c r="U26" s="1474"/>
      <c r="V26" s="1473"/>
      <c r="W26" s="1271" t="s">
        <v>924</v>
      </c>
      <c r="X26" s="1272">
        <f>58885+110+1161-275-2324+287+114</f>
        <v>57958</v>
      </c>
      <c r="Y26" s="1272">
        <f>12868+18+255-61-511+63+25</f>
        <v>12657</v>
      </c>
      <c r="Z26" s="1272">
        <f>10528+960+336+1992+100-807+263+263</f>
        <v>13635</v>
      </c>
      <c r="AA26" s="1272">
        <f>2140+473-100</f>
        <v>2513</v>
      </c>
      <c r="AB26" s="1272">
        <f>1100+370</f>
        <v>1470</v>
      </c>
      <c r="AC26" s="1273">
        <f>SUM(X26:AB26)</f>
        <v>88233</v>
      </c>
      <c r="AE26" s="1267"/>
    </row>
    <row r="27" spans="1:31" ht="21.75" customHeight="1" x14ac:dyDescent="0.2">
      <c r="A27" s="1474"/>
      <c r="B27" s="1473"/>
      <c r="C27" s="1271" t="s">
        <v>936</v>
      </c>
      <c r="D27" s="1271"/>
      <c r="E27" s="1272">
        <v>110</v>
      </c>
      <c r="F27" s="1272"/>
      <c r="G27" s="1272">
        <v>1933</v>
      </c>
      <c r="H27" s="1272">
        <v>852</v>
      </c>
      <c r="I27" s="1272"/>
      <c r="J27" s="1272"/>
      <c r="K27" s="1272"/>
      <c r="L27" s="1272"/>
      <c r="M27" s="1272">
        <v>350</v>
      </c>
      <c r="N27" s="1272"/>
      <c r="O27" s="1272"/>
      <c r="P27" s="1272"/>
      <c r="Q27" s="1272"/>
      <c r="R27" s="1272">
        <f>AC27-S27</f>
        <v>85757</v>
      </c>
      <c r="S27" s="1289">
        <f>E27+G27+H27+O27+D27+F27+I27+J27+K27+L27+M27+N27+Q27</f>
        <v>3245</v>
      </c>
      <c r="T27" s="1273">
        <f>SUM(R27:S27)</f>
        <v>89002</v>
      </c>
      <c r="U27" s="1474"/>
      <c r="V27" s="1473"/>
      <c r="W27" s="1271" t="s">
        <v>772</v>
      </c>
      <c r="X27" s="1272">
        <f>58885+110+1161-275-2324+287+114+85+29+467</f>
        <v>58539</v>
      </c>
      <c r="Y27" s="1272">
        <f>12868+18+255-61-511+63+25+19+6+103</f>
        <v>12785</v>
      </c>
      <c r="Z27" s="1272">
        <f>10528+960+336+1992+100-807+263+263+60</f>
        <v>13695</v>
      </c>
      <c r="AA27" s="1272">
        <f>2140+473-100</f>
        <v>2513</v>
      </c>
      <c r="AB27" s="1272">
        <f>1100+370</f>
        <v>1470</v>
      </c>
      <c r="AC27" s="1273">
        <f>SUM(X27:AB27)</f>
        <v>89002</v>
      </c>
      <c r="AE27" s="1267"/>
    </row>
    <row r="28" spans="1:31" ht="21.75" customHeight="1" x14ac:dyDescent="0.2">
      <c r="A28" s="1474" t="s">
        <v>948</v>
      </c>
      <c r="B28" s="1473" t="s">
        <v>246</v>
      </c>
      <c r="C28" s="1271" t="s">
        <v>3</v>
      </c>
      <c r="D28" s="1271"/>
      <c r="E28" s="1272">
        <v>0</v>
      </c>
      <c r="F28" s="1272"/>
      <c r="G28" s="1272">
        <v>529</v>
      </c>
      <c r="H28" s="1272">
        <v>143</v>
      </c>
      <c r="I28" s="1272"/>
      <c r="J28" s="1272"/>
      <c r="K28" s="1272">
        <v>0</v>
      </c>
      <c r="L28" s="1272">
        <v>0</v>
      </c>
      <c r="M28" s="1272">
        <v>0</v>
      </c>
      <c r="N28" s="1272">
        <v>0</v>
      </c>
      <c r="O28" s="1272">
        <v>0</v>
      </c>
      <c r="P28" s="1272">
        <v>0</v>
      </c>
      <c r="Q28" s="1272">
        <v>0</v>
      </c>
      <c r="R28" s="1272">
        <v>15892</v>
      </c>
      <c r="S28" s="1289">
        <v>672</v>
      </c>
      <c r="T28" s="1273">
        <v>16564</v>
      </c>
      <c r="U28" s="1474" t="s">
        <v>948</v>
      </c>
      <c r="V28" s="1473" t="s">
        <v>246</v>
      </c>
      <c r="W28" s="1271" t="s">
        <v>3</v>
      </c>
      <c r="X28" s="1272">
        <v>11082</v>
      </c>
      <c r="Y28" s="1272">
        <v>2438</v>
      </c>
      <c r="Z28" s="1272">
        <v>3044</v>
      </c>
      <c r="AA28" s="1272">
        <v>0</v>
      </c>
      <c r="AB28" s="1272">
        <v>0</v>
      </c>
      <c r="AC28" s="1273">
        <v>16564</v>
      </c>
      <c r="AE28" s="1267"/>
    </row>
    <row r="29" spans="1:31" ht="21.75" customHeight="1" x14ac:dyDescent="0.2">
      <c r="A29" s="1474"/>
      <c r="B29" s="1473"/>
      <c r="C29" s="1271" t="s">
        <v>215</v>
      </c>
      <c r="D29" s="1271"/>
      <c r="E29" s="1272"/>
      <c r="F29" s="1272"/>
      <c r="G29" s="1272">
        <v>529</v>
      </c>
      <c r="H29" s="1272">
        <v>143</v>
      </c>
      <c r="I29" s="1272"/>
      <c r="J29" s="1272"/>
      <c r="K29" s="1272"/>
      <c r="L29" s="1272"/>
      <c r="M29" s="1272"/>
      <c r="N29" s="1272"/>
      <c r="O29" s="1272"/>
      <c r="P29" s="1272"/>
      <c r="Q29" s="1272"/>
      <c r="R29" s="1272">
        <f>AC29-S29</f>
        <v>16707</v>
      </c>
      <c r="S29" s="1289">
        <f>G29+H29</f>
        <v>672</v>
      </c>
      <c r="T29" s="1273">
        <f>SUM(R29:S29)</f>
        <v>17379</v>
      </c>
      <c r="U29" s="1474"/>
      <c r="V29" s="1473"/>
      <c r="W29" s="1271" t="s">
        <v>215</v>
      </c>
      <c r="X29" s="1272">
        <f>11082+291</f>
        <v>11373</v>
      </c>
      <c r="Y29" s="1272">
        <f>2438+64</f>
        <v>2502</v>
      </c>
      <c r="Z29" s="1272">
        <f>3044+460-100</f>
        <v>3404</v>
      </c>
      <c r="AA29" s="1272">
        <v>100</v>
      </c>
      <c r="AB29" s="1272">
        <v>0</v>
      </c>
      <c r="AC29" s="1273">
        <f>SUM(X29:AB29)</f>
        <v>17379</v>
      </c>
      <c r="AE29" s="1267"/>
    </row>
    <row r="30" spans="1:31" ht="21.75" customHeight="1" x14ac:dyDescent="0.2">
      <c r="A30" s="1474"/>
      <c r="B30" s="1473"/>
      <c r="C30" s="1271" t="s">
        <v>924</v>
      </c>
      <c r="D30" s="1271"/>
      <c r="E30" s="1272"/>
      <c r="F30" s="1272"/>
      <c r="G30" s="1272">
        <v>529</v>
      </c>
      <c r="H30" s="1272">
        <v>143</v>
      </c>
      <c r="I30" s="1272"/>
      <c r="J30" s="1272"/>
      <c r="K30" s="1272"/>
      <c r="L30" s="1272"/>
      <c r="M30" s="1272"/>
      <c r="N30" s="1272"/>
      <c r="O30" s="1272"/>
      <c r="P30" s="1272"/>
      <c r="Q30" s="1272"/>
      <c r="R30" s="1272">
        <f>AC30-S30</f>
        <v>17399</v>
      </c>
      <c r="S30" s="1289">
        <f>E30+G30+H30+O30+D30+F30+I30+J30+K30+L30+M30+N30+Q30</f>
        <v>672</v>
      </c>
      <c r="T30" s="1273">
        <f>SUM(R30:S30)</f>
        <v>18071</v>
      </c>
      <c r="U30" s="1474"/>
      <c r="V30" s="1473"/>
      <c r="W30" s="1271" t="s">
        <v>924</v>
      </c>
      <c r="X30" s="1272">
        <f>11082+291</f>
        <v>11373</v>
      </c>
      <c r="Y30" s="1272">
        <f>2438+64</f>
        <v>2502</v>
      </c>
      <c r="Z30" s="1272">
        <f>3044+460-100+518+130+44</f>
        <v>4096</v>
      </c>
      <c r="AA30" s="1272">
        <v>100</v>
      </c>
      <c r="AB30" s="1272">
        <v>0</v>
      </c>
      <c r="AC30" s="1273">
        <f>SUM(X30:AB30)</f>
        <v>18071</v>
      </c>
      <c r="AE30" s="1267"/>
    </row>
    <row r="31" spans="1:31" ht="21.75" customHeight="1" x14ac:dyDescent="0.2">
      <c r="A31" s="1474"/>
      <c r="B31" s="1473"/>
      <c r="C31" s="1271" t="s">
        <v>936</v>
      </c>
      <c r="D31" s="1271"/>
      <c r="E31" s="1272"/>
      <c r="F31" s="1272"/>
      <c r="G31" s="1272">
        <v>529</v>
      </c>
      <c r="H31" s="1272">
        <v>143</v>
      </c>
      <c r="I31" s="1272"/>
      <c r="J31" s="1272"/>
      <c r="K31" s="1272"/>
      <c r="L31" s="1272"/>
      <c r="M31" s="1272"/>
      <c r="N31" s="1272"/>
      <c r="O31" s="1272"/>
      <c r="P31" s="1272"/>
      <c r="Q31" s="1272"/>
      <c r="R31" s="1272">
        <f>AC31-S31</f>
        <v>17528</v>
      </c>
      <c r="S31" s="1289">
        <f>E31+G31+H31+O31+D31+F31+I31+J31+K31+L31+M31+N31+Q31</f>
        <v>672</v>
      </c>
      <c r="T31" s="1273">
        <f>SUM(R31:S31)</f>
        <v>18200</v>
      </c>
      <c r="U31" s="1474"/>
      <c r="V31" s="1473"/>
      <c r="W31" s="1271" t="s">
        <v>772</v>
      </c>
      <c r="X31" s="1272">
        <f>11082+291+83</f>
        <v>11456</v>
      </c>
      <c r="Y31" s="1272">
        <f>2438+64+19</f>
        <v>2521</v>
      </c>
      <c r="Z31" s="1272">
        <f>3044+460-100+518+130+44+27</f>
        <v>4123</v>
      </c>
      <c r="AA31" s="1272">
        <v>100</v>
      </c>
      <c r="AB31" s="1272">
        <v>0</v>
      </c>
      <c r="AC31" s="1273">
        <f>SUM(X31:AB31)</f>
        <v>18200</v>
      </c>
      <c r="AE31" s="1267"/>
    </row>
    <row r="32" spans="1:31" ht="21.75" customHeight="1" x14ac:dyDescent="0.2">
      <c r="A32" s="1474" t="s">
        <v>947</v>
      </c>
      <c r="B32" s="1473" t="s">
        <v>246</v>
      </c>
      <c r="C32" s="1271" t="s">
        <v>3</v>
      </c>
      <c r="D32" s="1271"/>
      <c r="E32" s="1272">
        <v>15624</v>
      </c>
      <c r="F32" s="1272"/>
      <c r="G32" s="1272">
        <v>8585</v>
      </c>
      <c r="H32" s="1272">
        <v>4846</v>
      </c>
      <c r="I32" s="1272"/>
      <c r="J32" s="1272"/>
      <c r="K32" s="1272">
        <v>0</v>
      </c>
      <c r="L32" s="1272">
        <v>0</v>
      </c>
      <c r="M32" s="1272">
        <v>0</v>
      </c>
      <c r="N32" s="1272">
        <v>0</v>
      </c>
      <c r="O32" s="1272">
        <v>0</v>
      </c>
      <c r="P32" s="1272">
        <v>0</v>
      </c>
      <c r="Q32" s="1272">
        <v>0</v>
      </c>
      <c r="R32" s="1272">
        <v>127376</v>
      </c>
      <c r="S32" s="1289">
        <v>29055</v>
      </c>
      <c r="T32" s="1273">
        <v>156431</v>
      </c>
      <c r="U32" s="1474" t="s">
        <v>946</v>
      </c>
      <c r="V32" s="1473" t="s">
        <v>246</v>
      </c>
      <c r="W32" s="1271" t="s">
        <v>3</v>
      </c>
      <c r="X32" s="1272">
        <v>97409</v>
      </c>
      <c r="Y32" s="1272">
        <v>22173</v>
      </c>
      <c r="Z32" s="1272">
        <v>34676</v>
      </c>
      <c r="AA32" s="1272">
        <v>2173</v>
      </c>
      <c r="AB32" s="1272">
        <v>0</v>
      </c>
      <c r="AC32" s="1273">
        <v>156431</v>
      </c>
      <c r="AE32" s="1267"/>
    </row>
    <row r="33" spans="1:31" ht="21.75" customHeight="1" x14ac:dyDescent="0.2">
      <c r="A33" s="1474"/>
      <c r="B33" s="1473"/>
      <c r="C33" s="1271" t="s">
        <v>215</v>
      </c>
      <c r="D33" s="1271"/>
      <c r="E33" s="1272">
        <v>15624</v>
      </c>
      <c r="F33" s="1272"/>
      <c r="G33" s="1272">
        <v>8585</v>
      </c>
      <c r="H33" s="1272">
        <v>4846</v>
      </c>
      <c r="I33" s="1272"/>
      <c r="J33" s="1272"/>
      <c r="K33" s="1272"/>
      <c r="L33" s="1272"/>
      <c r="M33" s="1272"/>
      <c r="N33" s="1272"/>
      <c r="O33" s="1272"/>
      <c r="P33" s="1272"/>
      <c r="Q33" s="1272"/>
      <c r="R33" s="1272">
        <f>AC33-S33</f>
        <v>133538</v>
      </c>
      <c r="S33" s="1289">
        <f>E33+G33+H33</f>
        <v>29055</v>
      </c>
      <c r="T33" s="1273">
        <f>SUM(R33:S33)</f>
        <v>162593</v>
      </c>
      <c r="U33" s="1474"/>
      <c r="V33" s="1473"/>
      <c r="W33" s="1271" t="s">
        <v>215</v>
      </c>
      <c r="X33" s="1272">
        <f>97409+329+1208+1596-410</f>
        <v>100132</v>
      </c>
      <c r="Y33" s="1272">
        <f>22173+42+296+351-90</f>
        <v>22772</v>
      </c>
      <c r="Z33" s="1272">
        <f>34676+2340</f>
        <v>37016</v>
      </c>
      <c r="AA33" s="1272">
        <f>2173+500</f>
        <v>2673</v>
      </c>
      <c r="AB33" s="1272">
        <v>0</v>
      </c>
      <c r="AC33" s="1273">
        <f>SUM(X33:AB33)</f>
        <v>162593</v>
      </c>
      <c r="AE33" s="1267"/>
    </row>
    <row r="34" spans="1:31" ht="21.75" customHeight="1" x14ac:dyDescent="0.2">
      <c r="A34" s="1474"/>
      <c r="B34" s="1473"/>
      <c r="C34" s="1271" t="s">
        <v>924</v>
      </c>
      <c r="D34" s="1271"/>
      <c r="E34" s="1272">
        <v>15624</v>
      </c>
      <c r="F34" s="1272"/>
      <c r="G34" s="1272">
        <v>8585</v>
      </c>
      <c r="H34" s="1272">
        <v>4846</v>
      </c>
      <c r="I34" s="1272"/>
      <c r="J34" s="1272"/>
      <c r="K34" s="1272"/>
      <c r="L34" s="1272"/>
      <c r="M34" s="1272">
        <v>467</v>
      </c>
      <c r="N34" s="1272"/>
      <c r="O34" s="1272"/>
      <c r="P34" s="1272"/>
      <c r="Q34" s="1272">
        <v>210</v>
      </c>
      <c r="R34" s="1272">
        <f>AC34-S34</f>
        <v>132400</v>
      </c>
      <c r="S34" s="1289">
        <f>E34+G34+H34+O34+D34+F34+I34+J34+K34+L34+M34+N34+Q34</f>
        <v>29732</v>
      </c>
      <c r="T34" s="1273">
        <f>SUM(R34:S34)</f>
        <v>162132</v>
      </c>
      <c r="U34" s="1474"/>
      <c r="V34" s="1473"/>
      <c r="W34" s="1271" t="s">
        <v>924</v>
      </c>
      <c r="X34" s="1272">
        <f>97409+329+1208+1596-410-1475-164+383+1222+3221+501-6725</f>
        <v>97095</v>
      </c>
      <c r="Y34" s="1272">
        <f>22173+42+296+351-90-325-36+84+269+708+110-1479</f>
        <v>22103</v>
      </c>
      <c r="Z34" s="1272">
        <f>34676+2340+2100+200+100+210+296+970-970+420+219</f>
        <v>40561</v>
      </c>
      <c r="AA34" s="1272">
        <f>2173+500-300</f>
        <v>2373</v>
      </c>
      <c r="AB34" s="1272">
        <v>0</v>
      </c>
      <c r="AC34" s="1273">
        <f>SUM(X34:AB34)</f>
        <v>162132</v>
      </c>
      <c r="AE34" s="1267"/>
    </row>
    <row r="35" spans="1:31" ht="21.75" customHeight="1" x14ac:dyDescent="0.2">
      <c r="A35" s="1474"/>
      <c r="B35" s="1473"/>
      <c r="C35" s="1271" t="s">
        <v>936</v>
      </c>
      <c r="D35" s="1271"/>
      <c r="E35" s="1272">
        <v>15624</v>
      </c>
      <c r="F35" s="1272"/>
      <c r="G35" s="1272">
        <v>8585</v>
      </c>
      <c r="H35" s="1272">
        <v>4846</v>
      </c>
      <c r="I35" s="1272"/>
      <c r="J35" s="1272"/>
      <c r="K35" s="1272"/>
      <c r="L35" s="1272"/>
      <c r="M35" s="1272">
        <v>467</v>
      </c>
      <c r="N35" s="1272"/>
      <c r="O35" s="1272"/>
      <c r="P35" s="1272"/>
      <c r="Q35" s="1272">
        <v>210</v>
      </c>
      <c r="R35" s="1272">
        <f>AC35-S35</f>
        <v>138697</v>
      </c>
      <c r="S35" s="1289">
        <f>E35+G35+H35+O35+D35+F35+I35+J35+K35+L35+M35+N35+Q35</f>
        <v>29732</v>
      </c>
      <c r="T35" s="1273">
        <f>SUM(R35:S35)</f>
        <v>168429</v>
      </c>
      <c r="U35" s="1474"/>
      <c r="V35" s="1473"/>
      <c r="W35" s="1271" t="s">
        <v>772</v>
      </c>
      <c r="X35" s="1272">
        <f>97409+329+1208+1596-410-1475-164+383+1222+3221+501-6725+390+2595+998-1064+128+703+347</f>
        <v>101192</v>
      </c>
      <c r="Y35" s="1272">
        <f>22173+42+296+351-90-325-36+84+269+708+110-1479+86+571+219+1064+28+155+77</f>
        <v>24303</v>
      </c>
      <c r="Z35" s="1272">
        <f>34676+2340+2100+200+100+210+296+970-970+420+219</f>
        <v>40561</v>
      </c>
      <c r="AA35" s="1272">
        <f>2173+500-300</f>
        <v>2373</v>
      </c>
      <c r="AB35" s="1272">
        <v>0</v>
      </c>
      <c r="AC35" s="1273">
        <f>SUM(X35:AB35)</f>
        <v>168429</v>
      </c>
      <c r="AE35" s="1267"/>
    </row>
    <row r="36" spans="1:31" ht="21.75" customHeight="1" x14ac:dyDescent="0.2">
      <c r="A36" s="1474" t="s">
        <v>945</v>
      </c>
      <c r="B36" s="1473" t="s">
        <v>246</v>
      </c>
      <c r="C36" s="1271" t="s">
        <v>3</v>
      </c>
      <c r="D36" s="1271"/>
      <c r="E36" s="1272">
        <v>0</v>
      </c>
      <c r="F36" s="1272"/>
      <c r="G36" s="1272">
        <v>18060</v>
      </c>
      <c r="H36" s="1272">
        <v>4876</v>
      </c>
      <c r="I36" s="1272"/>
      <c r="J36" s="1272"/>
      <c r="K36" s="1272">
        <v>0</v>
      </c>
      <c r="L36" s="1272">
        <v>0</v>
      </c>
      <c r="M36" s="1272">
        <v>0</v>
      </c>
      <c r="N36" s="1272">
        <v>0</v>
      </c>
      <c r="O36" s="1272">
        <v>0</v>
      </c>
      <c r="P36" s="1272">
        <v>0</v>
      </c>
      <c r="Q36" s="1272">
        <v>0</v>
      </c>
      <c r="R36" s="1272">
        <v>45215</v>
      </c>
      <c r="S36" s="1289">
        <v>22936</v>
      </c>
      <c r="T36" s="1273">
        <v>68151</v>
      </c>
      <c r="U36" s="1474" t="s">
        <v>945</v>
      </c>
      <c r="V36" s="1473" t="s">
        <v>246</v>
      </c>
      <c r="W36" s="1271" t="s">
        <v>3</v>
      </c>
      <c r="X36" s="1272">
        <v>0</v>
      </c>
      <c r="Y36" s="1272">
        <v>0</v>
      </c>
      <c r="Z36" s="1272">
        <v>68151</v>
      </c>
      <c r="AA36" s="1272">
        <v>0</v>
      </c>
      <c r="AB36" s="1272">
        <v>0</v>
      </c>
      <c r="AC36" s="1273">
        <v>68151</v>
      </c>
      <c r="AE36" s="1267"/>
    </row>
    <row r="37" spans="1:31" ht="21.75" customHeight="1" x14ac:dyDescent="0.2">
      <c r="A37" s="1474"/>
      <c r="B37" s="1473"/>
      <c r="C37" s="1271" t="s">
        <v>215</v>
      </c>
      <c r="D37" s="1271"/>
      <c r="E37" s="1272"/>
      <c r="F37" s="1272"/>
      <c r="G37" s="1272">
        <f>18060+332</f>
        <v>18392</v>
      </c>
      <c r="H37" s="1272">
        <v>4876</v>
      </c>
      <c r="I37" s="1272"/>
      <c r="J37" s="1272"/>
      <c r="K37" s="1272"/>
      <c r="L37" s="1272"/>
      <c r="M37" s="1272"/>
      <c r="N37" s="1272"/>
      <c r="O37" s="1272"/>
      <c r="P37" s="1272"/>
      <c r="Q37" s="1272"/>
      <c r="R37" s="1272">
        <f>AC37-S37</f>
        <v>46855</v>
      </c>
      <c r="S37" s="1289">
        <f>G37+H37</f>
        <v>23268</v>
      </c>
      <c r="T37" s="1273">
        <f>SUM(R37:S37)</f>
        <v>70123</v>
      </c>
      <c r="U37" s="1474"/>
      <c r="V37" s="1473"/>
      <c r="W37" s="1271" t="s">
        <v>215</v>
      </c>
      <c r="X37" s="1272"/>
      <c r="Y37" s="1272"/>
      <c r="Z37" s="1272">
        <f>68151+332+1370+270</f>
        <v>70123</v>
      </c>
      <c r="AA37" s="1272"/>
      <c r="AB37" s="1272"/>
      <c r="AC37" s="1273">
        <f>SUM(X37:AB37)</f>
        <v>70123</v>
      </c>
      <c r="AE37" s="1267"/>
    </row>
    <row r="38" spans="1:31" ht="21.75" customHeight="1" x14ac:dyDescent="0.2">
      <c r="A38" s="1474"/>
      <c r="B38" s="1473"/>
      <c r="C38" s="1271" t="s">
        <v>924</v>
      </c>
      <c r="D38" s="1271"/>
      <c r="E38" s="1272"/>
      <c r="F38" s="1272"/>
      <c r="G38" s="1272">
        <f>18060+332</f>
        <v>18392</v>
      </c>
      <c r="H38" s="1272">
        <v>4876</v>
      </c>
      <c r="I38" s="1272"/>
      <c r="J38" s="1272"/>
      <c r="K38" s="1272"/>
      <c r="L38" s="1272"/>
      <c r="M38" s="1272"/>
      <c r="N38" s="1272"/>
      <c r="O38" s="1272"/>
      <c r="P38" s="1272"/>
      <c r="Q38" s="1272"/>
      <c r="R38" s="1272">
        <f>AC38-S38</f>
        <v>43655</v>
      </c>
      <c r="S38" s="1289">
        <f>E38+G38+H38+O38+D38+F38+I38+J38+K38+L38+M38+N38+Q38</f>
        <v>23268</v>
      </c>
      <c r="T38" s="1273">
        <f>SUM(R38:S38)</f>
        <v>66923</v>
      </c>
      <c r="U38" s="1474"/>
      <c r="V38" s="1473"/>
      <c r="W38" s="1271" t="s">
        <v>924</v>
      </c>
      <c r="X38" s="1272"/>
      <c r="Y38" s="1272"/>
      <c r="Z38" s="1272">
        <f>68151+332+1370+270-3200</f>
        <v>66923</v>
      </c>
      <c r="AA38" s="1272"/>
      <c r="AB38" s="1272"/>
      <c r="AC38" s="1273">
        <f>SUM(X38:AB38)</f>
        <v>66923</v>
      </c>
      <c r="AE38" s="1267"/>
    </row>
    <row r="39" spans="1:31" ht="21.75" customHeight="1" x14ac:dyDescent="0.2">
      <c r="A39" s="1474"/>
      <c r="B39" s="1473"/>
      <c r="C39" s="1271" t="s">
        <v>936</v>
      </c>
      <c r="D39" s="1271"/>
      <c r="E39" s="1272"/>
      <c r="F39" s="1272"/>
      <c r="G39" s="1272">
        <f>18060+332</f>
        <v>18392</v>
      </c>
      <c r="H39" s="1272">
        <v>4876</v>
      </c>
      <c r="I39" s="1272"/>
      <c r="J39" s="1272"/>
      <c r="K39" s="1272"/>
      <c r="L39" s="1272"/>
      <c r="M39" s="1272"/>
      <c r="N39" s="1272"/>
      <c r="O39" s="1272"/>
      <c r="P39" s="1272"/>
      <c r="Q39" s="1272"/>
      <c r="R39" s="1272">
        <f>AC39-S39</f>
        <v>43655</v>
      </c>
      <c r="S39" s="1289">
        <f>E39+G39+H39+O39+D39+F39+I39+J39+K39+L39+M39+N39+Q39</f>
        <v>23268</v>
      </c>
      <c r="T39" s="1273">
        <f>SUM(R39:S39)</f>
        <v>66923</v>
      </c>
      <c r="U39" s="1474"/>
      <c r="V39" s="1473"/>
      <c r="W39" s="1271" t="s">
        <v>772</v>
      </c>
      <c r="X39" s="1272"/>
      <c r="Y39" s="1272"/>
      <c r="Z39" s="1272">
        <f>68151+332+1370+270-3200</f>
        <v>66923</v>
      </c>
      <c r="AA39" s="1272"/>
      <c r="AB39" s="1272"/>
      <c r="AC39" s="1273">
        <f>SUM(X39:AB39)</f>
        <v>66923</v>
      </c>
      <c r="AE39" s="1267"/>
    </row>
    <row r="40" spans="1:31" ht="21.75" customHeight="1" x14ac:dyDescent="0.2">
      <c r="A40" s="1474" t="s">
        <v>944</v>
      </c>
      <c r="B40" s="1473" t="s">
        <v>246</v>
      </c>
      <c r="C40" s="1271" t="s">
        <v>3</v>
      </c>
      <c r="D40" s="1271"/>
      <c r="E40" s="1272">
        <v>0</v>
      </c>
      <c r="F40" s="1272"/>
      <c r="G40" s="1272">
        <v>0</v>
      </c>
      <c r="H40" s="1272">
        <v>0</v>
      </c>
      <c r="I40" s="1272"/>
      <c r="J40" s="1272"/>
      <c r="K40" s="1272">
        <v>0</v>
      </c>
      <c r="L40" s="1272">
        <v>0</v>
      </c>
      <c r="M40" s="1272">
        <v>0</v>
      </c>
      <c r="N40" s="1272">
        <v>0</v>
      </c>
      <c r="O40" s="1272">
        <v>0</v>
      </c>
      <c r="P40" s="1272">
        <v>0</v>
      </c>
      <c r="Q40" s="1272">
        <v>0</v>
      </c>
      <c r="R40" s="1272">
        <v>0</v>
      </c>
      <c r="S40" s="1289">
        <v>0</v>
      </c>
      <c r="T40" s="1273">
        <v>0</v>
      </c>
      <c r="U40" s="1474" t="s">
        <v>944</v>
      </c>
      <c r="V40" s="1473" t="s">
        <v>246</v>
      </c>
      <c r="W40" s="1271" t="s">
        <v>3</v>
      </c>
      <c r="X40" s="1272">
        <v>0</v>
      </c>
      <c r="Y40" s="1272">
        <v>0</v>
      </c>
      <c r="Z40" s="1272">
        <v>0</v>
      </c>
      <c r="AA40" s="1272">
        <v>0</v>
      </c>
      <c r="AB40" s="1272">
        <v>0</v>
      </c>
      <c r="AC40" s="1273">
        <v>0</v>
      </c>
      <c r="AE40" s="1267"/>
    </row>
    <row r="41" spans="1:31" ht="21.75" customHeight="1" x14ac:dyDescent="0.2">
      <c r="A41" s="1474"/>
      <c r="B41" s="1473"/>
      <c r="C41" s="1271" t="s">
        <v>215</v>
      </c>
      <c r="D41" s="1271"/>
      <c r="E41" s="1272"/>
      <c r="F41" s="1272"/>
      <c r="G41" s="1272"/>
      <c r="H41" s="1272"/>
      <c r="I41" s="1272"/>
      <c r="J41" s="1272"/>
      <c r="K41" s="1272"/>
      <c r="L41" s="1272"/>
      <c r="M41" s="1272"/>
      <c r="N41" s="1272"/>
      <c r="O41" s="1272"/>
      <c r="P41" s="1272"/>
      <c r="Q41" s="1272"/>
      <c r="R41" s="1272"/>
      <c r="S41" s="1289"/>
      <c r="T41" s="1273"/>
      <c r="U41" s="1474"/>
      <c r="V41" s="1473"/>
      <c r="W41" s="1271" t="s">
        <v>215</v>
      </c>
      <c r="X41" s="1272"/>
      <c r="Y41" s="1272"/>
      <c r="Z41" s="1272"/>
      <c r="AA41" s="1272"/>
      <c r="AB41" s="1272"/>
      <c r="AC41" s="1273"/>
      <c r="AE41" s="1267"/>
    </row>
    <row r="42" spans="1:31" ht="21.75" customHeight="1" x14ac:dyDescent="0.2">
      <c r="A42" s="1474"/>
      <c r="B42" s="1473"/>
      <c r="C42" s="1271" t="s">
        <v>924</v>
      </c>
      <c r="D42" s="1271"/>
      <c r="E42" s="1272"/>
      <c r="F42" s="1272"/>
      <c r="G42" s="1272"/>
      <c r="H42" s="1272"/>
      <c r="I42" s="1272"/>
      <c r="J42" s="1272"/>
      <c r="K42" s="1272"/>
      <c r="L42" s="1272"/>
      <c r="M42" s="1272"/>
      <c r="N42" s="1272"/>
      <c r="O42" s="1272"/>
      <c r="P42" s="1272"/>
      <c r="Q42" s="1272"/>
      <c r="R42" s="1272"/>
      <c r="S42" s="1289">
        <f>E42+G42+H42+O42+D42+F42+I42+J42+K42+L42+M42+N42+Q42</f>
        <v>0</v>
      </c>
      <c r="T42" s="1273"/>
      <c r="U42" s="1474"/>
      <c r="V42" s="1473"/>
      <c r="W42" s="1271" t="s">
        <v>924</v>
      </c>
      <c r="X42" s="1272"/>
      <c r="Y42" s="1272"/>
      <c r="Z42" s="1272"/>
      <c r="AA42" s="1272"/>
      <c r="AB42" s="1272"/>
      <c r="AC42" s="1273"/>
      <c r="AE42" s="1267"/>
    </row>
    <row r="43" spans="1:31" ht="21.75" customHeight="1" x14ac:dyDescent="0.2">
      <c r="A43" s="1474"/>
      <c r="B43" s="1473"/>
      <c r="C43" s="1271" t="s">
        <v>936</v>
      </c>
      <c r="D43" s="1271"/>
      <c r="E43" s="1272"/>
      <c r="F43" s="1272"/>
      <c r="G43" s="1272"/>
      <c r="H43" s="1272"/>
      <c r="I43" s="1272"/>
      <c r="J43" s="1272"/>
      <c r="K43" s="1272"/>
      <c r="L43" s="1272"/>
      <c r="M43" s="1272"/>
      <c r="N43" s="1272"/>
      <c r="O43" s="1272"/>
      <c r="P43" s="1272"/>
      <c r="Q43" s="1272"/>
      <c r="R43" s="1272"/>
      <c r="S43" s="1289">
        <f>E43+G43+H43+O43+D43+F43+I43+J43+K43+L43+M43+N43+Q43</f>
        <v>0</v>
      </c>
      <c r="T43" s="1273"/>
      <c r="U43" s="1474"/>
      <c r="V43" s="1473"/>
      <c r="W43" s="1271" t="s">
        <v>772</v>
      </c>
      <c r="X43" s="1272"/>
      <c r="Y43" s="1272"/>
      <c r="Z43" s="1272"/>
      <c r="AA43" s="1272"/>
      <c r="AB43" s="1272"/>
      <c r="AC43" s="1273"/>
      <c r="AE43" s="1267"/>
    </row>
    <row r="44" spans="1:31" ht="21.75" customHeight="1" x14ac:dyDescent="0.2">
      <c r="A44" s="1474" t="s">
        <v>943</v>
      </c>
      <c r="B44" s="1473" t="s">
        <v>246</v>
      </c>
      <c r="C44" s="1271" t="s">
        <v>3</v>
      </c>
      <c r="D44" s="1271"/>
      <c r="E44" s="1272">
        <v>0</v>
      </c>
      <c r="F44" s="1272"/>
      <c r="G44" s="1272">
        <v>12792</v>
      </c>
      <c r="H44" s="1272">
        <v>3454</v>
      </c>
      <c r="I44" s="1272"/>
      <c r="J44" s="1272"/>
      <c r="K44" s="1272">
        <v>0</v>
      </c>
      <c r="L44" s="1272">
        <v>0</v>
      </c>
      <c r="M44" s="1272">
        <v>0</v>
      </c>
      <c r="N44" s="1272">
        <v>0</v>
      </c>
      <c r="O44" s="1272">
        <v>0</v>
      </c>
      <c r="P44" s="1272">
        <v>0</v>
      </c>
      <c r="Q44" s="1272">
        <v>0</v>
      </c>
      <c r="R44" s="1272">
        <v>19529</v>
      </c>
      <c r="S44" s="1289">
        <v>16246</v>
      </c>
      <c r="T44" s="1273">
        <v>35775</v>
      </c>
      <c r="U44" s="1474" t="s">
        <v>943</v>
      </c>
      <c r="V44" s="1473" t="s">
        <v>246</v>
      </c>
      <c r="W44" s="1271" t="s">
        <v>3</v>
      </c>
      <c r="X44" s="1272">
        <v>0</v>
      </c>
      <c r="Y44" s="1272">
        <v>0</v>
      </c>
      <c r="Z44" s="1272">
        <v>35775</v>
      </c>
      <c r="AA44" s="1272">
        <v>0</v>
      </c>
      <c r="AB44" s="1272">
        <v>0</v>
      </c>
      <c r="AC44" s="1273">
        <v>35775</v>
      </c>
      <c r="AE44" s="1267"/>
    </row>
    <row r="45" spans="1:31" ht="21.75" customHeight="1" x14ac:dyDescent="0.2">
      <c r="A45" s="1474"/>
      <c r="B45" s="1473"/>
      <c r="C45" s="1271" t="s">
        <v>215</v>
      </c>
      <c r="D45" s="1271"/>
      <c r="E45" s="1272"/>
      <c r="F45" s="1272"/>
      <c r="G45" s="1272">
        <f>12792+260</f>
        <v>13052</v>
      </c>
      <c r="H45" s="1272">
        <v>3454</v>
      </c>
      <c r="I45" s="1272"/>
      <c r="J45" s="1272"/>
      <c r="K45" s="1272"/>
      <c r="L45" s="1272"/>
      <c r="M45" s="1272"/>
      <c r="N45" s="1272"/>
      <c r="O45" s="1272"/>
      <c r="P45" s="1272"/>
      <c r="Q45" s="1272"/>
      <c r="R45" s="1272">
        <f>AC45-S45</f>
        <v>20343</v>
      </c>
      <c r="S45" s="1289">
        <f>G45+H45</f>
        <v>16506</v>
      </c>
      <c r="T45" s="1273">
        <f>SUM(R45:S45)</f>
        <v>36849</v>
      </c>
      <c r="U45" s="1474"/>
      <c r="V45" s="1473"/>
      <c r="W45" s="1271" t="s">
        <v>215</v>
      </c>
      <c r="X45" s="1272"/>
      <c r="Y45" s="1272"/>
      <c r="Z45" s="1272">
        <f>35775+260+814</f>
        <v>36849</v>
      </c>
      <c r="AA45" s="1272"/>
      <c r="AB45" s="1272"/>
      <c r="AC45" s="1273">
        <f>SUM(X45:AB45)</f>
        <v>36849</v>
      </c>
      <c r="AE45" s="1267"/>
    </row>
    <row r="46" spans="1:31" ht="21.75" customHeight="1" x14ac:dyDescent="0.2">
      <c r="A46" s="1474"/>
      <c r="B46" s="1473"/>
      <c r="C46" s="1271" t="s">
        <v>924</v>
      </c>
      <c r="D46" s="1271"/>
      <c r="E46" s="1272"/>
      <c r="F46" s="1272"/>
      <c r="G46" s="1272">
        <f>12792+260</f>
        <v>13052</v>
      </c>
      <c r="H46" s="1272">
        <v>3454</v>
      </c>
      <c r="I46" s="1272"/>
      <c r="J46" s="1272"/>
      <c r="K46" s="1272"/>
      <c r="L46" s="1272"/>
      <c r="M46" s="1272"/>
      <c r="N46" s="1272"/>
      <c r="O46" s="1272"/>
      <c r="P46" s="1272"/>
      <c r="Q46" s="1272"/>
      <c r="R46" s="1272">
        <f>AC46-S46</f>
        <v>20343</v>
      </c>
      <c r="S46" s="1289">
        <f>E46+G46+H46+O46+D46+F46+I46+J46+K46+L46+M46+N46+Q46</f>
        <v>16506</v>
      </c>
      <c r="T46" s="1273">
        <f>SUM(R46:S46)</f>
        <v>36849</v>
      </c>
      <c r="U46" s="1474"/>
      <c r="V46" s="1473"/>
      <c r="W46" s="1271" t="s">
        <v>924</v>
      </c>
      <c r="X46" s="1272"/>
      <c r="Y46" s="1272"/>
      <c r="Z46" s="1272">
        <f>35775+260+814</f>
        <v>36849</v>
      </c>
      <c r="AA46" s="1272"/>
      <c r="AB46" s="1272"/>
      <c r="AC46" s="1273">
        <f>SUM(X46:AB46)</f>
        <v>36849</v>
      </c>
      <c r="AE46" s="1267"/>
    </row>
    <row r="47" spans="1:31" ht="21.75" customHeight="1" x14ac:dyDescent="0.2">
      <c r="A47" s="1474"/>
      <c r="B47" s="1473"/>
      <c r="C47" s="1271" t="s">
        <v>936</v>
      </c>
      <c r="D47" s="1271"/>
      <c r="E47" s="1272"/>
      <c r="F47" s="1272"/>
      <c r="G47" s="1272">
        <f>12792+260</f>
        <v>13052</v>
      </c>
      <c r="H47" s="1272">
        <v>3454</v>
      </c>
      <c r="I47" s="1272"/>
      <c r="J47" s="1272"/>
      <c r="K47" s="1272"/>
      <c r="L47" s="1272"/>
      <c r="M47" s="1272"/>
      <c r="N47" s="1272"/>
      <c r="O47" s="1272"/>
      <c r="P47" s="1272"/>
      <c r="Q47" s="1272"/>
      <c r="R47" s="1272">
        <f>AC47-S47</f>
        <v>20343</v>
      </c>
      <c r="S47" s="1289">
        <f>E47+G47+H47+O47+D47+F47+I47+J47+K47+L47+M47+N47+Q47</f>
        <v>16506</v>
      </c>
      <c r="T47" s="1273">
        <f>SUM(R47:S47)</f>
        <v>36849</v>
      </c>
      <c r="U47" s="1474"/>
      <c r="V47" s="1473"/>
      <c r="W47" s="1271" t="s">
        <v>772</v>
      </c>
      <c r="X47" s="1272"/>
      <c r="Y47" s="1272"/>
      <c r="Z47" s="1272">
        <f>35775+260+814</f>
        <v>36849</v>
      </c>
      <c r="AA47" s="1272"/>
      <c r="AB47" s="1272"/>
      <c r="AC47" s="1273">
        <f>SUM(X47:AB47)</f>
        <v>36849</v>
      </c>
      <c r="AE47" s="1267"/>
    </row>
    <row r="48" spans="1:31" ht="21.75" customHeight="1" x14ac:dyDescent="0.2">
      <c r="A48" s="1475" t="s">
        <v>942</v>
      </c>
      <c r="B48" s="1473" t="s">
        <v>246</v>
      </c>
      <c r="C48" s="1271" t="s">
        <v>3</v>
      </c>
      <c r="D48" s="1271"/>
      <c r="E48" s="1272">
        <v>0</v>
      </c>
      <c r="F48" s="1272"/>
      <c r="G48" s="1272">
        <f>30852+260</f>
        <v>31112</v>
      </c>
      <c r="H48" s="1272">
        <v>8330</v>
      </c>
      <c r="I48" s="1272"/>
      <c r="J48" s="1272"/>
      <c r="K48" s="1272">
        <v>0</v>
      </c>
      <c r="L48" s="1272">
        <v>0</v>
      </c>
      <c r="M48" s="1272">
        <v>0</v>
      </c>
      <c r="N48" s="1272">
        <v>0</v>
      </c>
      <c r="O48" s="1272">
        <v>0</v>
      </c>
      <c r="P48" s="1272">
        <v>0</v>
      </c>
      <c r="Q48" s="1272">
        <v>0</v>
      </c>
      <c r="R48" s="1272">
        <v>64744</v>
      </c>
      <c r="S48" s="1289">
        <v>39182</v>
      </c>
      <c r="T48" s="1273">
        <v>103926</v>
      </c>
      <c r="U48" s="1475" t="s">
        <v>942</v>
      </c>
      <c r="V48" s="1473" t="s">
        <v>246</v>
      </c>
      <c r="W48" s="1271" t="s">
        <v>3</v>
      </c>
      <c r="X48" s="1272">
        <v>0</v>
      </c>
      <c r="Y48" s="1272">
        <v>0</v>
      </c>
      <c r="Z48" s="1272">
        <v>103926</v>
      </c>
      <c r="AA48" s="1272">
        <v>0</v>
      </c>
      <c r="AB48" s="1272">
        <v>0</v>
      </c>
      <c r="AC48" s="1273">
        <v>103926</v>
      </c>
      <c r="AD48" s="1261">
        <v>0</v>
      </c>
      <c r="AE48" s="1267"/>
    </row>
    <row r="49" spans="1:31" ht="21.75" customHeight="1" x14ac:dyDescent="0.2">
      <c r="A49" s="1475"/>
      <c r="B49" s="1473"/>
      <c r="C49" s="1271" t="s">
        <v>215</v>
      </c>
      <c r="D49" s="1271"/>
      <c r="E49" s="1272"/>
      <c r="F49" s="1272"/>
      <c r="G49" s="1272">
        <f>G37+G45</f>
        <v>31444</v>
      </c>
      <c r="H49" s="1272">
        <f>H37+H45</f>
        <v>8330</v>
      </c>
      <c r="I49" s="1272"/>
      <c r="J49" s="1272"/>
      <c r="K49" s="1272">
        <f t="shared" ref="K49:T49" si="0">K37+K45</f>
        <v>0</v>
      </c>
      <c r="L49" s="1272">
        <f t="shared" si="0"/>
        <v>0</v>
      </c>
      <c r="M49" s="1272">
        <f t="shared" si="0"/>
        <v>0</v>
      </c>
      <c r="N49" s="1272">
        <f t="shared" si="0"/>
        <v>0</v>
      </c>
      <c r="O49" s="1272">
        <f t="shared" si="0"/>
        <v>0</v>
      </c>
      <c r="P49" s="1272">
        <f t="shared" si="0"/>
        <v>0</v>
      </c>
      <c r="Q49" s="1272">
        <f t="shared" si="0"/>
        <v>0</v>
      </c>
      <c r="R49" s="1272">
        <f t="shared" si="0"/>
        <v>67198</v>
      </c>
      <c r="S49" s="1289">
        <f t="shared" si="0"/>
        <v>39774</v>
      </c>
      <c r="T49" s="1273">
        <f t="shared" si="0"/>
        <v>106972</v>
      </c>
      <c r="U49" s="1475"/>
      <c r="V49" s="1473"/>
      <c r="W49" s="1271" t="s">
        <v>215</v>
      </c>
      <c r="X49" s="1272"/>
      <c r="Y49" s="1272"/>
      <c r="Z49" s="1272">
        <f>Z37+Z45</f>
        <v>106972</v>
      </c>
      <c r="AA49" s="1272"/>
      <c r="AB49" s="1272"/>
      <c r="AC49" s="1273">
        <f>SUM(X49:AB49)</f>
        <v>106972</v>
      </c>
      <c r="AE49" s="1267"/>
    </row>
    <row r="50" spans="1:31" ht="21.75" customHeight="1" x14ac:dyDescent="0.2">
      <c r="A50" s="1475"/>
      <c r="B50" s="1473"/>
      <c r="C50" s="1271" t="s">
        <v>924</v>
      </c>
      <c r="D50" s="1271"/>
      <c r="E50" s="1272"/>
      <c r="F50" s="1272"/>
      <c r="G50" s="1272">
        <f>G38+G46</f>
        <v>31444</v>
      </c>
      <c r="H50" s="1272">
        <f>H38+H46</f>
        <v>8330</v>
      </c>
      <c r="I50" s="1272">
        <f t="shared" ref="I50:R50" si="1">I38+I46</f>
        <v>0</v>
      </c>
      <c r="J50" s="1272">
        <f t="shared" si="1"/>
        <v>0</v>
      </c>
      <c r="K50" s="1272">
        <f t="shared" si="1"/>
        <v>0</v>
      </c>
      <c r="L50" s="1272">
        <f t="shared" si="1"/>
        <v>0</v>
      </c>
      <c r="M50" s="1272">
        <f t="shared" si="1"/>
        <v>0</v>
      </c>
      <c r="N50" s="1272">
        <f t="shared" si="1"/>
        <v>0</v>
      </c>
      <c r="O50" s="1272">
        <f t="shared" si="1"/>
        <v>0</v>
      </c>
      <c r="P50" s="1272">
        <f t="shared" si="1"/>
        <v>0</v>
      </c>
      <c r="Q50" s="1272">
        <f t="shared" si="1"/>
        <v>0</v>
      </c>
      <c r="R50" s="1272">
        <f t="shared" si="1"/>
        <v>63998</v>
      </c>
      <c r="S50" s="1289">
        <f>E50+G50+H50+O50+D50+F50+I50+J50+K50+L50+M50+N50+Q50</f>
        <v>39774</v>
      </c>
      <c r="T50" s="1273">
        <f>T38+T46</f>
        <v>103772</v>
      </c>
      <c r="U50" s="1475"/>
      <c r="V50" s="1473"/>
      <c r="W50" s="1271" t="s">
        <v>924</v>
      </c>
      <c r="X50" s="1272"/>
      <c r="Y50" s="1272"/>
      <c r="Z50" s="1272">
        <f>Z38+Z46</f>
        <v>103772</v>
      </c>
      <c r="AA50" s="1272">
        <f t="shared" ref="AA50:AC51" si="2">AA38+AA46</f>
        <v>0</v>
      </c>
      <c r="AB50" s="1272">
        <f t="shared" si="2"/>
        <v>0</v>
      </c>
      <c r="AC50" s="1273">
        <f t="shared" si="2"/>
        <v>103772</v>
      </c>
      <c r="AE50" s="1267"/>
    </row>
    <row r="51" spans="1:31" ht="21.75" customHeight="1" x14ac:dyDescent="0.2">
      <c r="A51" s="1475"/>
      <c r="B51" s="1473"/>
      <c r="C51" s="1271" t="s">
        <v>936</v>
      </c>
      <c r="D51" s="1271"/>
      <c r="E51" s="1272"/>
      <c r="F51" s="1272"/>
      <c r="G51" s="1272">
        <f>G39+G47</f>
        <v>31444</v>
      </c>
      <c r="H51" s="1272">
        <v>8330</v>
      </c>
      <c r="I51" s="1272">
        <f t="shared" ref="I51:R51" si="3">I39+I47</f>
        <v>0</v>
      </c>
      <c r="J51" s="1272">
        <f t="shared" si="3"/>
        <v>0</v>
      </c>
      <c r="K51" s="1272">
        <f t="shared" si="3"/>
        <v>0</v>
      </c>
      <c r="L51" s="1272">
        <f t="shared" si="3"/>
        <v>0</v>
      </c>
      <c r="M51" s="1272">
        <f t="shared" si="3"/>
        <v>0</v>
      </c>
      <c r="N51" s="1272">
        <f t="shared" si="3"/>
        <v>0</v>
      </c>
      <c r="O51" s="1272">
        <f t="shared" si="3"/>
        <v>0</v>
      </c>
      <c r="P51" s="1272">
        <f t="shared" si="3"/>
        <v>0</v>
      </c>
      <c r="Q51" s="1272">
        <f t="shared" si="3"/>
        <v>0</v>
      </c>
      <c r="R51" s="1272">
        <f t="shared" si="3"/>
        <v>63998</v>
      </c>
      <c r="S51" s="1289">
        <f>E51+G51+H51+O51+D51+F51+I51+J51+K51+L51+M51+N51+Q51</f>
        <v>39774</v>
      </c>
      <c r="T51" s="1273">
        <f>T39+T47</f>
        <v>103772</v>
      </c>
      <c r="U51" s="1475"/>
      <c r="V51" s="1473"/>
      <c r="W51" s="1271" t="s">
        <v>772</v>
      </c>
      <c r="X51" s="1272"/>
      <c r="Y51" s="1272"/>
      <c r="Z51" s="1272">
        <f>Z39+Z47</f>
        <v>103772</v>
      </c>
      <c r="AA51" s="1272">
        <f t="shared" si="2"/>
        <v>0</v>
      </c>
      <c r="AB51" s="1272">
        <f t="shared" si="2"/>
        <v>0</v>
      </c>
      <c r="AC51" s="1273">
        <f t="shared" si="2"/>
        <v>103772</v>
      </c>
      <c r="AE51" s="1267"/>
    </row>
    <row r="52" spans="1:31" ht="21.75" customHeight="1" x14ac:dyDescent="0.2">
      <c r="A52" s="1474" t="s">
        <v>941</v>
      </c>
      <c r="B52" s="1473" t="s">
        <v>246</v>
      </c>
      <c r="C52" s="1271" t="s">
        <v>3</v>
      </c>
      <c r="D52" s="1271"/>
      <c r="E52" s="1272">
        <v>3000</v>
      </c>
      <c r="F52" s="1272"/>
      <c r="G52" s="1272">
        <v>19371</v>
      </c>
      <c r="H52" s="1272">
        <v>5230</v>
      </c>
      <c r="I52" s="1272"/>
      <c r="J52" s="1272"/>
      <c r="K52" s="1272">
        <v>0</v>
      </c>
      <c r="L52" s="1272">
        <v>0</v>
      </c>
      <c r="M52" s="1272">
        <v>0</v>
      </c>
      <c r="N52" s="1272">
        <v>0</v>
      </c>
      <c r="O52" s="1272">
        <v>0</v>
      </c>
      <c r="P52" s="1272">
        <v>0</v>
      </c>
      <c r="Q52" s="1272">
        <v>0</v>
      </c>
      <c r="R52" s="1272">
        <v>75336</v>
      </c>
      <c r="S52" s="1289">
        <v>27601</v>
      </c>
      <c r="T52" s="1273">
        <v>102937</v>
      </c>
      <c r="U52" s="1474" t="s">
        <v>941</v>
      </c>
      <c r="V52" s="1473" t="s">
        <v>246</v>
      </c>
      <c r="W52" s="1271" t="s">
        <v>3</v>
      </c>
      <c r="X52" s="1272">
        <v>0</v>
      </c>
      <c r="Y52" s="1272">
        <v>0</v>
      </c>
      <c r="Z52" s="1272">
        <v>102937</v>
      </c>
      <c r="AA52" s="1272">
        <v>0</v>
      </c>
      <c r="AB52" s="1272">
        <v>0</v>
      </c>
      <c r="AC52" s="1273">
        <v>102937</v>
      </c>
      <c r="AE52" s="1267"/>
    </row>
    <row r="53" spans="1:31" ht="21.75" customHeight="1" x14ac:dyDescent="0.2">
      <c r="A53" s="1474"/>
      <c r="B53" s="1473"/>
      <c r="C53" s="1271" t="s">
        <v>215</v>
      </c>
      <c r="D53" s="1271"/>
      <c r="E53" s="1272">
        <f>3000+19500</f>
        <v>22500</v>
      </c>
      <c r="F53" s="1272"/>
      <c r="G53" s="1272">
        <f>19371+373</f>
        <v>19744</v>
      </c>
      <c r="H53" s="1272">
        <v>5230</v>
      </c>
      <c r="I53" s="1272"/>
      <c r="J53" s="1272"/>
      <c r="K53" s="1272"/>
      <c r="L53" s="1272"/>
      <c r="M53" s="1272"/>
      <c r="N53" s="1272"/>
      <c r="O53" s="1272"/>
      <c r="P53" s="1272"/>
      <c r="Q53" s="1272"/>
      <c r="R53" s="1272">
        <f>AC53-S53</f>
        <v>53343</v>
      </c>
      <c r="S53" s="1289">
        <f>E53+G53+H53</f>
        <v>47474</v>
      </c>
      <c r="T53" s="1273">
        <f>SUM(R53:S53)</f>
        <v>100817</v>
      </c>
      <c r="U53" s="1474"/>
      <c r="V53" s="1473"/>
      <c r="W53" s="1271" t="s">
        <v>215</v>
      </c>
      <c r="X53" s="1272"/>
      <c r="Y53" s="1272"/>
      <c r="Z53" s="1272">
        <f>102937+373+1376+56+7459+2219-13603</f>
        <v>100817</v>
      </c>
      <c r="AA53" s="1272"/>
      <c r="AB53" s="1272"/>
      <c r="AC53" s="1273">
        <f>SUM(X53:AB53)</f>
        <v>100817</v>
      </c>
      <c r="AE53" s="1267"/>
    </row>
    <row r="54" spans="1:31" ht="21.75" customHeight="1" x14ac:dyDescent="0.2">
      <c r="A54" s="1474"/>
      <c r="B54" s="1473"/>
      <c r="C54" s="1271" t="s">
        <v>924</v>
      </c>
      <c r="D54" s="1271"/>
      <c r="E54" s="1272">
        <f>3000+19500</f>
        <v>22500</v>
      </c>
      <c r="F54" s="1272"/>
      <c r="G54" s="1272">
        <f>19371+373</f>
        <v>19744</v>
      </c>
      <c r="H54" s="1272">
        <v>5230</v>
      </c>
      <c r="I54" s="1272"/>
      <c r="J54" s="1272"/>
      <c r="K54" s="1272"/>
      <c r="L54" s="1272"/>
      <c r="M54" s="1272"/>
      <c r="N54" s="1272"/>
      <c r="O54" s="1272"/>
      <c r="P54" s="1272"/>
      <c r="Q54" s="1272"/>
      <c r="R54" s="1272">
        <f>AC54-S54</f>
        <v>53343</v>
      </c>
      <c r="S54" s="1289">
        <f>E54+G54+H54+O54+D54+F54+I54+J54+K54+L54+M54+N54+Q54</f>
        <v>47474</v>
      </c>
      <c r="T54" s="1273">
        <f>SUM(R54:S54)</f>
        <v>100817</v>
      </c>
      <c r="U54" s="1474"/>
      <c r="V54" s="1473"/>
      <c r="W54" s="1271" t="s">
        <v>924</v>
      </c>
      <c r="X54" s="1272"/>
      <c r="Y54" s="1272"/>
      <c r="Z54" s="1272">
        <f>102937+373+1376+56+7459+2219-13603</f>
        <v>100817</v>
      </c>
      <c r="AA54" s="1272"/>
      <c r="AB54" s="1272"/>
      <c r="AC54" s="1273">
        <f>SUM(X54:AB54)</f>
        <v>100817</v>
      </c>
      <c r="AE54" s="1267"/>
    </row>
    <row r="55" spans="1:31" ht="21.75" customHeight="1" x14ac:dyDescent="0.2">
      <c r="A55" s="1474"/>
      <c r="B55" s="1473"/>
      <c r="C55" s="1271" t="s">
        <v>936</v>
      </c>
      <c r="D55" s="1271"/>
      <c r="E55" s="1272">
        <f>3000+19500</f>
        <v>22500</v>
      </c>
      <c r="F55" s="1272"/>
      <c r="G55" s="1272">
        <f>19371+373</f>
        <v>19744</v>
      </c>
      <c r="H55" s="1272">
        <v>5230</v>
      </c>
      <c r="I55" s="1272"/>
      <c r="J55" s="1272"/>
      <c r="K55" s="1272"/>
      <c r="L55" s="1272"/>
      <c r="M55" s="1272"/>
      <c r="N55" s="1272"/>
      <c r="O55" s="1272"/>
      <c r="P55" s="1272"/>
      <c r="Q55" s="1272"/>
      <c r="R55" s="1272">
        <f>AC55-S55</f>
        <v>53343</v>
      </c>
      <c r="S55" s="1289">
        <f>E55+G55+H55+O55+D55+F55+I55+J55+K55+L55+M55+N55+Q55</f>
        <v>47474</v>
      </c>
      <c r="T55" s="1273">
        <f>SUM(R55:S55)</f>
        <v>100817</v>
      </c>
      <c r="U55" s="1474"/>
      <c r="V55" s="1473"/>
      <c r="W55" s="1271" t="s">
        <v>772</v>
      </c>
      <c r="X55" s="1272"/>
      <c r="Y55" s="1272"/>
      <c r="Z55" s="1272">
        <f>102937+373+1376+56+7459+2219-13603-600</f>
        <v>100217</v>
      </c>
      <c r="AA55" s="1272">
        <v>600</v>
      </c>
      <c r="AB55" s="1272"/>
      <c r="AC55" s="1273">
        <f>SUM(X55:AB55)</f>
        <v>100817</v>
      </c>
      <c r="AE55" s="1267"/>
    </row>
    <row r="56" spans="1:31" ht="21.75" customHeight="1" x14ac:dyDescent="0.2">
      <c r="A56" s="1480" t="s">
        <v>940</v>
      </c>
      <c r="B56" s="1481" t="s">
        <v>246</v>
      </c>
      <c r="C56" s="1271" t="s">
        <v>3</v>
      </c>
      <c r="D56" s="1271"/>
      <c r="E56" s="1272">
        <v>0</v>
      </c>
      <c r="F56" s="1272"/>
      <c r="G56" s="1272">
        <v>7943</v>
      </c>
      <c r="H56" s="1272">
        <v>1716</v>
      </c>
      <c r="I56" s="1272"/>
      <c r="J56" s="1272"/>
      <c r="K56" s="1272">
        <v>0</v>
      </c>
      <c r="L56" s="1272">
        <v>0</v>
      </c>
      <c r="M56" s="1272">
        <v>0</v>
      </c>
      <c r="N56" s="1272">
        <v>0</v>
      </c>
      <c r="O56" s="1272">
        <v>0</v>
      </c>
      <c r="P56" s="1272">
        <v>0</v>
      </c>
      <c r="Q56" s="1272">
        <v>0</v>
      </c>
      <c r="R56" s="1272">
        <v>17763</v>
      </c>
      <c r="S56" s="1289">
        <v>9659</v>
      </c>
      <c r="T56" s="1273">
        <v>27422</v>
      </c>
      <c r="U56" s="1474" t="s">
        <v>940</v>
      </c>
      <c r="V56" s="1473" t="s">
        <v>246</v>
      </c>
      <c r="W56" s="1271" t="s">
        <v>3</v>
      </c>
      <c r="X56" s="1272">
        <v>0</v>
      </c>
      <c r="Y56" s="1272">
        <v>0</v>
      </c>
      <c r="Z56" s="1272">
        <v>27422</v>
      </c>
      <c r="AA56" s="1272"/>
      <c r="AB56" s="1272">
        <v>0</v>
      </c>
      <c r="AC56" s="1273">
        <v>27422</v>
      </c>
      <c r="AE56" s="1267"/>
    </row>
    <row r="57" spans="1:31" ht="21.75" customHeight="1" x14ac:dyDescent="0.2">
      <c r="A57" s="1480"/>
      <c r="B57" s="1481"/>
      <c r="C57" s="1271" t="s">
        <v>215</v>
      </c>
      <c r="D57" s="1271"/>
      <c r="E57" s="1272"/>
      <c r="F57" s="1272"/>
      <c r="G57" s="1272">
        <f>7943+156</f>
        <v>8099</v>
      </c>
      <c r="H57" s="1272">
        <v>1716</v>
      </c>
      <c r="I57" s="1272"/>
      <c r="J57" s="1272"/>
      <c r="K57" s="1272"/>
      <c r="L57" s="1272"/>
      <c r="M57" s="1272"/>
      <c r="N57" s="1272"/>
      <c r="O57" s="1272"/>
      <c r="P57" s="1272"/>
      <c r="Q57" s="1272"/>
      <c r="R57" s="1272">
        <f>AC57-S57</f>
        <v>18268</v>
      </c>
      <c r="S57" s="1289">
        <f>G57+H57</f>
        <v>9815</v>
      </c>
      <c r="T57" s="1273">
        <f>SUM(R57:S57)</f>
        <v>28083</v>
      </c>
      <c r="U57" s="1474"/>
      <c r="V57" s="1473"/>
      <c r="W57" s="1271" t="s">
        <v>215</v>
      </c>
      <c r="X57" s="1272"/>
      <c r="Y57" s="1272"/>
      <c r="Z57" s="1272">
        <f>27422+156+505</f>
        <v>28083</v>
      </c>
      <c r="AA57" s="1272"/>
      <c r="AB57" s="1272"/>
      <c r="AC57" s="1273">
        <f>SUM(X57:AB57)</f>
        <v>28083</v>
      </c>
      <c r="AE57" s="1267"/>
    </row>
    <row r="58" spans="1:31" ht="21.75" customHeight="1" x14ac:dyDescent="0.2">
      <c r="A58" s="1480"/>
      <c r="B58" s="1481"/>
      <c r="C58" s="1271" t="s">
        <v>924</v>
      </c>
      <c r="D58" s="1271"/>
      <c r="E58" s="1272"/>
      <c r="F58" s="1272"/>
      <c r="G58" s="1272">
        <f>7943+156</f>
        <v>8099</v>
      </c>
      <c r="H58" s="1272">
        <v>1716</v>
      </c>
      <c r="I58" s="1272"/>
      <c r="J58" s="1272"/>
      <c r="K58" s="1272"/>
      <c r="L58" s="1272"/>
      <c r="M58" s="1272"/>
      <c r="N58" s="1272"/>
      <c r="O58" s="1272"/>
      <c r="P58" s="1272"/>
      <c r="Q58" s="1272"/>
      <c r="R58" s="1272">
        <f>AC58-S58</f>
        <v>18268</v>
      </c>
      <c r="S58" s="1289">
        <f>E58+G58+H58+O58+D58+F58+I58+J58+K58+L58+M58+N58+Q58</f>
        <v>9815</v>
      </c>
      <c r="T58" s="1273">
        <f>SUM(R58:S58)</f>
        <v>28083</v>
      </c>
      <c r="U58" s="1474"/>
      <c r="V58" s="1473"/>
      <c r="W58" s="1271" t="s">
        <v>924</v>
      </c>
      <c r="X58" s="1272"/>
      <c r="Y58" s="1272"/>
      <c r="Z58" s="1272">
        <f>27422+156+505</f>
        <v>28083</v>
      </c>
      <c r="AA58" s="1272"/>
      <c r="AB58" s="1272"/>
      <c r="AC58" s="1273">
        <f>SUM(X58:AB58)</f>
        <v>28083</v>
      </c>
      <c r="AE58" s="1267"/>
    </row>
    <row r="59" spans="1:31" ht="21.75" customHeight="1" x14ac:dyDescent="0.2">
      <c r="A59" s="1480"/>
      <c r="B59" s="1481"/>
      <c r="C59" s="1271" t="s">
        <v>936</v>
      </c>
      <c r="D59" s="1271"/>
      <c r="E59" s="1272"/>
      <c r="F59" s="1272"/>
      <c r="G59" s="1272">
        <f>7943+156</f>
        <v>8099</v>
      </c>
      <c r="H59" s="1272">
        <v>1716</v>
      </c>
      <c r="I59" s="1272"/>
      <c r="J59" s="1272"/>
      <c r="K59" s="1272"/>
      <c r="L59" s="1272"/>
      <c r="M59" s="1272"/>
      <c r="N59" s="1272"/>
      <c r="O59" s="1272"/>
      <c r="P59" s="1272"/>
      <c r="Q59" s="1272"/>
      <c r="R59" s="1272">
        <v>18268</v>
      </c>
      <c r="S59" s="1289">
        <v>9815</v>
      </c>
      <c r="T59" s="1273">
        <f>SUM(R59:S59)</f>
        <v>28083</v>
      </c>
      <c r="U59" s="1474"/>
      <c r="V59" s="1473"/>
      <c r="W59" s="1271" t="s">
        <v>772</v>
      </c>
      <c r="X59" s="1272"/>
      <c r="Y59" s="1272"/>
      <c r="Z59" s="1272">
        <f>27422+156+505</f>
        <v>28083</v>
      </c>
      <c r="AA59" s="1272"/>
      <c r="AB59" s="1272"/>
      <c r="AC59" s="1273">
        <f>SUM(X59:AB59)</f>
        <v>28083</v>
      </c>
      <c r="AE59" s="1267"/>
    </row>
    <row r="60" spans="1:31" s="1266" customFormat="1" ht="21.75" customHeight="1" x14ac:dyDescent="0.2">
      <c r="A60" s="1475" t="s">
        <v>939</v>
      </c>
      <c r="B60" s="1473" t="s">
        <v>246</v>
      </c>
      <c r="C60" s="1271" t="s">
        <v>3</v>
      </c>
      <c r="D60" s="1271"/>
      <c r="E60" s="1272">
        <v>3000</v>
      </c>
      <c r="F60" s="1272"/>
      <c r="G60" s="1272">
        <v>27314</v>
      </c>
      <c r="H60" s="1272">
        <v>6946</v>
      </c>
      <c r="I60" s="1272"/>
      <c r="J60" s="1272"/>
      <c r="K60" s="1272">
        <v>0</v>
      </c>
      <c r="L60" s="1272">
        <v>0</v>
      </c>
      <c r="M60" s="1272">
        <v>0</v>
      </c>
      <c r="N60" s="1272">
        <v>0</v>
      </c>
      <c r="O60" s="1272">
        <v>0</v>
      </c>
      <c r="P60" s="1272">
        <v>0</v>
      </c>
      <c r="Q60" s="1272">
        <v>0</v>
      </c>
      <c r="R60" s="1272">
        <v>93099</v>
      </c>
      <c r="S60" s="1289">
        <v>37260</v>
      </c>
      <c r="T60" s="1273">
        <v>130359</v>
      </c>
      <c r="U60" s="1475" t="s">
        <v>939</v>
      </c>
      <c r="V60" s="1473" t="s">
        <v>246</v>
      </c>
      <c r="W60" s="1271" t="s">
        <v>3</v>
      </c>
      <c r="X60" s="1272">
        <v>0</v>
      </c>
      <c r="Y60" s="1272">
        <v>0</v>
      </c>
      <c r="Z60" s="1272">
        <v>130359</v>
      </c>
      <c r="AA60" s="1272">
        <v>0</v>
      </c>
      <c r="AB60" s="1272">
        <v>0</v>
      </c>
      <c r="AC60" s="1273">
        <v>130359</v>
      </c>
      <c r="AE60" s="1267"/>
    </row>
    <row r="61" spans="1:31" s="1266" customFormat="1" ht="21.75" customHeight="1" x14ac:dyDescent="0.2">
      <c r="A61" s="1475"/>
      <c r="B61" s="1473"/>
      <c r="C61" s="1271" t="s">
        <v>215</v>
      </c>
      <c r="D61" s="1271"/>
      <c r="E61" s="1272">
        <f t="shared" ref="E61:H62" si="4">E53+E57</f>
        <v>22500</v>
      </c>
      <c r="F61" s="1272">
        <f t="shared" si="4"/>
        <v>0</v>
      </c>
      <c r="G61" s="1272">
        <f t="shared" si="4"/>
        <v>27843</v>
      </c>
      <c r="H61" s="1272">
        <f t="shared" si="4"/>
        <v>6946</v>
      </c>
      <c r="I61" s="1272"/>
      <c r="J61" s="1272"/>
      <c r="K61" s="1272">
        <f t="shared" ref="K61:T61" si="5">K53+K57</f>
        <v>0</v>
      </c>
      <c r="L61" s="1272">
        <f t="shared" si="5"/>
        <v>0</v>
      </c>
      <c r="M61" s="1272">
        <f t="shared" si="5"/>
        <v>0</v>
      </c>
      <c r="N61" s="1272">
        <f t="shared" si="5"/>
        <v>0</v>
      </c>
      <c r="O61" s="1272">
        <f t="shared" si="5"/>
        <v>0</v>
      </c>
      <c r="P61" s="1272">
        <f t="shared" si="5"/>
        <v>0</v>
      </c>
      <c r="Q61" s="1272">
        <f t="shared" si="5"/>
        <v>0</v>
      </c>
      <c r="R61" s="1272">
        <f t="shared" si="5"/>
        <v>71611</v>
      </c>
      <c r="S61" s="1289">
        <f t="shared" si="5"/>
        <v>57289</v>
      </c>
      <c r="T61" s="1273">
        <f t="shared" si="5"/>
        <v>128900</v>
      </c>
      <c r="U61" s="1475"/>
      <c r="V61" s="1473"/>
      <c r="W61" s="1271" t="s">
        <v>215</v>
      </c>
      <c r="X61" s="1272"/>
      <c r="Y61" s="1272"/>
      <c r="Z61" s="1272">
        <f>Z53+Z57</f>
        <v>128900</v>
      </c>
      <c r="AA61" s="1272"/>
      <c r="AB61" s="1272"/>
      <c r="AC61" s="1273">
        <f>SUM(X61:AB61)</f>
        <v>128900</v>
      </c>
      <c r="AE61" s="1267"/>
    </row>
    <row r="62" spans="1:31" s="1266" customFormat="1" ht="21.75" customHeight="1" x14ac:dyDescent="0.2">
      <c r="A62" s="1475"/>
      <c r="B62" s="1473"/>
      <c r="C62" s="1271" t="s">
        <v>924</v>
      </c>
      <c r="D62" s="1271"/>
      <c r="E62" s="1272">
        <f t="shared" si="4"/>
        <v>22500</v>
      </c>
      <c r="F62" s="1272">
        <f t="shared" si="4"/>
        <v>0</v>
      </c>
      <c r="G62" s="1272">
        <f t="shared" si="4"/>
        <v>27843</v>
      </c>
      <c r="H62" s="1272">
        <f t="shared" si="4"/>
        <v>6946</v>
      </c>
      <c r="I62" s="1272">
        <f t="shared" ref="I62:R62" si="6">I54+I58</f>
        <v>0</v>
      </c>
      <c r="J62" s="1272">
        <f t="shared" si="6"/>
        <v>0</v>
      </c>
      <c r="K62" s="1272">
        <f t="shared" si="6"/>
        <v>0</v>
      </c>
      <c r="L62" s="1272">
        <f t="shared" si="6"/>
        <v>0</v>
      </c>
      <c r="M62" s="1272">
        <f t="shared" si="6"/>
        <v>0</v>
      </c>
      <c r="N62" s="1272">
        <f t="shared" si="6"/>
        <v>0</v>
      </c>
      <c r="O62" s="1272">
        <f t="shared" si="6"/>
        <v>0</v>
      </c>
      <c r="P62" s="1272">
        <f t="shared" si="6"/>
        <v>0</v>
      </c>
      <c r="Q62" s="1272">
        <f t="shared" si="6"/>
        <v>0</v>
      </c>
      <c r="R62" s="1272">
        <f t="shared" si="6"/>
        <v>71611</v>
      </c>
      <c r="S62" s="1289">
        <f>E62+G62+H62+O62+D62+F62+I62+J62+K62+L62+M62+N62+Q62</f>
        <v>57289</v>
      </c>
      <c r="T62" s="1273">
        <f>T54+T58</f>
        <v>128900</v>
      </c>
      <c r="U62" s="1475"/>
      <c r="V62" s="1473"/>
      <c r="W62" s="1271" t="s">
        <v>924</v>
      </c>
      <c r="X62" s="1272"/>
      <c r="Y62" s="1272"/>
      <c r="Z62" s="1272">
        <f>Z54+Z58</f>
        <v>128900</v>
      </c>
      <c r="AA62" s="1272"/>
      <c r="AB62" s="1272"/>
      <c r="AC62" s="1273">
        <f>SUM(X62:AB62)</f>
        <v>128900</v>
      </c>
      <c r="AE62" s="1267"/>
    </row>
    <row r="63" spans="1:31" s="1266" customFormat="1" ht="21.75" customHeight="1" x14ac:dyDescent="0.2">
      <c r="A63" s="1475"/>
      <c r="B63" s="1473"/>
      <c r="C63" s="1271" t="s">
        <v>936</v>
      </c>
      <c r="D63" s="1271"/>
      <c r="E63" s="1272">
        <f>E55+E59</f>
        <v>22500</v>
      </c>
      <c r="F63" s="1272">
        <f>F55+F59</f>
        <v>0</v>
      </c>
      <c r="G63" s="1272">
        <f>G55+G59</f>
        <v>27843</v>
      </c>
      <c r="H63" s="1272">
        <v>6946</v>
      </c>
      <c r="I63" s="1272">
        <f t="shared" ref="I63:Q63" si="7">I55+I59</f>
        <v>0</v>
      </c>
      <c r="J63" s="1272">
        <f t="shared" si="7"/>
        <v>0</v>
      </c>
      <c r="K63" s="1272">
        <f t="shared" si="7"/>
        <v>0</v>
      </c>
      <c r="L63" s="1272">
        <f t="shared" si="7"/>
        <v>0</v>
      </c>
      <c r="M63" s="1272">
        <f t="shared" si="7"/>
        <v>0</v>
      </c>
      <c r="N63" s="1272">
        <f t="shared" si="7"/>
        <v>0</v>
      </c>
      <c r="O63" s="1272">
        <f t="shared" si="7"/>
        <v>0</v>
      </c>
      <c r="P63" s="1272">
        <f t="shared" si="7"/>
        <v>0</v>
      </c>
      <c r="Q63" s="1272">
        <f t="shared" si="7"/>
        <v>0</v>
      </c>
      <c r="R63" s="1272">
        <v>71611</v>
      </c>
      <c r="S63" s="1289">
        <f>E63+G63+H63+O63+D63+F63+I63+J63+K63+L63+M63+N63+Q63</f>
        <v>57289</v>
      </c>
      <c r="T63" s="1273">
        <f>T55+T59</f>
        <v>128900</v>
      </c>
      <c r="U63" s="1475"/>
      <c r="V63" s="1473"/>
      <c r="W63" s="1271" t="s">
        <v>772</v>
      </c>
      <c r="X63" s="1272"/>
      <c r="Y63" s="1272"/>
      <c r="Z63" s="1272">
        <f>Z55+Z59</f>
        <v>128300</v>
      </c>
      <c r="AA63" s="1272">
        <f>AA55+AA59</f>
        <v>600</v>
      </c>
      <c r="AB63" s="1272"/>
      <c r="AC63" s="1273">
        <f>SUM(X63:AB63)</f>
        <v>128900</v>
      </c>
      <c r="AE63" s="1267"/>
    </row>
    <row r="64" spans="1:31" ht="21.75" customHeight="1" x14ac:dyDescent="0.2">
      <c r="A64" s="1474" t="s">
        <v>938</v>
      </c>
      <c r="B64" s="1473" t="s">
        <v>246</v>
      </c>
      <c r="C64" s="1271" t="s">
        <v>3</v>
      </c>
      <c r="D64" s="1271"/>
      <c r="E64" s="1272">
        <v>0</v>
      </c>
      <c r="F64" s="1272"/>
      <c r="G64" s="1272">
        <v>0</v>
      </c>
      <c r="H64" s="1272">
        <v>0</v>
      </c>
      <c r="I64" s="1272"/>
      <c r="J64" s="1272"/>
      <c r="K64" s="1272">
        <v>0</v>
      </c>
      <c r="L64" s="1272">
        <v>0</v>
      </c>
      <c r="M64" s="1272">
        <v>0</v>
      </c>
      <c r="N64" s="1272">
        <v>0</v>
      </c>
      <c r="O64" s="1272">
        <v>0</v>
      </c>
      <c r="P64" s="1272">
        <v>0</v>
      </c>
      <c r="Q64" s="1272">
        <v>0</v>
      </c>
      <c r="R64" s="1272">
        <v>308</v>
      </c>
      <c r="S64" s="1289">
        <v>0</v>
      </c>
      <c r="T64" s="1273">
        <v>308</v>
      </c>
      <c r="U64" s="1474" t="s">
        <v>938</v>
      </c>
      <c r="V64" s="1473" t="s">
        <v>246</v>
      </c>
      <c r="W64" s="1271" t="s">
        <v>3</v>
      </c>
      <c r="X64" s="1272">
        <v>0</v>
      </c>
      <c r="Y64" s="1272">
        <v>0</v>
      </c>
      <c r="Z64" s="1272">
        <v>308</v>
      </c>
      <c r="AA64" s="1272">
        <v>0</v>
      </c>
      <c r="AB64" s="1272">
        <v>0</v>
      </c>
      <c r="AC64" s="1273">
        <v>308</v>
      </c>
      <c r="AE64" s="1267"/>
    </row>
    <row r="65" spans="1:31" ht="21.75" customHeight="1" x14ac:dyDescent="0.2">
      <c r="A65" s="1474"/>
      <c r="B65" s="1473"/>
      <c r="C65" s="1271" t="s">
        <v>215</v>
      </c>
      <c r="D65" s="1271"/>
      <c r="E65" s="1272"/>
      <c r="F65" s="1272"/>
      <c r="G65" s="1272"/>
      <c r="H65" s="1272"/>
      <c r="I65" s="1272"/>
      <c r="J65" s="1272"/>
      <c r="K65" s="1272"/>
      <c r="L65" s="1272"/>
      <c r="M65" s="1272"/>
      <c r="N65" s="1272"/>
      <c r="O65" s="1272"/>
      <c r="P65" s="1272"/>
      <c r="Q65" s="1272"/>
      <c r="R65" s="1272">
        <f>AC65-S65</f>
        <v>308</v>
      </c>
      <c r="S65" s="1289"/>
      <c r="T65" s="1273">
        <f>SUM(R65:S65)</f>
        <v>308</v>
      </c>
      <c r="U65" s="1474"/>
      <c r="V65" s="1473"/>
      <c r="W65" s="1271" t="s">
        <v>215</v>
      </c>
      <c r="X65" s="1272"/>
      <c r="Y65" s="1272"/>
      <c r="Z65" s="1272">
        <v>308</v>
      </c>
      <c r="AA65" s="1272"/>
      <c r="AB65" s="1272"/>
      <c r="AC65" s="1273">
        <f>SUM(Z65:AB65)</f>
        <v>308</v>
      </c>
      <c r="AE65" s="1267"/>
    </row>
    <row r="66" spans="1:31" ht="21.75" customHeight="1" x14ac:dyDescent="0.2">
      <c r="A66" s="1474"/>
      <c r="B66" s="1473"/>
      <c r="C66" s="1271" t="s">
        <v>924</v>
      </c>
      <c r="D66" s="1271"/>
      <c r="E66" s="1272"/>
      <c r="F66" s="1272"/>
      <c r="G66" s="1272"/>
      <c r="H66" s="1272"/>
      <c r="I66" s="1272"/>
      <c r="J66" s="1272"/>
      <c r="K66" s="1272"/>
      <c r="L66" s="1272"/>
      <c r="M66" s="1272"/>
      <c r="N66" s="1272"/>
      <c r="O66" s="1272"/>
      <c r="P66" s="1272"/>
      <c r="Q66" s="1272"/>
      <c r="R66" s="1272">
        <f>AC66-S66</f>
        <v>12</v>
      </c>
      <c r="S66" s="1289">
        <f>E66+G66+H66+O66+D66+F66+I66+J66+K66+L66+M66+N66+Q66</f>
        <v>0</v>
      </c>
      <c r="T66" s="1273">
        <f>SUM(R66:S66)</f>
        <v>12</v>
      </c>
      <c r="U66" s="1474"/>
      <c r="V66" s="1473"/>
      <c r="W66" s="1271" t="s">
        <v>924</v>
      </c>
      <c r="X66" s="1272"/>
      <c r="Y66" s="1272"/>
      <c r="Z66" s="1272">
        <f>308-296</f>
        <v>12</v>
      </c>
      <c r="AA66" s="1272"/>
      <c r="AB66" s="1272"/>
      <c r="AC66" s="1273">
        <f>SUM(Z66:AB66)</f>
        <v>12</v>
      </c>
      <c r="AE66" s="1267"/>
    </row>
    <row r="67" spans="1:31" ht="21.75" customHeight="1" x14ac:dyDescent="0.2">
      <c r="A67" s="1474"/>
      <c r="B67" s="1473"/>
      <c r="C67" s="1271" t="s">
        <v>936</v>
      </c>
      <c r="D67" s="1271"/>
      <c r="E67" s="1272"/>
      <c r="F67" s="1272"/>
      <c r="G67" s="1272"/>
      <c r="H67" s="1272"/>
      <c r="I67" s="1272"/>
      <c r="J67" s="1272"/>
      <c r="K67" s="1272"/>
      <c r="L67" s="1272"/>
      <c r="M67" s="1272"/>
      <c r="N67" s="1272"/>
      <c r="O67" s="1272"/>
      <c r="P67" s="1272"/>
      <c r="Q67" s="1272"/>
      <c r="R67" s="1272">
        <f>AC67-S67</f>
        <v>12</v>
      </c>
      <c r="S67" s="1289">
        <f>E67+G67+H67+O67+D67+F67+I67+J67+K67+L67+M67+N67+Q67</f>
        <v>0</v>
      </c>
      <c r="T67" s="1273">
        <f>SUM(R67:S67)</f>
        <v>12</v>
      </c>
      <c r="U67" s="1474"/>
      <c r="V67" s="1473"/>
      <c r="W67" s="1271" t="s">
        <v>772</v>
      </c>
      <c r="X67" s="1272"/>
      <c r="Y67" s="1272"/>
      <c r="Z67" s="1272">
        <f>308-296</f>
        <v>12</v>
      </c>
      <c r="AA67" s="1272"/>
      <c r="AB67" s="1272"/>
      <c r="AC67" s="1273">
        <f>SUM(Z67:AB67)</f>
        <v>12</v>
      </c>
      <c r="AE67" s="1267"/>
    </row>
    <row r="68" spans="1:31" ht="21.75" customHeight="1" x14ac:dyDescent="0.2">
      <c r="A68" s="1474" t="s">
        <v>937</v>
      </c>
      <c r="B68" s="1473" t="s">
        <v>246</v>
      </c>
      <c r="C68" s="1271" t="s">
        <v>3</v>
      </c>
      <c r="D68" s="1271"/>
      <c r="E68" s="1272">
        <v>0</v>
      </c>
      <c r="F68" s="1272"/>
      <c r="G68" s="1272">
        <v>3670</v>
      </c>
      <c r="H68" s="1272">
        <v>990</v>
      </c>
      <c r="I68" s="1272"/>
      <c r="J68" s="1272"/>
      <c r="K68" s="1272">
        <v>0</v>
      </c>
      <c r="L68" s="1272">
        <v>0</v>
      </c>
      <c r="M68" s="1272">
        <v>0</v>
      </c>
      <c r="N68" s="1272">
        <v>0</v>
      </c>
      <c r="O68" s="1272">
        <v>0</v>
      </c>
      <c r="P68" s="1272">
        <v>0</v>
      </c>
      <c r="Q68" s="1272">
        <v>0</v>
      </c>
      <c r="R68" s="1272">
        <v>18939</v>
      </c>
      <c r="S68" s="1289">
        <v>4660</v>
      </c>
      <c r="T68" s="1273">
        <v>23599</v>
      </c>
      <c r="U68" s="1474" t="s">
        <v>937</v>
      </c>
      <c r="V68" s="1473" t="s">
        <v>246</v>
      </c>
      <c r="W68" s="1271" t="s">
        <v>3</v>
      </c>
      <c r="X68" s="1272">
        <v>0</v>
      </c>
      <c r="Y68" s="1272">
        <v>0</v>
      </c>
      <c r="Z68" s="1272">
        <v>23599</v>
      </c>
      <c r="AA68" s="1272">
        <v>0</v>
      </c>
      <c r="AB68" s="1272">
        <v>0</v>
      </c>
      <c r="AC68" s="1273">
        <v>23599</v>
      </c>
      <c r="AE68" s="1267"/>
    </row>
    <row r="69" spans="1:31" ht="21.75" customHeight="1" x14ac:dyDescent="0.2">
      <c r="A69" s="1474"/>
      <c r="B69" s="1473"/>
      <c r="C69" s="1271" t="s">
        <v>215</v>
      </c>
      <c r="D69" s="1271"/>
      <c r="E69" s="1272"/>
      <c r="F69" s="1272"/>
      <c r="G69" s="1272">
        <v>3670</v>
      </c>
      <c r="H69" s="1272">
        <v>990</v>
      </c>
      <c r="I69" s="1272"/>
      <c r="J69" s="1272"/>
      <c r="K69" s="1272"/>
      <c r="L69" s="1272"/>
      <c r="M69" s="1272"/>
      <c r="N69" s="1272"/>
      <c r="O69" s="1272"/>
      <c r="P69" s="1272"/>
      <c r="Q69" s="1272"/>
      <c r="R69" s="1272">
        <f>AC69-S69</f>
        <v>18939</v>
      </c>
      <c r="S69" s="1289">
        <f>G69+H69</f>
        <v>4660</v>
      </c>
      <c r="T69" s="1273">
        <f>SUM(R69:S69)</f>
        <v>23599</v>
      </c>
      <c r="U69" s="1474"/>
      <c r="V69" s="1473"/>
      <c r="W69" s="1271" t="s">
        <v>215</v>
      </c>
      <c r="X69" s="1272"/>
      <c r="Y69" s="1272"/>
      <c r="Z69" s="1272">
        <v>23599</v>
      </c>
      <c r="AA69" s="1272"/>
      <c r="AB69" s="1272"/>
      <c r="AC69" s="1273">
        <f>SUM(X69:AB69)</f>
        <v>23599</v>
      </c>
      <c r="AE69" s="1267"/>
    </row>
    <row r="70" spans="1:31" ht="21.75" customHeight="1" x14ac:dyDescent="0.2">
      <c r="A70" s="1474"/>
      <c r="B70" s="1473"/>
      <c r="C70" s="1271" t="s">
        <v>924</v>
      </c>
      <c r="D70" s="1271"/>
      <c r="E70" s="1272"/>
      <c r="F70" s="1272"/>
      <c r="G70" s="1272">
        <v>3670</v>
      </c>
      <c r="H70" s="1272">
        <v>990</v>
      </c>
      <c r="I70" s="1272"/>
      <c r="J70" s="1272"/>
      <c r="K70" s="1272"/>
      <c r="L70" s="1272"/>
      <c r="M70" s="1272"/>
      <c r="N70" s="1272"/>
      <c r="O70" s="1272"/>
      <c r="P70" s="1272"/>
      <c r="Q70" s="1272"/>
      <c r="R70" s="1272">
        <f>AC70-S70</f>
        <v>22139</v>
      </c>
      <c r="S70" s="1289">
        <f>E70+G70+H70+O70+D70+F70+I70+J70+K70+L70+M70+N70+Q70</f>
        <v>4660</v>
      </c>
      <c r="T70" s="1273">
        <f>SUM(R70:S70)</f>
        <v>26799</v>
      </c>
      <c r="U70" s="1474"/>
      <c r="V70" s="1473"/>
      <c r="W70" s="1271" t="s">
        <v>924</v>
      </c>
      <c r="X70" s="1272"/>
      <c r="Y70" s="1272"/>
      <c r="Z70" s="1272">
        <f>23599+3200</f>
        <v>26799</v>
      </c>
      <c r="AA70" s="1272"/>
      <c r="AB70" s="1272"/>
      <c r="AC70" s="1273">
        <f>SUM(X70:AB70)</f>
        <v>26799</v>
      </c>
      <c r="AE70" s="1267"/>
    </row>
    <row r="71" spans="1:31" ht="21.75" customHeight="1" x14ac:dyDescent="0.2">
      <c r="A71" s="1474"/>
      <c r="B71" s="1473"/>
      <c r="C71" s="1271" t="s">
        <v>936</v>
      </c>
      <c r="D71" s="1271"/>
      <c r="E71" s="1272"/>
      <c r="F71" s="1272"/>
      <c r="G71" s="1272">
        <v>3670</v>
      </c>
      <c r="H71" s="1272">
        <v>990</v>
      </c>
      <c r="I71" s="1272"/>
      <c r="J71" s="1272"/>
      <c r="K71" s="1272"/>
      <c r="L71" s="1272"/>
      <c r="M71" s="1272"/>
      <c r="N71" s="1272"/>
      <c r="O71" s="1272"/>
      <c r="P71" s="1272"/>
      <c r="Q71" s="1272"/>
      <c r="R71" s="1272">
        <f>AC71-S71</f>
        <v>22139</v>
      </c>
      <c r="S71" s="1289">
        <f>E71+G71+H71+O71+D71+F71+I71+J71+K71+L71+M71+N71+Q71</f>
        <v>4660</v>
      </c>
      <c r="T71" s="1273">
        <f>SUM(R71:S71)</f>
        <v>26799</v>
      </c>
      <c r="U71" s="1474"/>
      <c r="V71" s="1473"/>
      <c r="W71" s="1271" t="s">
        <v>772</v>
      </c>
      <c r="X71" s="1272"/>
      <c r="Y71" s="1272"/>
      <c r="Z71" s="1272">
        <f>23599+3200</f>
        <v>26799</v>
      </c>
      <c r="AA71" s="1272"/>
      <c r="AB71" s="1272"/>
      <c r="AC71" s="1273">
        <f>SUM(X71:AB71)</f>
        <v>26799</v>
      </c>
      <c r="AE71" s="1267"/>
    </row>
    <row r="72" spans="1:31" ht="21.75" customHeight="1" x14ac:dyDescent="0.2">
      <c r="A72" s="1474" t="s">
        <v>935</v>
      </c>
      <c r="B72" s="1473" t="s">
        <v>246</v>
      </c>
      <c r="C72" s="1271" t="s">
        <v>3</v>
      </c>
      <c r="D72" s="1271"/>
      <c r="E72" s="1272">
        <v>0</v>
      </c>
      <c r="F72" s="1272"/>
      <c r="G72" s="1272">
        <v>3495</v>
      </c>
      <c r="H72" s="1272">
        <v>944</v>
      </c>
      <c r="I72" s="1272"/>
      <c r="J72" s="1272"/>
      <c r="K72" s="1272">
        <v>0</v>
      </c>
      <c r="L72" s="1272">
        <v>0</v>
      </c>
      <c r="M72" s="1272">
        <v>0</v>
      </c>
      <c r="N72" s="1272">
        <v>0</v>
      </c>
      <c r="O72" s="1272">
        <v>0</v>
      </c>
      <c r="P72" s="1272">
        <v>0</v>
      </c>
      <c r="Q72" s="1272">
        <v>0</v>
      </c>
      <c r="R72" s="1272">
        <v>6891</v>
      </c>
      <c r="S72" s="1289">
        <v>4439</v>
      </c>
      <c r="T72" s="1273">
        <v>11330</v>
      </c>
      <c r="U72" s="1474" t="s">
        <v>935</v>
      </c>
      <c r="V72" s="1473" t="s">
        <v>246</v>
      </c>
      <c r="W72" s="1271" t="s">
        <v>3</v>
      </c>
      <c r="X72" s="1272">
        <v>0</v>
      </c>
      <c r="Y72" s="1272">
        <v>0</v>
      </c>
      <c r="Z72" s="1272">
        <v>11330</v>
      </c>
      <c r="AA72" s="1272">
        <v>0</v>
      </c>
      <c r="AB72" s="1272">
        <v>0</v>
      </c>
      <c r="AC72" s="1273">
        <v>11330</v>
      </c>
      <c r="AE72" s="1267"/>
    </row>
    <row r="73" spans="1:31" ht="21.75" customHeight="1" x14ac:dyDescent="0.2">
      <c r="A73" s="1474"/>
      <c r="B73" s="1473"/>
      <c r="C73" s="1271" t="s">
        <v>215</v>
      </c>
      <c r="D73" s="1271"/>
      <c r="E73" s="1272"/>
      <c r="F73" s="1272"/>
      <c r="G73" s="1272">
        <f>3495+135</f>
        <v>3630</v>
      </c>
      <c r="H73" s="1272">
        <v>944</v>
      </c>
      <c r="I73" s="1272"/>
      <c r="J73" s="1272"/>
      <c r="K73" s="1272"/>
      <c r="L73" s="1272"/>
      <c r="M73" s="1272"/>
      <c r="N73" s="1272"/>
      <c r="O73" s="1272"/>
      <c r="P73" s="1272"/>
      <c r="Q73" s="1272"/>
      <c r="R73" s="1272">
        <f>AC73-S73</f>
        <v>7176</v>
      </c>
      <c r="S73" s="1289">
        <f>G73+H73</f>
        <v>4574</v>
      </c>
      <c r="T73" s="1273">
        <f>SUM(R73:S73)</f>
        <v>11750</v>
      </c>
      <c r="U73" s="1474"/>
      <c r="V73" s="1473"/>
      <c r="W73" s="1271" t="s">
        <v>215</v>
      </c>
      <c r="X73" s="1272"/>
      <c r="Y73" s="1272"/>
      <c r="Z73" s="1272">
        <f>11330+135+285</f>
        <v>11750</v>
      </c>
      <c r="AA73" s="1272"/>
      <c r="AB73" s="1272"/>
      <c r="AC73" s="1273">
        <f>SUM(X73:AB73)</f>
        <v>11750</v>
      </c>
      <c r="AE73" s="1267"/>
    </row>
    <row r="74" spans="1:31" ht="21.75" customHeight="1" x14ac:dyDescent="0.2">
      <c r="A74" s="1474"/>
      <c r="B74" s="1473"/>
      <c r="C74" s="1271" t="s">
        <v>924</v>
      </c>
      <c r="D74" s="1271"/>
      <c r="E74" s="1272"/>
      <c r="F74" s="1272"/>
      <c r="G74" s="1272">
        <f>3495+135</f>
        <v>3630</v>
      </c>
      <c r="H74" s="1272">
        <v>944</v>
      </c>
      <c r="I74" s="1272"/>
      <c r="J74" s="1272"/>
      <c r="K74" s="1272"/>
      <c r="L74" s="1272"/>
      <c r="M74" s="1272"/>
      <c r="N74" s="1272"/>
      <c r="O74" s="1272"/>
      <c r="P74" s="1272"/>
      <c r="Q74" s="1272"/>
      <c r="R74" s="1272">
        <f>AC74-S74</f>
        <v>7176</v>
      </c>
      <c r="S74" s="1289">
        <f>E74+G74+H74+O74+D74+F74+I74+J74+K74+L74+M74+N74+Q74</f>
        <v>4574</v>
      </c>
      <c r="T74" s="1273">
        <f>SUM(R74:S74)</f>
        <v>11750</v>
      </c>
      <c r="U74" s="1474"/>
      <c r="V74" s="1473"/>
      <c r="W74" s="1271" t="s">
        <v>924</v>
      </c>
      <c r="X74" s="1272"/>
      <c r="Y74" s="1272"/>
      <c r="Z74" s="1272">
        <f>11330+135+285</f>
        <v>11750</v>
      </c>
      <c r="AA74" s="1272"/>
      <c r="AB74" s="1272"/>
      <c r="AC74" s="1273">
        <f>SUM(X74:AB74)</f>
        <v>11750</v>
      </c>
      <c r="AE74" s="1267"/>
    </row>
    <row r="75" spans="1:31" ht="21.75" customHeight="1" x14ac:dyDescent="0.2">
      <c r="A75" s="1474"/>
      <c r="B75" s="1473"/>
      <c r="C75" s="1271" t="s">
        <v>772</v>
      </c>
      <c r="D75" s="1271"/>
      <c r="E75" s="1272"/>
      <c r="F75" s="1272"/>
      <c r="G75" s="1272">
        <f>3495+135</f>
        <v>3630</v>
      </c>
      <c r="H75" s="1272">
        <v>944</v>
      </c>
      <c r="I75" s="1272"/>
      <c r="J75" s="1272"/>
      <c r="K75" s="1272"/>
      <c r="L75" s="1272"/>
      <c r="M75" s="1272"/>
      <c r="N75" s="1272"/>
      <c r="O75" s="1272"/>
      <c r="P75" s="1272"/>
      <c r="Q75" s="1272"/>
      <c r="R75" s="1272">
        <f>AC75-S75</f>
        <v>7176</v>
      </c>
      <c r="S75" s="1289">
        <f>E75+G75+H75+O75+D75+F75+I75+J75+K75+L75+M75+N75+Q75</f>
        <v>4574</v>
      </c>
      <c r="T75" s="1273">
        <f>SUM(R75:S75)</f>
        <v>11750</v>
      </c>
      <c r="U75" s="1474"/>
      <c r="V75" s="1473"/>
      <c r="W75" s="1271" t="s">
        <v>772</v>
      </c>
      <c r="X75" s="1272"/>
      <c r="Y75" s="1272"/>
      <c r="Z75" s="1272">
        <f>11330+135+285</f>
        <v>11750</v>
      </c>
      <c r="AA75" s="1272"/>
      <c r="AB75" s="1272"/>
      <c r="AC75" s="1273">
        <f>SUM(X75:AB75)</f>
        <v>11750</v>
      </c>
      <c r="AE75" s="1267"/>
    </row>
    <row r="76" spans="1:31" ht="21.75" customHeight="1" x14ac:dyDescent="0.2">
      <c r="A76" s="1474" t="s">
        <v>934</v>
      </c>
      <c r="B76" s="1473" t="s">
        <v>925</v>
      </c>
      <c r="C76" s="1271" t="s">
        <v>3</v>
      </c>
      <c r="D76" s="1271"/>
      <c r="E76" s="1272">
        <v>366</v>
      </c>
      <c r="F76" s="1272"/>
      <c r="G76" s="1272">
        <v>0</v>
      </c>
      <c r="H76" s="1272">
        <v>17331</v>
      </c>
      <c r="I76" s="1272"/>
      <c r="J76" s="1272"/>
      <c r="K76" s="1272">
        <v>0</v>
      </c>
      <c r="L76" s="1272">
        <v>0</v>
      </c>
      <c r="M76" s="1272">
        <v>0</v>
      </c>
      <c r="N76" s="1272">
        <v>0</v>
      </c>
      <c r="O76" s="1272">
        <v>0</v>
      </c>
      <c r="P76" s="1272">
        <v>0</v>
      </c>
      <c r="Q76" s="1272">
        <v>0</v>
      </c>
      <c r="R76" s="1272">
        <v>34788</v>
      </c>
      <c r="S76" s="1289">
        <v>17697</v>
      </c>
      <c r="T76" s="1273">
        <v>52485</v>
      </c>
      <c r="U76" s="1474" t="s">
        <v>934</v>
      </c>
      <c r="V76" s="1473" t="s">
        <v>925</v>
      </c>
      <c r="W76" s="1271" t="s">
        <v>3</v>
      </c>
      <c r="X76" s="1272">
        <v>36099</v>
      </c>
      <c r="Y76" s="1272">
        <v>7571</v>
      </c>
      <c r="Z76" s="1272">
        <v>6915</v>
      </c>
      <c r="AA76" s="1272">
        <v>1900</v>
      </c>
      <c r="AB76" s="1272">
        <v>0</v>
      </c>
      <c r="AC76" s="1273">
        <v>52485</v>
      </c>
      <c r="AE76" s="1267"/>
    </row>
    <row r="77" spans="1:31" ht="21.75" customHeight="1" x14ac:dyDescent="0.2">
      <c r="A77" s="1474"/>
      <c r="B77" s="1473"/>
      <c r="C77" s="1271" t="s">
        <v>215</v>
      </c>
      <c r="D77" s="1271"/>
      <c r="E77" s="1272">
        <f>366+78</f>
        <v>444</v>
      </c>
      <c r="F77" s="1272"/>
      <c r="G77" s="1272"/>
      <c r="H77" s="1272">
        <v>17331</v>
      </c>
      <c r="I77" s="1272"/>
      <c r="J77" s="1272"/>
      <c r="K77" s="1272"/>
      <c r="L77" s="1272"/>
      <c r="M77" s="1272"/>
      <c r="N77" s="1272"/>
      <c r="O77" s="1272"/>
      <c r="P77" s="1272"/>
      <c r="Q77" s="1272"/>
      <c r="R77" s="1272">
        <f>AC77-S77</f>
        <v>41779</v>
      </c>
      <c r="S77" s="1289">
        <f>E77+H77</f>
        <v>17775</v>
      </c>
      <c r="T77" s="1273">
        <f>SUM(R77:S77)</f>
        <v>59554</v>
      </c>
      <c r="U77" s="1474"/>
      <c r="V77" s="1473"/>
      <c r="W77" s="1271" t="s">
        <v>215</v>
      </c>
      <c r="X77" s="1272">
        <f>36099+46-1610</f>
        <v>34535</v>
      </c>
      <c r="Y77" s="1272">
        <f>7571+7-354</f>
        <v>7224</v>
      </c>
      <c r="Z77" s="1272">
        <f>6915+2500+1203+3235+1964+78</f>
        <v>15895</v>
      </c>
      <c r="AA77" s="1272">
        <v>1900</v>
      </c>
      <c r="AB77" s="1272">
        <v>0</v>
      </c>
      <c r="AC77" s="1273">
        <f>SUM(X77:AB77)</f>
        <v>59554</v>
      </c>
      <c r="AE77" s="1267"/>
    </row>
    <row r="78" spans="1:31" ht="21.75" customHeight="1" x14ac:dyDescent="0.2">
      <c r="A78" s="1474"/>
      <c r="B78" s="1473"/>
      <c r="C78" s="1271" t="s">
        <v>924</v>
      </c>
      <c r="D78" s="1271"/>
      <c r="E78" s="1272">
        <f>366+78</f>
        <v>444</v>
      </c>
      <c r="F78" s="1272"/>
      <c r="G78" s="1272"/>
      <c r="H78" s="1272">
        <f>17331+5000+970</f>
        <v>23301</v>
      </c>
      <c r="I78" s="1272">
        <v>6</v>
      </c>
      <c r="J78" s="1272"/>
      <c r="K78" s="1272"/>
      <c r="L78" s="1272"/>
      <c r="M78" s="1272">
        <v>295</v>
      </c>
      <c r="N78" s="1272"/>
      <c r="O78" s="1272"/>
      <c r="P78" s="1272"/>
      <c r="Q78" s="1272">
        <v>365</v>
      </c>
      <c r="R78" s="1272">
        <f>AC78-S78</f>
        <v>35861</v>
      </c>
      <c r="S78" s="1289">
        <f>E78+G78+H78+O78+D78+F78+I78+J78+K78+L78+M78+N78+Q78</f>
        <v>24411</v>
      </c>
      <c r="T78" s="1273">
        <f>SUM(R78:S78)</f>
        <v>60272</v>
      </c>
      <c r="U78" s="1474"/>
      <c r="V78" s="1473"/>
      <c r="W78" s="1271" t="s">
        <v>924</v>
      </c>
      <c r="X78" s="1272">
        <f>36099+46-1610+242+43+492</f>
        <v>35312</v>
      </c>
      <c r="Y78" s="1272">
        <f>7571+7-354+53+9+108</f>
        <v>7394</v>
      </c>
      <c r="Z78" s="1272">
        <f>6915+2500+1203+3235+1964+78+1500+5000+976+365-600-5000-970</f>
        <v>17166</v>
      </c>
      <c r="AA78" s="1272">
        <f>1900-1500</f>
        <v>400</v>
      </c>
      <c r="AB78" s="1272"/>
      <c r="AC78" s="1273">
        <f>SUM(X78:AB78)</f>
        <v>60272</v>
      </c>
      <c r="AE78" s="1267"/>
    </row>
    <row r="79" spans="1:31" ht="21.75" customHeight="1" x14ac:dyDescent="0.2">
      <c r="A79" s="1474"/>
      <c r="B79" s="1473"/>
      <c r="C79" s="1271" t="s">
        <v>772</v>
      </c>
      <c r="D79" s="1271"/>
      <c r="E79" s="1272">
        <f>366+78-300</f>
        <v>144</v>
      </c>
      <c r="F79" s="1272"/>
      <c r="G79" s="1272"/>
      <c r="H79" s="1272">
        <f>17331+5000+970+1000</f>
        <v>24301</v>
      </c>
      <c r="I79" s="1272">
        <v>6</v>
      </c>
      <c r="J79" s="1272"/>
      <c r="K79" s="1272"/>
      <c r="L79" s="1272"/>
      <c r="M79" s="1272">
        <v>295</v>
      </c>
      <c r="N79" s="1272"/>
      <c r="O79" s="1272"/>
      <c r="P79" s="1272"/>
      <c r="Q79" s="1272">
        <v>365</v>
      </c>
      <c r="R79" s="1272">
        <f>AC79-S79</f>
        <v>35897</v>
      </c>
      <c r="S79" s="1289">
        <f>E79+G79+H79+O79+D79+F79+I79+J79+K79+L79+M79+N79+Q79</f>
        <v>25111</v>
      </c>
      <c r="T79" s="1273">
        <f>SUM(R79:S79)</f>
        <v>61008</v>
      </c>
      <c r="U79" s="1474"/>
      <c r="V79" s="1473"/>
      <c r="W79" s="1271" t="s">
        <v>772</v>
      </c>
      <c r="X79" s="1272">
        <f>36099+46-1610+242+43+492+29-85</f>
        <v>35256</v>
      </c>
      <c r="Y79" s="1272">
        <f>7571+7-354+53+9+108+6+85</f>
        <v>7485</v>
      </c>
      <c r="Z79" s="1272">
        <f>6915+2500+1203+3235+1964+78+1500+5000+976+365-600-5000-970+1000-300+1</f>
        <v>17867</v>
      </c>
      <c r="AA79" s="1272">
        <f>1900-1500</f>
        <v>400</v>
      </c>
      <c r="AB79" s="1272"/>
      <c r="AC79" s="1273">
        <f>SUM(X79:AB79)</f>
        <v>61008</v>
      </c>
      <c r="AE79" s="1267"/>
    </row>
    <row r="80" spans="1:31" ht="21.75" customHeight="1" x14ac:dyDescent="0.2">
      <c r="A80" s="1474" t="s">
        <v>933</v>
      </c>
      <c r="B80" s="1473"/>
      <c r="C80" s="1271" t="s">
        <v>3</v>
      </c>
      <c r="D80" s="1272">
        <v>0</v>
      </c>
      <c r="E80" s="1272">
        <v>3366</v>
      </c>
      <c r="F80" s="1272"/>
      <c r="G80" s="1272">
        <v>65331</v>
      </c>
      <c r="H80" s="1272">
        <v>34541</v>
      </c>
      <c r="I80" s="1272"/>
      <c r="J80" s="1272"/>
      <c r="K80" s="1272">
        <v>0</v>
      </c>
      <c r="L80" s="1272">
        <v>0</v>
      </c>
      <c r="M80" s="1272">
        <v>0</v>
      </c>
      <c r="N80" s="1272">
        <v>0</v>
      </c>
      <c r="O80" s="1272">
        <v>0</v>
      </c>
      <c r="P80" s="1272">
        <v>0</v>
      </c>
      <c r="Q80" s="1272">
        <v>0</v>
      </c>
      <c r="R80" s="1272">
        <v>218769</v>
      </c>
      <c r="S80" s="1289">
        <v>103238</v>
      </c>
      <c r="T80" s="1273">
        <v>322007</v>
      </c>
      <c r="U80" s="1474" t="s">
        <v>933</v>
      </c>
      <c r="V80" s="1473"/>
      <c r="W80" s="1271" t="s">
        <v>3</v>
      </c>
      <c r="X80" s="1272">
        <v>36099</v>
      </c>
      <c r="Y80" s="1272">
        <v>7571</v>
      </c>
      <c r="Z80" s="1272">
        <v>276437</v>
      </c>
      <c r="AA80" s="1272">
        <v>1900</v>
      </c>
      <c r="AB80" s="1272">
        <v>0</v>
      </c>
      <c r="AC80" s="1273">
        <v>322007</v>
      </c>
      <c r="AE80" s="1267"/>
    </row>
    <row r="81" spans="1:31" ht="21.75" customHeight="1" x14ac:dyDescent="0.2">
      <c r="A81" s="1474"/>
      <c r="B81" s="1473"/>
      <c r="C81" s="1271" t="s">
        <v>215</v>
      </c>
      <c r="D81" s="1272">
        <f t="shared" ref="D81:H83" si="8">D49+D61+D65+D69+D73+D77</f>
        <v>0</v>
      </c>
      <c r="E81" s="1272">
        <f t="shared" si="8"/>
        <v>22944</v>
      </c>
      <c r="F81" s="1272">
        <f t="shared" si="8"/>
        <v>0</v>
      </c>
      <c r="G81" s="1272">
        <f t="shared" si="8"/>
        <v>66587</v>
      </c>
      <c r="H81" s="1272">
        <f t="shared" si="8"/>
        <v>34541</v>
      </c>
      <c r="I81" s="1272"/>
      <c r="J81" s="1272"/>
      <c r="K81" s="1272">
        <f t="shared" ref="K81:T81" si="9">K49+K61+K65+K69+K73+K77</f>
        <v>0</v>
      </c>
      <c r="L81" s="1272">
        <f t="shared" si="9"/>
        <v>0</v>
      </c>
      <c r="M81" s="1272">
        <f t="shared" si="9"/>
        <v>0</v>
      </c>
      <c r="N81" s="1272">
        <f t="shared" si="9"/>
        <v>0</v>
      </c>
      <c r="O81" s="1272">
        <f t="shared" si="9"/>
        <v>0</v>
      </c>
      <c r="P81" s="1272">
        <f t="shared" si="9"/>
        <v>0</v>
      </c>
      <c r="Q81" s="1272">
        <f t="shared" si="9"/>
        <v>0</v>
      </c>
      <c r="R81" s="1272">
        <f t="shared" si="9"/>
        <v>207011</v>
      </c>
      <c r="S81" s="1289">
        <f t="shared" si="9"/>
        <v>124072</v>
      </c>
      <c r="T81" s="1273">
        <f t="shared" si="9"/>
        <v>331083</v>
      </c>
      <c r="U81" s="1474"/>
      <c r="V81" s="1473"/>
      <c r="W81" s="1271" t="s">
        <v>215</v>
      </c>
      <c r="X81" s="1272">
        <f t="shared" ref="X81:AC83" si="10">X49+X61+X65+X69+X73+X77</f>
        <v>34535</v>
      </c>
      <c r="Y81" s="1272">
        <f t="shared" si="10"/>
        <v>7224</v>
      </c>
      <c r="Z81" s="1272">
        <f t="shared" si="10"/>
        <v>287424</v>
      </c>
      <c r="AA81" s="1272">
        <f t="shared" si="10"/>
        <v>1900</v>
      </c>
      <c r="AB81" s="1272">
        <f t="shared" si="10"/>
        <v>0</v>
      </c>
      <c r="AC81" s="1273">
        <f t="shared" si="10"/>
        <v>331083</v>
      </c>
      <c r="AE81" s="1267"/>
    </row>
    <row r="82" spans="1:31" ht="21.75" customHeight="1" x14ac:dyDescent="0.2">
      <c r="A82" s="1474"/>
      <c r="B82" s="1473"/>
      <c r="C82" s="1271" t="s">
        <v>924</v>
      </c>
      <c r="D82" s="1272">
        <f t="shared" si="8"/>
        <v>0</v>
      </c>
      <c r="E82" s="1272">
        <f t="shared" si="8"/>
        <v>22944</v>
      </c>
      <c r="F82" s="1272">
        <f t="shared" si="8"/>
        <v>0</v>
      </c>
      <c r="G82" s="1272">
        <f t="shared" si="8"/>
        <v>66587</v>
      </c>
      <c r="H82" s="1272">
        <f t="shared" si="8"/>
        <v>40511</v>
      </c>
      <c r="I82" s="1272">
        <f t="shared" ref="I82:R82" si="11">I50+I62+I66+I70+I74+I78</f>
        <v>6</v>
      </c>
      <c r="J82" s="1272">
        <f t="shared" si="11"/>
        <v>0</v>
      </c>
      <c r="K82" s="1272">
        <f t="shared" si="11"/>
        <v>0</v>
      </c>
      <c r="L82" s="1272">
        <f t="shared" si="11"/>
        <v>0</v>
      </c>
      <c r="M82" s="1272">
        <f t="shared" si="11"/>
        <v>295</v>
      </c>
      <c r="N82" s="1272">
        <f t="shared" si="11"/>
        <v>0</v>
      </c>
      <c r="O82" s="1272">
        <f t="shared" si="11"/>
        <v>0</v>
      </c>
      <c r="P82" s="1272">
        <f t="shared" si="11"/>
        <v>0</v>
      </c>
      <c r="Q82" s="1272">
        <f t="shared" si="11"/>
        <v>365</v>
      </c>
      <c r="R82" s="1272">
        <f t="shared" si="11"/>
        <v>200797</v>
      </c>
      <c r="S82" s="1289">
        <f>E82+G82+H82+O82+D82+F82+I82+J82+K82+L82+M82+N82+Q82</f>
        <v>130708</v>
      </c>
      <c r="T82" s="1273">
        <f>T50+T62+T66+T70+T74+T78</f>
        <v>331505</v>
      </c>
      <c r="U82" s="1474"/>
      <c r="V82" s="1473"/>
      <c r="W82" s="1271" t="s">
        <v>924</v>
      </c>
      <c r="X82" s="1272">
        <f t="shared" si="10"/>
        <v>35312</v>
      </c>
      <c r="Y82" s="1272">
        <f t="shared" si="10"/>
        <v>7394</v>
      </c>
      <c r="Z82" s="1272">
        <f t="shared" si="10"/>
        <v>288399</v>
      </c>
      <c r="AA82" s="1272">
        <f t="shared" si="10"/>
        <v>400</v>
      </c>
      <c r="AB82" s="1272">
        <f t="shared" si="10"/>
        <v>0</v>
      </c>
      <c r="AC82" s="1273">
        <f t="shared" si="10"/>
        <v>331505</v>
      </c>
      <c r="AE82" s="1267"/>
    </row>
    <row r="83" spans="1:31" ht="21.75" customHeight="1" x14ac:dyDescent="0.2">
      <c r="A83" s="1474"/>
      <c r="B83" s="1473"/>
      <c r="C83" s="1271" t="s">
        <v>772</v>
      </c>
      <c r="D83" s="1272">
        <f t="shared" si="8"/>
        <v>0</v>
      </c>
      <c r="E83" s="1272">
        <f t="shared" si="8"/>
        <v>22644</v>
      </c>
      <c r="F83" s="1272">
        <f t="shared" si="8"/>
        <v>0</v>
      </c>
      <c r="G83" s="1272">
        <f t="shared" si="8"/>
        <v>66587</v>
      </c>
      <c r="H83" s="1272">
        <f t="shared" si="8"/>
        <v>41511</v>
      </c>
      <c r="I83" s="1272">
        <f t="shared" ref="I83:R83" si="12">I51+I63+I67+I71+I75+I79</f>
        <v>6</v>
      </c>
      <c r="J83" s="1272">
        <f t="shared" si="12"/>
        <v>0</v>
      </c>
      <c r="K83" s="1272">
        <f t="shared" si="12"/>
        <v>0</v>
      </c>
      <c r="L83" s="1272">
        <f t="shared" si="12"/>
        <v>0</v>
      </c>
      <c r="M83" s="1272">
        <f t="shared" si="12"/>
        <v>295</v>
      </c>
      <c r="N83" s="1272">
        <f t="shared" si="12"/>
        <v>0</v>
      </c>
      <c r="O83" s="1272">
        <f t="shared" si="12"/>
        <v>0</v>
      </c>
      <c r="P83" s="1272">
        <f t="shared" si="12"/>
        <v>0</v>
      </c>
      <c r="Q83" s="1272">
        <f t="shared" si="12"/>
        <v>365</v>
      </c>
      <c r="R83" s="1272">
        <f t="shared" si="12"/>
        <v>200833</v>
      </c>
      <c r="S83" s="1289">
        <f>E83+G83+H83+O83+D83+F83+I83+J83+K83+L83+M83+N83+Q83</f>
        <v>131408</v>
      </c>
      <c r="T83" s="1273">
        <f>T51+T63+T67+T71+T75+T79</f>
        <v>332241</v>
      </c>
      <c r="U83" s="1474"/>
      <c r="V83" s="1473"/>
      <c r="W83" s="1271" t="s">
        <v>772</v>
      </c>
      <c r="X83" s="1272">
        <f t="shared" si="10"/>
        <v>35256</v>
      </c>
      <c r="Y83" s="1272">
        <f t="shared" si="10"/>
        <v>7485</v>
      </c>
      <c r="Z83" s="1272">
        <f t="shared" si="10"/>
        <v>288500</v>
      </c>
      <c r="AA83" s="1272">
        <f t="shared" si="10"/>
        <v>1000</v>
      </c>
      <c r="AB83" s="1272">
        <f t="shared" si="10"/>
        <v>0</v>
      </c>
      <c r="AC83" s="1273">
        <f t="shared" si="10"/>
        <v>332241</v>
      </c>
      <c r="AE83" s="1267"/>
    </row>
    <row r="84" spans="1:31" ht="21.75" customHeight="1" x14ac:dyDescent="0.2">
      <c r="A84" s="1474" t="s">
        <v>97</v>
      </c>
      <c r="B84" s="1473" t="s">
        <v>246</v>
      </c>
      <c r="C84" s="1271" t="s">
        <v>3</v>
      </c>
      <c r="D84" s="1272">
        <v>2000</v>
      </c>
      <c r="E84" s="1272">
        <v>28285</v>
      </c>
      <c r="F84" s="1272">
        <v>300</v>
      </c>
      <c r="G84" s="1272">
        <v>0</v>
      </c>
      <c r="H84" s="1272">
        <v>9918</v>
      </c>
      <c r="I84" s="1272"/>
      <c r="J84" s="1272"/>
      <c r="K84" s="1272">
        <v>0</v>
      </c>
      <c r="L84" s="1272">
        <v>0</v>
      </c>
      <c r="M84" s="1272">
        <v>0</v>
      </c>
      <c r="N84" s="1272">
        <v>800</v>
      </c>
      <c r="O84" s="1272">
        <v>0</v>
      </c>
      <c r="P84" s="1272">
        <v>0</v>
      </c>
      <c r="Q84" s="1272">
        <v>0</v>
      </c>
      <c r="R84" s="1272">
        <v>147021</v>
      </c>
      <c r="S84" s="1289">
        <v>41303</v>
      </c>
      <c r="T84" s="1273">
        <v>188324</v>
      </c>
      <c r="U84" s="1474" t="s">
        <v>97</v>
      </c>
      <c r="V84" s="1473" t="s">
        <v>246</v>
      </c>
      <c r="W84" s="1271" t="s">
        <v>3</v>
      </c>
      <c r="X84" s="1272">
        <v>114950</v>
      </c>
      <c r="Y84" s="1272">
        <v>26535</v>
      </c>
      <c r="Z84" s="1272">
        <v>29839</v>
      </c>
      <c r="AA84" s="1272">
        <v>10000</v>
      </c>
      <c r="AB84" s="1272">
        <v>7000</v>
      </c>
      <c r="AC84" s="1273">
        <v>188324</v>
      </c>
      <c r="AE84" s="1267"/>
    </row>
    <row r="85" spans="1:31" ht="21.75" customHeight="1" x14ac:dyDescent="0.2">
      <c r="A85" s="1474"/>
      <c r="B85" s="1473"/>
      <c r="C85" s="1271" t="s">
        <v>215</v>
      </c>
      <c r="D85" s="1272">
        <v>2000</v>
      </c>
      <c r="E85" s="1272">
        <v>28285</v>
      </c>
      <c r="F85" s="1272">
        <v>300</v>
      </c>
      <c r="G85" s="1272"/>
      <c r="H85" s="1272">
        <v>9918</v>
      </c>
      <c r="I85" s="1272"/>
      <c r="J85" s="1272"/>
      <c r="K85" s="1272">
        <v>900</v>
      </c>
      <c r="L85" s="1272"/>
      <c r="M85" s="1272"/>
      <c r="N85" s="1272">
        <v>800</v>
      </c>
      <c r="O85" s="1272"/>
      <c r="P85" s="1272"/>
      <c r="Q85" s="1272"/>
      <c r="R85" s="1272">
        <f>AC85-S85</f>
        <v>155554</v>
      </c>
      <c r="S85" s="1289">
        <f>D85+E85+F85+G85+H85+K85+N85</f>
        <v>42203</v>
      </c>
      <c r="T85" s="1273">
        <f>SUM(R85:S85)</f>
        <v>197757</v>
      </c>
      <c r="U85" s="1474"/>
      <c r="V85" s="1473"/>
      <c r="W85" s="1271" t="s">
        <v>215</v>
      </c>
      <c r="X85" s="1272">
        <f>114950+120+1219</f>
        <v>116289</v>
      </c>
      <c r="Y85" s="1272">
        <f>26535+16+268</f>
        <v>26819</v>
      </c>
      <c r="Z85" s="1272">
        <f>29839+4520+900</f>
        <v>35259</v>
      </c>
      <c r="AA85" s="1272">
        <f>10000+2390</f>
        <v>12390</v>
      </c>
      <c r="AB85" s="1272">
        <v>7000</v>
      </c>
      <c r="AC85" s="1273">
        <f>SUM(X85:AB85)</f>
        <v>197757</v>
      </c>
      <c r="AE85" s="1267"/>
    </row>
    <row r="86" spans="1:31" ht="21.75" customHeight="1" x14ac:dyDescent="0.2">
      <c r="A86" s="1474"/>
      <c r="B86" s="1473"/>
      <c r="C86" s="1271" t="s">
        <v>924</v>
      </c>
      <c r="D86" s="1272">
        <v>2000</v>
      </c>
      <c r="E86" s="1272">
        <v>28285</v>
      </c>
      <c r="F86" s="1272">
        <v>300</v>
      </c>
      <c r="G86" s="1272"/>
      <c r="H86" s="1272">
        <v>9918</v>
      </c>
      <c r="I86" s="1272">
        <v>2</v>
      </c>
      <c r="J86" s="1272"/>
      <c r="K86" s="1272">
        <f>900+6270</f>
        <v>7170</v>
      </c>
      <c r="L86" s="1272">
        <v>800</v>
      </c>
      <c r="M86" s="1272">
        <v>3889</v>
      </c>
      <c r="N86" s="1272">
        <f>800-800</f>
        <v>0</v>
      </c>
      <c r="O86" s="1272"/>
      <c r="P86" s="1272"/>
      <c r="Q86" s="1272">
        <v>1538</v>
      </c>
      <c r="R86" s="1272">
        <f>AC86-S86</f>
        <v>165134</v>
      </c>
      <c r="S86" s="1289">
        <f>E86+G86+H86+O86+D86+F86+I86+J86+K86+L86+M86+N86+Q86</f>
        <v>53902</v>
      </c>
      <c r="T86" s="1273">
        <f>SUM(R86:S86)</f>
        <v>219036</v>
      </c>
      <c r="U86" s="1474"/>
      <c r="V86" s="1473"/>
      <c r="W86" s="1271" t="s">
        <v>924</v>
      </c>
      <c r="X86" s="1272">
        <f>114950+120+1219+3188+1730+2528+154+150</f>
        <v>124039</v>
      </c>
      <c r="Y86" s="1272">
        <f>26535+16+268+701+320+556+34</f>
        <v>28430</v>
      </c>
      <c r="Z86" s="1272">
        <f>29839+4520+900+2+4220+1538+2500+3108+550</f>
        <v>47177</v>
      </c>
      <c r="AA86" s="1272">
        <f>10000+2390</f>
        <v>12390</v>
      </c>
      <c r="AB86" s="1272">
        <v>7000</v>
      </c>
      <c r="AC86" s="1273">
        <f>SUM(X86:AB86)</f>
        <v>219036</v>
      </c>
      <c r="AE86" s="1267"/>
    </row>
    <row r="87" spans="1:31" ht="21.75" customHeight="1" x14ac:dyDescent="0.2">
      <c r="A87" s="1474"/>
      <c r="B87" s="1473"/>
      <c r="C87" s="1271" t="s">
        <v>772</v>
      </c>
      <c r="D87" s="1272">
        <f>2000+500</f>
        <v>2500</v>
      </c>
      <c r="E87" s="1272">
        <f>28285-567-10000</f>
        <v>17718</v>
      </c>
      <c r="F87" s="1272">
        <v>300</v>
      </c>
      <c r="G87" s="1272"/>
      <c r="H87" s="1272">
        <v>9918</v>
      </c>
      <c r="I87" s="1272">
        <v>2</v>
      </c>
      <c r="J87" s="1272">
        <v>67</v>
      </c>
      <c r="K87" s="1272">
        <f>900+6270-1250</f>
        <v>5920</v>
      </c>
      <c r="L87" s="1272">
        <v>800</v>
      </c>
      <c r="M87" s="1272">
        <f>3889+483</f>
        <v>4372</v>
      </c>
      <c r="N87" s="1272">
        <f>800-800</f>
        <v>0</v>
      </c>
      <c r="O87" s="1272"/>
      <c r="P87" s="1272"/>
      <c r="Q87" s="1272">
        <v>1538</v>
      </c>
      <c r="R87" s="1272">
        <f>AC87-S87</f>
        <v>171403</v>
      </c>
      <c r="S87" s="1289">
        <f>E87+G87+H87+O87+D87+F87+I87+J87+K87+L87+M87+N87+Q87</f>
        <v>43135</v>
      </c>
      <c r="T87" s="1273">
        <f>SUM(R87:S87)</f>
        <v>214538</v>
      </c>
      <c r="U87" s="1474"/>
      <c r="V87" s="1473"/>
      <c r="W87" s="1271" t="s">
        <v>772</v>
      </c>
      <c r="X87" s="1272">
        <f>114950+120+1219+3188+1730+2528+154+150-1025+396+108+1789-8197+36+593</f>
        <v>117739</v>
      </c>
      <c r="Y87" s="1272">
        <f>26535+16+268+701+320+556+34-225+87+24+393-1803+8+131</f>
        <v>27045</v>
      </c>
      <c r="Z87" s="1272">
        <f>29839+4520+900+2+4220+1538+2500+3108+550</f>
        <v>47177</v>
      </c>
      <c r="AA87" s="1272">
        <f>10000+2390+3187</f>
        <v>15577</v>
      </c>
      <c r="AB87" s="1272">
        <v>7000</v>
      </c>
      <c r="AC87" s="1273">
        <f>SUM(X87:AB87)</f>
        <v>214538</v>
      </c>
      <c r="AE87" s="1267"/>
    </row>
    <row r="88" spans="1:31" ht="21.75" customHeight="1" x14ac:dyDescent="0.2">
      <c r="A88" s="1474" t="s">
        <v>932</v>
      </c>
      <c r="B88" s="1473" t="s">
        <v>246</v>
      </c>
      <c r="C88" s="1271" t="s">
        <v>3</v>
      </c>
      <c r="D88" s="1271"/>
      <c r="E88" s="1272">
        <v>1230</v>
      </c>
      <c r="F88" s="1272"/>
      <c r="G88" s="1272">
        <v>0</v>
      </c>
      <c r="H88" s="1272">
        <v>332</v>
      </c>
      <c r="I88" s="1272"/>
      <c r="J88" s="1272"/>
      <c r="K88" s="1272">
        <v>0</v>
      </c>
      <c r="L88" s="1272">
        <v>0</v>
      </c>
      <c r="M88" s="1272">
        <v>0</v>
      </c>
      <c r="N88" s="1272">
        <v>0</v>
      </c>
      <c r="O88" s="1272">
        <v>0</v>
      </c>
      <c r="P88" s="1272">
        <v>0</v>
      </c>
      <c r="Q88" s="1272">
        <v>0</v>
      </c>
      <c r="R88" s="1272">
        <v>34975</v>
      </c>
      <c r="S88" s="1289">
        <f>E88+H88+M88</f>
        <v>1562</v>
      </c>
      <c r="T88" s="1273">
        <v>36537</v>
      </c>
      <c r="U88" s="1474" t="s">
        <v>932</v>
      </c>
      <c r="V88" s="1473" t="s">
        <v>246</v>
      </c>
      <c r="W88" s="1271" t="s">
        <v>3</v>
      </c>
      <c r="X88" s="1272">
        <v>24309</v>
      </c>
      <c r="Y88" s="1272">
        <v>5087</v>
      </c>
      <c r="Z88" s="1272">
        <v>6141</v>
      </c>
      <c r="AA88" s="1272">
        <v>1000</v>
      </c>
      <c r="AB88" s="1272">
        <v>0</v>
      </c>
      <c r="AC88" s="1273">
        <v>36537</v>
      </c>
      <c r="AE88" s="1267"/>
    </row>
    <row r="89" spans="1:31" ht="21.75" customHeight="1" x14ac:dyDescent="0.2">
      <c r="A89" s="1474"/>
      <c r="B89" s="1473"/>
      <c r="C89" s="1271" t="s">
        <v>215</v>
      </c>
      <c r="D89" s="1271"/>
      <c r="E89" s="1272">
        <v>1230</v>
      </c>
      <c r="F89" s="1272"/>
      <c r="G89" s="1272"/>
      <c r="H89" s="1272">
        <v>332</v>
      </c>
      <c r="I89" s="1272"/>
      <c r="J89" s="1272"/>
      <c r="K89" s="1272"/>
      <c r="L89" s="1272"/>
      <c r="M89" s="1272"/>
      <c r="N89" s="1272"/>
      <c r="O89" s="1272"/>
      <c r="P89" s="1272"/>
      <c r="Q89" s="1272"/>
      <c r="R89" s="1272">
        <f>AC89-S89</f>
        <v>37718</v>
      </c>
      <c r="S89" s="1289">
        <f>E89+H89+M89</f>
        <v>1562</v>
      </c>
      <c r="T89" s="1273">
        <f>SUM(R89:S89)</f>
        <v>39280</v>
      </c>
      <c r="U89" s="1474"/>
      <c r="V89" s="1473"/>
      <c r="W89" s="1271" t="s">
        <v>215</v>
      </c>
      <c r="X89" s="1272">
        <f>24309+88+369</f>
        <v>24766</v>
      </c>
      <c r="Y89" s="1272">
        <f>5087+14+81</f>
        <v>5182</v>
      </c>
      <c r="Z89" s="1272">
        <f>6141+2640-749+300</f>
        <v>8332</v>
      </c>
      <c r="AA89" s="1272">
        <f>1000-749+749</f>
        <v>1000</v>
      </c>
      <c r="AB89" s="1272"/>
      <c r="AC89" s="1273">
        <f>SUM(X89:AB89)</f>
        <v>39280</v>
      </c>
      <c r="AE89" s="1267"/>
    </row>
    <row r="90" spans="1:31" ht="21.75" customHeight="1" x14ac:dyDescent="0.2">
      <c r="A90" s="1474"/>
      <c r="B90" s="1473"/>
      <c r="C90" s="1271" t="s">
        <v>924</v>
      </c>
      <c r="D90" s="1271"/>
      <c r="E90" s="1272">
        <f>1230+140</f>
        <v>1370</v>
      </c>
      <c r="F90" s="1272"/>
      <c r="G90" s="1272"/>
      <c r="H90" s="1272">
        <v>332</v>
      </c>
      <c r="I90" s="1272"/>
      <c r="J90" s="1272"/>
      <c r="K90" s="1272"/>
      <c r="L90" s="1272"/>
      <c r="M90" s="1272">
        <v>147</v>
      </c>
      <c r="N90" s="1272"/>
      <c r="O90" s="1272"/>
      <c r="P90" s="1272"/>
      <c r="Q90" s="1272">
        <v>189</v>
      </c>
      <c r="R90" s="1272">
        <f>AC90-S90</f>
        <v>42567</v>
      </c>
      <c r="S90" s="1289">
        <f>E90+G90+H90+O90+D90+F90+I90+J90+K90+L90+M90+N90+Q90</f>
        <v>2038</v>
      </c>
      <c r="T90" s="1273">
        <f>SUM(R90:S90)</f>
        <v>44605</v>
      </c>
      <c r="U90" s="1474"/>
      <c r="V90" s="1473"/>
      <c r="W90" s="1271" t="s">
        <v>924</v>
      </c>
      <c r="X90" s="1272">
        <f>24309+88+369+121+770+146</f>
        <v>25803</v>
      </c>
      <c r="Y90" s="1272">
        <f>5087+14+81+26+169+32</f>
        <v>5409</v>
      </c>
      <c r="Z90" s="1272">
        <f>6141+2640-749+300+262+100+189+2778</f>
        <v>11661</v>
      </c>
      <c r="AA90" s="1272">
        <f>1000-749+749-262+140+854</f>
        <v>1732</v>
      </c>
      <c r="AB90" s="1272"/>
      <c r="AC90" s="1273">
        <f>SUM(X90:AB90)</f>
        <v>44605</v>
      </c>
      <c r="AE90" s="1267"/>
    </row>
    <row r="91" spans="1:31" ht="21.75" customHeight="1" x14ac:dyDescent="0.2">
      <c r="A91" s="1474"/>
      <c r="B91" s="1473"/>
      <c r="C91" s="1271" t="s">
        <v>772</v>
      </c>
      <c r="D91" s="1271"/>
      <c r="E91" s="1272">
        <f>1230+140</f>
        <v>1370</v>
      </c>
      <c r="F91" s="1272"/>
      <c r="G91" s="1272"/>
      <c r="H91" s="1272">
        <v>332</v>
      </c>
      <c r="I91" s="1272"/>
      <c r="J91" s="1272"/>
      <c r="K91" s="1272"/>
      <c r="L91" s="1272"/>
      <c r="M91" s="1272">
        <v>147</v>
      </c>
      <c r="N91" s="1272"/>
      <c r="O91" s="1272"/>
      <c r="P91" s="1272"/>
      <c r="Q91" s="1272">
        <v>189</v>
      </c>
      <c r="R91" s="1272">
        <f>AC91-S91</f>
        <v>43666</v>
      </c>
      <c r="S91" s="1289">
        <f>E91+G91+H91+O91+D91+F91+I91+J91+K91+L91+M91+N91+Q91</f>
        <v>2038</v>
      </c>
      <c r="T91" s="1273">
        <f>SUM(R91:S91)</f>
        <v>45704</v>
      </c>
      <c r="U91" s="1474"/>
      <c r="V91" s="1473"/>
      <c r="W91" s="1271" t="s">
        <v>772</v>
      </c>
      <c r="X91" s="1272">
        <f>24309+88+369+121+770+146+79+593+26+202</f>
        <v>26703</v>
      </c>
      <c r="Y91" s="1272">
        <f>5087+14+81+26+169+32+17+131+6+45</f>
        <v>5608</v>
      </c>
      <c r="Z91" s="1272">
        <f>6141+2640-749+300+262+100+189+2778</f>
        <v>11661</v>
      </c>
      <c r="AA91" s="1272">
        <f>1000-749+749-262+140+854</f>
        <v>1732</v>
      </c>
      <c r="AB91" s="1272"/>
      <c r="AC91" s="1273">
        <f>SUM(X91:AB91)</f>
        <v>45704</v>
      </c>
      <c r="AE91" s="1267"/>
    </row>
    <row r="92" spans="1:31" s="1266" customFormat="1" ht="21.75" customHeight="1" x14ac:dyDescent="0.2">
      <c r="A92" s="1475" t="s">
        <v>931</v>
      </c>
      <c r="B92" s="1473" t="s">
        <v>246</v>
      </c>
      <c r="C92" s="1271" t="s">
        <v>3</v>
      </c>
      <c r="D92" s="1271"/>
      <c r="E92" s="1272">
        <v>0</v>
      </c>
      <c r="F92" s="1272">
        <v>1256</v>
      </c>
      <c r="G92" s="1272">
        <v>0</v>
      </c>
      <c r="H92" s="1272">
        <v>0</v>
      </c>
      <c r="I92" s="1272"/>
      <c r="J92" s="1272"/>
      <c r="K92" s="1272">
        <v>0</v>
      </c>
      <c r="L92" s="1272">
        <v>0</v>
      </c>
      <c r="M92" s="1272">
        <v>70168</v>
      </c>
      <c r="N92" s="1272">
        <v>0</v>
      </c>
      <c r="O92" s="1272">
        <v>0</v>
      </c>
      <c r="P92" s="1272">
        <v>0</v>
      </c>
      <c r="Q92" s="1272">
        <v>0</v>
      </c>
      <c r="R92" s="1272">
        <v>234</v>
      </c>
      <c r="S92" s="1289">
        <f>F92+M92</f>
        <v>71424</v>
      </c>
      <c r="T92" s="1273">
        <v>71658</v>
      </c>
      <c r="U92" s="1475" t="s">
        <v>931</v>
      </c>
      <c r="V92" s="1473" t="s">
        <v>246</v>
      </c>
      <c r="W92" s="1271" t="s">
        <v>3</v>
      </c>
      <c r="X92" s="1272">
        <v>49981</v>
      </c>
      <c r="Y92" s="1272">
        <v>10801</v>
      </c>
      <c r="Z92" s="1272">
        <v>10072</v>
      </c>
      <c r="AA92" s="1272">
        <v>804</v>
      </c>
      <c r="AB92" s="1272">
        <v>0</v>
      </c>
      <c r="AC92" s="1273">
        <v>71658</v>
      </c>
      <c r="AE92" s="1268"/>
    </row>
    <row r="93" spans="1:31" s="1266" customFormat="1" ht="21.75" customHeight="1" x14ac:dyDescent="0.2">
      <c r="A93" s="1475"/>
      <c r="B93" s="1473"/>
      <c r="C93" s="1271" t="s">
        <v>215</v>
      </c>
      <c r="D93" s="1271"/>
      <c r="E93" s="1272"/>
      <c r="F93" s="1272">
        <v>1256</v>
      </c>
      <c r="G93" s="1272"/>
      <c r="H93" s="1272"/>
      <c r="I93" s="1272"/>
      <c r="J93" s="1272"/>
      <c r="K93" s="1272"/>
      <c r="L93" s="1272"/>
      <c r="M93" s="1272">
        <v>70168</v>
      </c>
      <c r="N93" s="1272"/>
      <c r="O93" s="1272"/>
      <c r="P93" s="1272"/>
      <c r="Q93" s="1272"/>
      <c r="R93" s="1272">
        <f>AC93-S93</f>
        <v>7344</v>
      </c>
      <c r="S93" s="1289">
        <f>F93+M93</f>
        <v>71424</v>
      </c>
      <c r="T93" s="1273">
        <f>SUM(R93:S93)</f>
        <v>78768</v>
      </c>
      <c r="U93" s="1475"/>
      <c r="V93" s="1473"/>
      <c r="W93" s="1271" t="s">
        <v>215</v>
      </c>
      <c r="X93" s="1272">
        <f>49981+77+2528+440-1772</f>
        <v>51254</v>
      </c>
      <c r="Y93" s="1272">
        <f>10801+12+683-390</f>
        <v>11106</v>
      </c>
      <c r="Z93" s="1272">
        <f>10072+3070+2162+300</f>
        <v>15604</v>
      </c>
      <c r="AA93" s="1272">
        <v>804</v>
      </c>
      <c r="AB93" s="1272"/>
      <c r="AC93" s="1273">
        <f>SUM(X93:AB93)</f>
        <v>78768</v>
      </c>
      <c r="AE93" s="1268"/>
    </row>
    <row r="94" spans="1:31" s="1266" customFormat="1" ht="21.75" customHeight="1" x14ac:dyDescent="0.2">
      <c r="A94" s="1475"/>
      <c r="B94" s="1473"/>
      <c r="C94" s="1271" t="s">
        <v>924</v>
      </c>
      <c r="D94" s="1271"/>
      <c r="E94" s="1272"/>
      <c r="F94" s="1272">
        <v>1256</v>
      </c>
      <c r="G94" s="1272"/>
      <c r="H94" s="1272"/>
      <c r="I94" s="1272">
        <v>1</v>
      </c>
      <c r="J94" s="1272">
        <v>38</v>
      </c>
      <c r="K94" s="1272"/>
      <c r="L94" s="1272"/>
      <c r="M94" s="1272">
        <v>70168</v>
      </c>
      <c r="N94" s="1272"/>
      <c r="O94" s="1272"/>
      <c r="P94" s="1272"/>
      <c r="Q94" s="1272">
        <v>2167</v>
      </c>
      <c r="R94" s="1272">
        <f>AC94-S94</f>
        <v>7457</v>
      </c>
      <c r="S94" s="1289">
        <f>E94+G94+H94+O94+D94+F94+I94+J94+K94+L94+M94+N94+Q94</f>
        <v>73630</v>
      </c>
      <c r="T94" s="1273">
        <f>SUM(R94:S94)</f>
        <v>81087</v>
      </c>
      <c r="U94" s="1475"/>
      <c r="V94" s="1473"/>
      <c r="W94" s="1271" t="s">
        <v>924</v>
      </c>
      <c r="X94" s="1272">
        <f>49981+77+2528+440-1772-1617+600+93</f>
        <v>50330</v>
      </c>
      <c r="Y94" s="1272">
        <f>10801+12+683-390-356+132+20</f>
        <v>10902</v>
      </c>
      <c r="Z94" s="1272">
        <f>10072+3070+2162+300+1973+39+1435</f>
        <v>19051</v>
      </c>
      <c r="AA94" s="1272">
        <v>804</v>
      </c>
      <c r="AB94" s="1272"/>
      <c r="AC94" s="1273">
        <f>SUM(X94:AB94)</f>
        <v>81087</v>
      </c>
      <c r="AE94" s="1268"/>
    </row>
    <row r="95" spans="1:31" s="1266" customFormat="1" ht="21.75" customHeight="1" x14ac:dyDescent="0.2">
      <c r="A95" s="1475"/>
      <c r="B95" s="1473"/>
      <c r="C95" s="1271" t="s">
        <v>772</v>
      </c>
      <c r="D95" s="1271"/>
      <c r="E95" s="1272"/>
      <c r="F95" s="1272">
        <v>1256</v>
      </c>
      <c r="G95" s="1272"/>
      <c r="H95" s="1272"/>
      <c r="I95" s="1272">
        <v>1</v>
      </c>
      <c r="J95" s="1272">
        <v>38</v>
      </c>
      <c r="K95" s="1272"/>
      <c r="L95" s="1272"/>
      <c r="M95" s="1272">
        <f>70168+2290-758</f>
        <v>71700</v>
      </c>
      <c r="N95" s="1272"/>
      <c r="O95" s="1272"/>
      <c r="P95" s="1272"/>
      <c r="Q95" s="1272">
        <v>2167</v>
      </c>
      <c r="R95" s="1272">
        <f>AC95-S95</f>
        <v>7570</v>
      </c>
      <c r="S95" s="1289">
        <f>E95+G95+H95+O95+D95+F95+I95+J95+K95+L95+M95+N95+Q95</f>
        <v>75162</v>
      </c>
      <c r="T95" s="1273">
        <f>SUM(R95:S95)</f>
        <v>82732</v>
      </c>
      <c r="U95" s="1475"/>
      <c r="V95" s="1473"/>
      <c r="W95" s="1271" t="s">
        <v>772</v>
      </c>
      <c r="X95" s="1272">
        <f>49981+77+2528+440-1772-1617+600+93+311+70-202+23</f>
        <v>50532</v>
      </c>
      <c r="Y95" s="1272">
        <f>10801+12+683-390-356+132+20+119+15+202+5</f>
        <v>11243</v>
      </c>
      <c r="Z95" s="1272">
        <f>10072+3070+2162+300+1973+39+1435+1860-758</f>
        <v>20153</v>
      </c>
      <c r="AA95" s="1272">
        <v>804</v>
      </c>
      <c r="AB95" s="1272"/>
      <c r="AC95" s="1273">
        <f>SUM(X95:AB95)</f>
        <v>82732</v>
      </c>
      <c r="AE95" s="1268"/>
    </row>
    <row r="96" spans="1:31" s="1266" customFormat="1" ht="21.75" customHeight="1" x14ac:dyDescent="0.2">
      <c r="A96" s="1475" t="s">
        <v>930</v>
      </c>
      <c r="B96" s="1473" t="s">
        <v>929</v>
      </c>
      <c r="C96" s="1271" t="s">
        <v>3</v>
      </c>
      <c r="D96" s="1272">
        <v>2000</v>
      </c>
      <c r="E96" s="1272">
        <v>51467</v>
      </c>
      <c r="F96" s="1272">
        <v>1556</v>
      </c>
      <c r="G96" s="1272">
        <v>83853</v>
      </c>
      <c r="H96" s="1272">
        <v>53420</v>
      </c>
      <c r="I96" s="1272"/>
      <c r="J96" s="1272"/>
      <c r="K96" s="1272">
        <v>0</v>
      </c>
      <c r="L96" s="1272">
        <v>0</v>
      </c>
      <c r="M96" s="1272">
        <v>70168</v>
      </c>
      <c r="N96" s="1272">
        <v>800</v>
      </c>
      <c r="O96" s="1272">
        <v>0</v>
      </c>
      <c r="P96" s="1272">
        <v>0</v>
      </c>
      <c r="Q96" s="1272">
        <v>0</v>
      </c>
      <c r="R96" s="1272">
        <v>986035</v>
      </c>
      <c r="S96" s="1289">
        <v>263264</v>
      </c>
      <c r="T96" s="1273">
        <v>1249299</v>
      </c>
      <c r="U96" s="1475" t="s">
        <v>930</v>
      </c>
      <c r="V96" s="1473" t="s">
        <v>929</v>
      </c>
      <c r="W96" s="1271" t="s">
        <v>3</v>
      </c>
      <c r="X96" s="1272">
        <v>646786</v>
      </c>
      <c r="Y96" s="1272">
        <f>Y92+Y88+Y84+Y80+Y32+Y28+Y24+Y20+Y16+Y12+Y8+Y4</f>
        <v>142666</v>
      </c>
      <c r="Z96" s="1272">
        <f>Z92+Z88+Z84+Z80+Z32+Z28+Z24+Z20+Z16+Z12+Z8+Z4</f>
        <v>425875</v>
      </c>
      <c r="AA96" s="1272">
        <f>AA92+AA88+AA84+AA80+AA32+AA28+AA24+AA20+AA16+AA12+AA8+AA4</f>
        <v>22295</v>
      </c>
      <c r="AB96" s="1272">
        <f>AB92+AB88+AB84+AB80+AB32+AB28+AB24+AB20+AB16+AB12+AB8+AB4</f>
        <v>11677</v>
      </c>
      <c r="AC96" s="1273">
        <v>1249299</v>
      </c>
      <c r="AE96" s="1267"/>
    </row>
    <row r="97" spans="1:29" ht="21.75" customHeight="1" x14ac:dyDescent="0.3">
      <c r="A97" s="1475"/>
      <c r="B97" s="1473"/>
      <c r="C97" s="1271" t="s">
        <v>215</v>
      </c>
      <c r="D97" s="1274">
        <f t="shared" ref="D97:H99" si="13">D5+D9+D13+D17+D21+D25+D29+D33+D81+D85+D89+D93</f>
        <v>2000</v>
      </c>
      <c r="E97" s="1274">
        <f t="shared" si="13"/>
        <v>71045</v>
      </c>
      <c r="F97" s="1274">
        <f t="shared" si="13"/>
        <v>2854</v>
      </c>
      <c r="G97" s="1274">
        <f t="shared" si="13"/>
        <v>85109</v>
      </c>
      <c r="H97" s="1274">
        <f t="shared" si="13"/>
        <v>53420</v>
      </c>
      <c r="I97" s="1274"/>
      <c r="J97" s="1274"/>
      <c r="K97" s="1274">
        <f t="shared" ref="K97:T97" si="14">K5+K9+K13+K17+K21+K25+K29+K33+K81+K85+K89+K93</f>
        <v>900</v>
      </c>
      <c r="L97" s="1274">
        <f t="shared" si="14"/>
        <v>0</v>
      </c>
      <c r="M97" s="1274">
        <f t="shared" si="14"/>
        <v>70168</v>
      </c>
      <c r="N97" s="1274">
        <f t="shared" si="14"/>
        <v>800</v>
      </c>
      <c r="O97" s="1274">
        <f t="shared" si="14"/>
        <v>0</v>
      </c>
      <c r="P97" s="1274">
        <f t="shared" si="14"/>
        <v>0</v>
      </c>
      <c r="Q97" s="1274">
        <f t="shared" si="14"/>
        <v>0</v>
      </c>
      <c r="R97" s="1274">
        <f t="shared" si="14"/>
        <v>1014225</v>
      </c>
      <c r="S97" s="1290">
        <f t="shared" si="14"/>
        <v>286296</v>
      </c>
      <c r="T97" s="1275">
        <f t="shared" si="14"/>
        <v>1300521</v>
      </c>
      <c r="U97" s="1475"/>
      <c r="V97" s="1473"/>
      <c r="W97" s="1271" t="s">
        <v>215</v>
      </c>
      <c r="X97" s="1276">
        <f t="shared" ref="X97:AC99" si="15">X5+X9+X13+X17+X21+X25+X29+X33+X81+X85+X89+X93</f>
        <v>658440</v>
      </c>
      <c r="Y97" s="1276">
        <f t="shared" si="15"/>
        <v>145210</v>
      </c>
      <c r="Z97" s="1276">
        <f t="shared" si="15"/>
        <v>459709</v>
      </c>
      <c r="AA97" s="1276">
        <f t="shared" si="15"/>
        <v>25485</v>
      </c>
      <c r="AB97" s="1276">
        <f t="shared" si="15"/>
        <v>11677</v>
      </c>
      <c r="AC97" s="1277">
        <f t="shared" si="15"/>
        <v>1300521</v>
      </c>
    </row>
    <row r="98" spans="1:29" ht="21.75" customHeight="1" x14ac:dyDescent="0.3">
      <c r="A98" s="1475"/>
      <c r="B98" s="1473"/>
      <c r="C98" s="1271" t="s">
        <v>924</v>
      </c>
      <c r="D98" s="1274">
        <f t="shared" si="13"/>
        <v>2000</v>
      </c>
      <c r="E98" s="1274">
        <f t="shared" si="13"/>
        <v>71500</v>
      </c>
      <c r="F98" s="1274">
        <f t="shared" si="13"/>
        <v>2854</v>
      </c>
      <c r="G98" s="1274">
        <f t="shared" si="13"/>
        <v>85109</v>
      </c>
      <c r="H98" s="1274">
        <f t="shared" si="13"/>
        <v>59390</v>
      </c>
      <c r="I98" s="1274">
        <f>I6+I10+I14+I18+I22+I26+I30+I34+I82+I86+I90+I94</f>
        <v>9</v>
      </c>
      <c r="J98" s="1274">
        <f>J6+J10+J14+J18+J22+J26+J30+J34+J82+J86+J90+J94</f>
        <v>158</v>
      </c>
      <c r="K98" s="1274">
        <f t="shared" ref="K98:T98" si="16">K6+K10+K14+K18+K22+K26+K30+K34+K82+K86+K90+K94</f>
        <v>7170</v>
      </c>
      <c r="L98" s="1274">
        <f t="shared" si="16"/>
        <v>800</v>
      </c>
      <c r="M98" s="1274">
        <f t="shared" si="16"/>
        <v>75316</v>
      </c>
      <c r="N98" s="1274">
        <f t="shared" si="16"/>
        <v>0</v>
      </c>
      <c r="O98" s="1274">
        <f t="shared" si="16"/>
        <v>11</v>
      </c>
      <c r="P98" s="1274">
        <f t="shared" si="16"/>
        <v>0</v>
      </c>
      <c r="Q98" s="1274">
        <f t="shared" si="16"/>
        <v>4826</v>
      </c>
      <c r="R98" s="1274">
        <f t="shared" si="16"/>
        <v>1030994</v>
      </c>
      <c r="S98" s="1290">
        <f t="shared" si="16"/>
        <v>309143</v>
      </c>
      <c r="T98" s="1275">
        <f t="shared" si="16"/>
        <v>1340137</v>
      </c>
      <c r="U98" s="1475"/>
      <c r="V98" s="1473"/>
      <c r="W98" s="1271" t="s">
        <v>924</v>
      </c>
      <c r="X98" s="1276">
        <f t="shared" si="15"/>
        <v>662541</v>
      </c>
      <c r="Y98" s="1276">
        <f t="shared" si="15"/>
        <v>146015</v>
      </c>
      <c r="Z98" s="1276">
        <f t="shared" si="15"/>
        <v>494409</v>
      </c>
      <c r="AA98" s="1276">
        <f t="shared" si="15"/>
        <v>25125</v>
      </c>
      <c r="AB98" s="1276">
        <f t="shared" si="15"/>
        <v>12047</v>
      </c>
      <c r="AC98" s="1277">
        <f t="shared" si="15"/>
        <v>1340137</v>
      </c>
    </row>
    <row r="99" spans="1:29" ht="21.75" customHeight="1" x14ac:dyDescent="0.3">
      <c r="A99" s="1475"/>
      <c r="B99" s="1473"/>
      <c r="C99" s="1271" t="s">
        <v>772</v>
      </c>
      <c r="D99" s="1274">
        <f t="shared" si="13"/>
        <v>2500</v>
      </c>
      <c r="E99" s="1274">
        <f t="shared" si="13"/>
        <v>60853</v>
      </c>
      <c r="F99" s="1274">
        <f t="shared" si="13"/>
        <v>2854</v>
      </c>
      <c r="G99" s="1274">
        <f t="shared" si="13"/>
        <v>85109</v>
      </c>
      <c r="H99" s="1274">
        <f t="shared" si="13"/>
        <v>60390</v>
      </c>
      <c r="I99" s="1274">
        <f>I7+I11+I15+I19+I23+I27+I31+I35+I83+I87+I91+I95</f>
        <v>9</v>
      </c>
      <c r="J99" s="1274">
        <f>J7+J11+J15+J19+J23+J27+J31+J35+J83+J87+J91+J95</f>
        <v>225</v>
      </c>
      <c r="K99" s="1274">
        <f t="shared" ref="K99:T99" si="17">K7+K11+K15+K19+K23+K27+K31+K35+K83+K87+K91+K95</f>
        <v>5920</v>
      </c>
      <c r="L99" s="1274">
        <f t="shared" si="17"/>
        <v>800</v>
      </c>
      <c r="M99" s="1274">
        <f t="shared" si="17"/>
        <v>77331</v>
      </c>
      <c r="N99" s="1274">
        <f t="shared" si="17"/>
        <v>0</v>
      </c>
      <c r="O99" s="1274">
        <f t="shared" si="17"/>
        <v>11</v>
      </c>
      <c r="P99" s="1274">
        <f t="shared" si="17"/>
        <v>0</v>
      </c>
      <c r="Q99" s="1274">
        <f t="shared" si="17"/>
        <v>4826</v>
      </c>
      <c r="R99" s="1274">
        <f t="shared" si="17"/>
        <v>1047348</v>
      </c>
      <c r="S99" s="1290">
        <f t="shared" si="17"/>
        <v>300828</v>
      </c>
      <c r="T99" s="1275">
        <f t="shared" si="17"/>
        <v>1348176</v>
      </c>
      <c r="U99" s="1475"/>
      <c r="V99" s="1473"/>
      <c r="W99" s="1271" t="s">
        <v>772</v>
      </c>
      <c r="X99" s="1276">
        <f t="shared" si="15"/>
        <v>662351</v>
      </c>
      <c r="Y99" s="1276">
        <f t="shared" si="15"/>
        <v>148070</v>
      </c>
      <c r="Z99" s="1276">
        <f t="shared" si="15"/>
        <v>496796</v>
      </c>
      <c r="AA99" s="1276">
        <f t="shared" si="15"/>
        <v>28911</v>
      </c>
      <c r="AB99" s="1276">
        <f t="shared" si="15"/>
        <v>12048</v>
      </c>
      <c r="AC99" s="1277">
        <f t="shared" si="15"/>
        <v>1348176</v>
      </c>
    </row>
    <row r="100" spans="1:29" ht="21.75" customHeight="1" x14ac:dyDescent="0.3">
      <c r="A100" s="1476" t="s">
        <v>928</v>
      </c>
      <c r="B100" s="1477" t="s">
        <v>927</v>
      </c>
      <c r="C100" s="1271" t="s">
        <v>3</v>
      </c>
      <c r="D100" s="1276"/>
      <c r="E100" s="1276">
        <v>51101</v>
      </c>
      <c r="F100" s="1276">
        <v>1556</v>
      </c>
      <c r="G100" s="1276">
        <v>83853</v>
      </c>
      <c r="H100" s="1276">
        <v>36089</v>
      </c>
      <c r="I100" s="1276"/>
      <c r="J100" s="1276"/>
      <c r="K100" s="1276">
        <v>0</v>
      </c>
      <c r="L100" s="1276">
        <v>0</v>
      </c>
      <c r="M100" s="1276">
        <v>70168</v>
      </c>
      <c r="N100" s="1276">
        <v>800</v>
      </c>
      <c r="O100" s="1276">
        <v>0</v>
      </c>
      <c r="P100" s="1276">
        <v>0</v>
      </c>
      <c r="Q100" s="1276">
        <v>0</v>
      </c>
      <c r="R100" s="1272">
        <v>951247</v>
      </c>
      <c r="S100" s="1289">
        <v>245567</v>
      </c>
      <c r="T100" s="1273">
        <v>1196814</v>
      </c>
      <c r="U100" s="1476" t="s">
        <v>928</v>
      </c>
      <c r="V100" s="1477" t="s">
        <v>927</v>
      </c>
      <c r="W100" s="1271" t="s">
        <v>3</v>
      </c>
      <c r="X100" s="1276">
        <v>610687</v>
      </c>
      <c r="Y100" s="1276">
        <v>135095</v>
      </c>
      <c r="Z100" s="1276">
        <v>418960</v>
      </c>
      <c r="AA100" s="1276">
        <v>20395</v>
      </c>
      <c r="AB100" s="1276">
        <v>11677</v>
      </c>
      <c r="AC100" s="1277">
        <v>1196814</v>
      </c>
    </row>
    <row r="101" spans="1:29" ht="21.75" customHeight="1" x14ac:dyDescent="0.3">
      <c r="A101" s="1476"/>
      <c r="B101" s="1477"/>
      <c r="C101" s="1271" t="s">
        <v>215</v>
      </c>
      <c r="D101" s="1276">
        <f t="shared" ref="D101:H103" si="18">D97-D77</f>
        <v>2000</v>
      </c>
      <c r="E101" s="1276">
        <f t="shared" si="18"/>
        <v>70601</v>
      </c>
      <c r="F101" s="1276">
        <f t="shared" si="18"/>
        <v>2854</v>
      </c>
      <c r="G101" s="1276">
        <f t="shared" si="18"/>
        <v>85109</v>
      </c>
      <c r="H101" s="1276">
        <f t="shared" si="18"/>
        <v>36089</v>
      </c>
      <c r="I101" s="1276"/>
      <c r="J101" s="1276"/>
      <c r="K101" s="1276">
        <f t="shared" ref="K101:T101" si="19">K97-K77</f>
        <v>900</v>
      </c>
      <c r="L101" s="1276">
        <f t="shared" si="19"/>
        <v>0</v>
      </c>
      <c r="M101" s="1276">
        <f t="shared" si="19"/>
        <v>70168</v>
      </c>
      <c r="N101" s="1276">
        <f t="shared" si="19"/>
        <v>800</v>
      </c>
      <c r="O101" s="1276">
        <f t="shared" si="19"/>
        <v>0</v>
      </c>
      <c r="P101" s="1276">
        <f t="shared" si="19"/>
        <v>0</v>
      </c>
      <c r="Q101" s="1276">
        <f t="shared" si="19"/>
        <v>0</v>
      </c>
      <c r="R101" s="1276">
        <f t="shared" si="19"/>
        <v>972446</v>
      </c>
      <c r="S101" s="1291">
        <f t="shared" si="19"/>
        <v>268521</v>
      </c>
      <c r="T101" s="1277">
        <f t="shared" si="19"/>
        <v>1240967</v>
      </c>
      <c r="U101" s="1476"/>
      <c r="V101" s="1477"/>
      <c r="W101" s="1271" t="s">
        <v>215</v>
      </c>
      <c r="X101" s="1276">
        <f t="shared" ref="X101:AC103" si="20">X97-X77</f>
        <v>623905</v>
      </c>
      <c r="Y101" s="1276">
        <f t="shared" si="20"/>
        <v>137986</v>
      </c>
      <c r="Z101" s="1276">
        <f t="shared" si="20"/>
        <v>443814</v>
      </c>
      <c r="AA101" s="1276">
        <f t="shared" si="20"/>
        <v>23585</v>
      </c>
      <c r="AB101" s="1276">
        <f t="shared" si="20"/>
        <v>11677</v>
      </c>
      <c r="AC101" s="1277">
        <f t="shared" si="20"/>
        <v>1240967</v>
      </c>
    </row>
    <row r="102" spans="1:29" ht="21.75" customHeight="1" x14ac:dyDescent="0.3">
      <c r="A102" s="1476"/>
      <c r="B102" s="1477"/>
      <c r="C102" s="1271" t="s">
        <v>924</v>
      </c>
      <c r="D102" s="1276">
        <f t="shared" si="18"/>
        <v>2000</v>
      </c>
      <c r="E102" s="1276">
        <f t="shared" si="18"/>
        <v>71056</v>
      </c>
      <c r="F102" s="1276">
        <f t="shared" si="18"/>
        <v>2854</v>
      </c>
      <c r="G102" s="1276">
        <f t="shared" si="18"/>
        <v>85109</v>
      </c>
      <c r="H102" s="1276">
        <f t="shared" si="18"/>
        <v>36089</v>
      </c>
      <c r="I102" s="1276">
        <f t="shared" ref="I102:R102" si="21">I98-I78</f>
        <v>3</v>
      </c>
      <c r="J102" s="1276">
        <f t="shared" si="21"/>
        <v>158</v>
      </c>
      <c r="K102" s="1276">
        <f t="shared" si="21"/>
        <v>7170</v>
      </c>
      <c r="L102" s="1276">
        <f t="shared" si="21"/>
        <v>800</v>
      </c>
      <c r="M102" s="1276">
        <f t="shared" si="21"/>
        <v>75021</v>
      </c>
      <c r="N102" s="1276">
        <f t="shared" si="21"/>
        <v>0</v>
      </c>
      <c r="O102" s="1276">
        <f t="shared" si="21"/>
        <v>11</v>
      </c>
      <c r="P102" s="1276">
        <f t="shared" si="21"/>
        <v>0</v>
      </c>
      <c r="Q102" s="1276">
        <f t="shared" si="21"/>
        <v>4461</v>
      </c>
      <c r="R102" s="1276">
        <f t="shared" si="21"/>
        <v>995133</v>
      </c>
      <c r="S102" s="1291">
        <f>E102+G102+H102+O102+D102+F102+I102+J102+K102+L102+M102+N102+Q102</f>
        <v>284732</v>
      </c>
      <c r="T102" s="1277">
        <f>T98-T78</f>
        <v>1279865</v>
      </c>
      <c r="U102" s="1476"/>
      <c r="V102" s="1477"/>
      <c r="W102" s="1271" t="s">
        <v>924</v>
      </c>
      <c r="X102" s="1276">
        <f t="shared" si="20"/>
        <v>627229</v>
      </c>
      <c r="Y102" s="1276">
        <f t="shared" si="20"/>
        <v>138621</v>
      </c>
      <c r="Z102" s="1276">
        <f t="shared" si="20"/>
        <v>477243</v>
      </c>
      <c r="AA102" s="1276">
        <f t="shared" si="20"/>
        <v>24725</v>
      </c>
      <c r="AB102" s="1276">
        <f t="shared" si="20"/>
        <v>12047</v>
      </c>
      <c r="AC102" s="1277">
        <f t="shared" si="20"/>
        <v>1279865</v>
      </c>
    </row>
    <row r="103" spans="1:29" ht="21.75" customHeight="1" x14ac:dyDescent="0.3">
      <c r="A103" s="1476"/>
      <c r="B103" s="1477"/>
      <c r="C103" s="1271" t="s">
        <v>772</v>
      </c>
      <c r="D103" s="1276">
        <f t="shared" si="18"/>
        <v>2500</v>
      </c>
      <c r="E103" s="1276">
        <f t="shared" si="18"/>
        <v>60709</v>
      </c>
      <c r="F103" s="1276">
        <f t="shared" si="18"/>
        <v>2854</v>
      </c>
      <c r="G103" s="1276">
        <f t="shared" si="18"/>
        <v>85109</v>
      </c>
      <c r="H103" s="1276">
        <f t="shared" si="18"/>
        <v>36089</v>
      </c>
      <c r="I103" s="1276">
        <f t="shared" ref="I103:R103" si="22">I99-I79</f>
        <v>3</v>
      </c>
      <c r="J103" s="1276">
        <f t="shared" si="22"/>
        <v>225</v>
      </c>
      <c r="K103" s="1276">
        <f t="shared" si="22"/>
        <v>5920</v>
      </c>
      <c r="L103" s="1276">
        <f t="shared" si="22"/>
        <v>800</v>
      </c>
      <c r="M103" s="1276">
        <f t="shared" si="22"/>
        <v>77036</v>
      </c>
      <c r="N103" s="1276">
        <f t="shared" si="22"/>
        <v>0</v>
      </c>
      <c r="O103" s="1276">
        <f t="shared" si="22"/>
        <v>11</v>
      </c>
      <c r="P103" s="1276">
        <f t="shared" si="22"/>
        <v>0</v>
      </c>
      <c r="Q103" s="1276">
        <f t="shared" si="22"/>
        <v>4461</v>
      </c>
      <c r="R103" s="1276">
        <f t="shared" si="22"/>
        <v>1011451</v>
      </c>
      <c r="S103" s="1291">
        <f>E103+G103+H103+O103+D103+F103+I103+J103+K103+L103+M103+N103+Q103</f>
        <v>275717</v>
      </c>
      <c r="T103" s="1277">
        <f>T99-T79</f>
        <v>1287168</v>
      </c>
      <c r="U103" s="1476"/>
      <c r="V103" s="1477"/>
      <c r="W103" s="1271" t="s">
        <v>772</v>
      </c>
      <c r="X103" s="1276">
        <f t="shared" si="20"/>
        <v>627095</v>
      </c>
      <c r="Y103" s="1276">
        <f t="shared" si="20"/>
        <v>140585</v>
      </c>
      <c r="Z103" s="1276">
        <f t="shared" si="20"/>
        <v>478929</v>
      </c>
      <c r="AA103" s="1276">
        <f t="shared" si="20"/>
        <v>28511</v>
      </c>
      <c r="AB103" s="1276">
        <f t="shared" si="20"/>
        <v>12048</v>
      </c>
      <c r="AC103" s="1277">
        <f t="shared" si="20"/>
        <v>1287168</v>
      </c>
    </row>
    <row r="104" spans="1:29" ht="21.75" customHeight="1" x14ac:dyDescent="0.3">
      <c r="A104" s="1476" t="s">
        <v>926</v>
      </c>
      <c r="B104" s="1473" t="s">
        <v>925</v>
      </c>
      <c r="C104" s="1271" t="s">
        <v>3</v>
      </c>
      <c r="D104" s="1276">
        <v>0</v>
      </c>
      <c r="E104" s="1276">
        <v>366</v>
      </c>
      <c r="F104" s="1276">
        <v>0</v>
      </c>
      <c r="G104" s="1276">
        <v>0</v>
      </c>
      <c r="H104" s="1276">
        <v>17331</v>
      </c>
      <c r="I104" s="1276"/>
      <c r="J104" s="1276"/>
      <c r="K104" s="1276">
        <v>0</v>
      </c>
      <c r="L104" s="1276">
        <v>0</v>
      </c>
      <c r="M104" s="1276">
        <v>0</v>
      </c>
      <c r="N104" s="1276">
        <v>0</v>
      </c>
      <c r="O104" s="1276">
        <v>0</v>
      </c>
      <c r="P104" s="1276">
        <v>0</v>
      </c>
      <c r="Q104" s="1276">
        <v>0</v>
      </c>
      <c r="R104" s="1272">
        <v>34788</v>
      </c>
      <c r="S104" s="1289">
        <v>17697</v>
      </c>
      <c r="T104" s="1273">
        <v>52485</v>
      </c>
      <c r="U104" s="1476" t="s">
        <v>926</v>
      </c>
      <c r="V104" s="1473" t="s">
        <v>925</v>
      </c>
      <c r="W104" s="1271" t="s">
        <v>3</v>
      </c>
      <c r="X104" s="1276">
        <v>36099</v>
      </c>
      <c r="Y104" s="1276">
        <v>7571</v>
      </c>
      <c r="Z104" s="1276">
        <v>6915</v>
      </c>
      <c r="AA104" s="1276">
        <v>1900</v>
      </c>
      <c r="AB104" s="1276">
        <v>0</v>
      </c>
      <c r="AC104" s="1277">
        <v>52485</v>
      </c>
    </row>
    <row r="105" spans="1:29" ht="21.75" customHeight="1" x14ac:dyDescent="0.3">
      <c r="A105" s="1476"/>
      <c r="B105" s="1473"/>
      <c r="C105" s="1271" t="s">
        <v>215</v>
      </c>
      <c r="D105" s="1276">
        <f t="shared" ref="D105:H107" si="23">D77</f>
        <v>0</v>
      </c>
      <c r="E105" s="1276">
        <f t="shared" si="23"/>
        <v>444</v>
      </c>
      <c r="F105" s="1276">
        <f t="shared" si="23"/>
        <v>0</v>
      </c>
      <c r="G105" s="1276">
        <f t="shared" si="23"/>
        <v>0</v>
      </c>
      <c r="H105" s="1276">
        <f t="shared" si="23"/>
        <v>17331</v>
      </c>
      <c r="I105" s="1276"/>
      <c r="J105" s="1276"/>
      <c r="K105" s="1276">
        <f t="shared" ref="K105:T105" si="24">K77</f>
        <v>0</v>
      </c>
      <c r="L105" s="1276">
        <f t="shared" si="24"/>
        <v>0</v>
      </c>
      <c r="M105" s="1276">
        <f t="shared" si="24"/>
        <v>0</v>
      </c>
      <c r="N105" s="1276">
        <f t="shared" si="24"/>
        <v>0</v>
      </c>
      <c r="O105" s="1276">
        <f t="shared" si="24"/>
        <v>0</v>
      </c>
      <c r="P105" s="1276">
        <f t="shared" si="24"/>
        <v>0</v>
      </c>
      <c r="Q105" s="1276">
        <f t="shared" si="24"/>
        <v>0</v>
      </c>
      <c r="R105" s="1276">
        <f t="shared" si="24"/>
        <v>41779</v>
      </c>
      <c r="S105" s="1291">
        <f t="shared" si="24"/>
        <v>17775</v>
      </c>
      <c r="T105" s="1277">
        <f t="shared" si="24"/>
        <v>59554</v>
      </c>
      <c r="U105" s="1476"/>
      <c r="V105" s="1473"/>
      <c r="W105" s="1271" t="s">
        <v>215</v>
      </c>
      <c r="X105" s="1276">
        <f t="shared" ref="X105:AC107" si="25">X77</f>
        <v>34535</v>
      </c>
      <c r="Y105" s="1276">
        <f t="shared" si="25"/>
        <v>7224</v>
      </c>
      <c r="Z105" s="1276">
        <f t="shared" si="25"/>
        <v>15895</v>
      </c>
      <c r="AA105" s="1276">
        <f t="shared" si="25"/>
        <v>1900</v>
      </c>
      <c r="AB105" s="1276">
        <f t="shared" si="25"/>
        <v>0</v>
      </c>
      <c r="AC105" s="1277">
        <f t="shared" si="25"/>
        <v>59554</v>
      </c>
    </row>
    <row r="106" spans="1:29" ht="21.75" customHeight="1" x14ac:dyDescent="0.3">
      <c r="A106" s="1476"/>
      <c r="B106" s="1473"/>
      <c r="C106" s="1271" t="s">
        <v>924</v>
      </c>
      <c r="D106" s="1276">
        <f t="shared" si="23"/>
        <v>0</v>
      </c>
      <c r="E106" s="1276">
        <f t="shared" si="23"/>
        <v>444</v>
      </c>
      <c r="F106" s="1276">
        <f t="shared" si="23"/>
        <v>0</v>
      </c>
      <c r="G106" s="1276">
        <f t="shared" si="23"/>
        <v>0</v>
      </c>
      <c r="H106" s="1276">
        <f t="shared" si="23"/>
        <v>23301</v>
      </c>
      <c r="I106" s="1276">
        <f>I78</f>
        <v>6</v>
      </c>
      <c r="J106" s="1276">
        <f>J78</f>
        <v>0</v>
      </c>
      <c r="K106" s="1276">
        <f t="shared" ref="K106:T106" si="26">K78</f>
        <v>0</v>
      </c>
      <c r="L106" s="1276">
        <f t="shared" si="26"/>
        <v>0</v>
      </c>
      <c r="M106" s="1276">
        <f t="shared" si="26"/>
        <v>295</v>
      </c>
      <c r="N106" s="1276">
        <f t="shared" si="26"/>
        <v>0</v>
      </c>
      <c r="O106" s="1276">
        <f t="shared" si="26"/>
        <v>0</v>
      </c>
      <c r="P106" s="1276">
        <f t="shared" si="26"/>
        <v>0</v>
      </c>
      <c r="Q106" s="1276">
        <f t="shared" si="26"/>
        <v>365</v>
      </c>
      <c r="R106" s="1276">
        <f t="shared" si="26"/>
        <v>35861</v>
      </c>
      <c r="S106" s="1291">
        <f t="shared" si="26"/>
        <v>24411</v>
      </c>
      <c r="T106" s="1277">
        <f t="shared" si="26"/>
        <v>60272</v>
      </c>
      <c r="U106" s="1476"/>
      <c r="V106" s="1473"/>
      <c r="W106" s="1271" t="s">
        <v>924</v>
      </c>
      <c r="X106" s="1276">
        <f t="shared" si="25"/>
        <v>35312</v>
      </c>
      <c r="Y106" s="1276">
        <f t="shared" si="25"/>
        <v>7394</v>
      </c>
      <c r="Z106" s="1276">
        <f t="shared" si="25"/>
        <v>17166</v>
      </c>
      <c r="AA106" s="1276">
        <f t="shared" si="25"/>
        <v>400</v>
      </c>
      <c r="AB106" s="1276">
        <f t="shared" si="25"/>
        <v>0</v>
      </c>
      <c r="AC106" s="1277">
        <f t="shared" si="25"/>
        <v>60272</v>
      </c>
    </row>
    <row r="107" spans="1:29" ht="21.75" customHeight="1" thickBot="1" x14ac:dyDescent="0.35">
      <c r="A107" s="1478"/>
      <c r="B107" s="1479"/>
      <c r="C107" s="1278" t="s">
        <v>772</v>
      </c>
      <c r="D107" s="1279">
        <f t="shared" si="23"/>
        <v>0</v>
      </c>
      <c r="E107" s="1279">
        <f t="shared" si="23"/>
        <v>144</v>
      </c>
      <c r="F107" s="1279">
        <f t="shared" si="23"/>
        <v>0</v>
      </c>
      <c r="G107" s="1279">
        <f t="shared" si="23"/>
        <v>0</v>
      </c>
      <c r="H107" s="1279">
        <f t="shared" si="23"/>
        <v>24301</v>
      </c>
      <c r="I107" s="1279">
        <f>I79</f>
        <v>6</v>
      </c>
      <c r="J107" s="1279">
        <f>J79</f>
        <v>0</v>
      </c>
      <c r="K107" s="1279">
        <f t="shared" ref="K107:T107" si="27">K79</f>
        <v>0</v>
      </c>
      <c r="L107" s="1279">
        <f t="shared" si="27"/>
        <v>0</v>
      </c>
      <c r="M107" s="1279">
        <f t="shared" si="27"/>
        <v>295</v>
      </c>
      <c r="N107" s="1279">
        <f t="shared" si="27"/>
        <v>0</v>
      </c>
      <c r="O107" s="1279">
        <f t="shared" si="27"/>
        <v>0</v>
      </c>
      <c r="P107" s="1279">
        <f t="shared" si="27"/>
        <v>0</v>
      </c>
      <c r="Q107" s="1279">
        <f t="shared" si="27"/>
        <v>365</v>
      </c>
      <c r="R107" s="1279">
        <f t="shared" si="27"/>
        <v>35897</v>
      </c>
      <c r="S107" s="1292">
        <f t="shared" si="27"/>
        <v>25111</v>
      </c>
      <c r="T107" s="1280">
        <f t="shared" si="27"/>
        <v>61008</v>
      </c>
      <c r="U107" s="1478"/>
      <c r="V107" s="1479"/>
      <c r="W107" s="1278" t="s">
        <v>772</v>
      </c>
      <c r="X107" s="1279">
        <f t="shared" si="25"/>
        <v>35256</v>
      </c>
      <c r="Y107" s="1279">
        <f t="shared" si="25"/>
        <v>7485</v>
      </c>
      <c r="Z107" s="1279">
        <f t="shared" si="25"/>
        <v>17867</v>
      </c>
      <c r="AA107" s="1279">
        <f t="shared" si="25"/>
        <v>400</v>
      </c>
      <c r="AB107" s="1279">
        <f t="shared" si="25"/>
        <v>0</v>
      </c>
      <c r="AC107" s="1280">
        <f t="shared" si="25"/>
        <v>61008</v>
      </c>
    </row>
    <row r="108" spans="1:29" ht="21.75" customHeight="1" x14ac:dyDescent="0.3">
      <c r="A108" s="1265"/>
      <c r="B108" s="1264"/>
      <c r="C108" s="1263"/>
      <c r="D108" s="1262"/>
      <c r="E108" s="1262"/>
      <c r="F108" s="1262"/>
      <c r="G108" s="1262"/>
      <c r="H108" s="1262"/>
      <c r="I108" s="1262"/>
      <c r="J108" s="1262"/>
      <c r="K108" s="1262"/>
      <c r="L108" s="1262"/>
      <c r="M108" s="1262"/>
      <c r="N108" s="1262"/>
      <c r="O108" s="1262"/>
      <c r="P108" s="1262"/>
      <c r="Q108" s="1262"/>
      <c r="R108" s="1262"/>
      <c r="S108" s="1262"/>
      <c r="T108" s="1262"/>
      <c r="U108" s="1265"/>
      <c r="V108" s="1264"/>
      <c r="W108" s="1263"/>
      <c r="X108" s="1262"/>
      <c r="Y108" s="1262"/>
      <c r="Z108" s="1262"/>
      <c r="AA108" s="1262"/>
      <c r="AB108" s="1262"/>
      <c r="AC108" s="1262"/>
    </row>
  </sheetData>
  <sheetProtection selectLockedCells="1" selectUnlockedCells="1"/>
  <mergeCells count="125">
    <mergeCell ref="A1:S1"/>
    <mergeCell ref="U2:U3"/>
    <mergeCell ref="U1:AB1"/>
    <mergeCell ref="A2:A3"/>
    <mergeCell ref="B2:B3"/>
    <mergeCell ref="D2:D3"/>
    <mergeCell ref="E2:E3"/>
    <mergeCell ref="V2:V3"/>
    <mergeCell ref="F2:F3"/>
    <mergeCell ref="G2:G3"/>
    <mergeCell ref="X2:Z2"/>
    <mergeCell ref="AA2:AB2"/>
    <mergeCell ref="AC2:AC3"/>
    <mergeCell ref="J2:J3"/>
    <mergeCell ref="M2:N2"/>
    <mergeCell ref="K2:L2"/>
    <mergeCell ref="O2:O3"/>
    <mergeCell ref="A4:A7"/>
    <mergeCell ref="P2:Q2"/>
    <mergeCell ref="T2:T3"/>
    <mergeCell ref="H2:H3"/>
    <mergeCell ref="I2:I3"/>
    <mergeCell ref="B4:B7"/>
    <mergeCell ref="V60:V63"/>
    <mergeCell ref="V64:V67"/>
    <mergeCell ref="V68:V71"/>
    <mergeCell ref="V72:V75"/>
    <mergeCell ref="U88:U91"/>
    <mergeCell ref="V88:V91"/>
    <mergeCell ref="V76:V79"/>
    <mergeCell ref="U96:U99"/>
    <mergeCell ref="V96:V99"/>
    <mergeCell ref="V92:V95"/>
    <mergeCell ref="U84:U87"/>
    <mergeCell ref="V84:V87"/>
    <mergeCell ref="A76:A79"/>
    <mergeCell ref="B76:B79"/>
    <mergeCell ref="A36:A39"/>
    <mergeCell ref="B36:B39"/>
    <mergeCell ref="A60:A63"/>
    <mergeCell ref="B60:B63"/>
    <mergeCell ref="U60:U63"/>
    <mergeCell ref="U64:U67"/>
    <mergeCell ref="A64:A67"/>
    <mergeCell ref="B64:B67"/>
    <mergeCell ref="B68:B71"/>
    <mergeCell ref="U68:U71"/>
    <mergeCell ref="U72:U75"/>
    <mergeCell ref="U76:U79"/>
    <mergeCell ref="A72:A75"/>
    <mergeCell ref="B72:B75"/>
    <mergeCell ref="U44:U47"/>
    <mergeCell ref="A56:A59"/>
    <mergeCell ref="B56:B59"/>
    <mergeCell ref="U56:U59"/>
    <mergeCell ref="A68:A71"/>
    <mergeCell ref="A80:A83"/>
    <mergeCell ref="B80:B83"/>
    <mergeCell ref="U80:U83"/>
    <mergeCell ref="V80:V83"/>
    <mergeCell ref="A84:A87"/>
    <mergeCell ref="B84:B87"/>
    <mergeCell ref="A100:A103"/>
    <mergeCell ref="B100:B103"/>
    <mergeCell ref="A104:A107"/>
    <mergeCell ref="B104:B107"/>
    <mergeCell ref="A96:A99"/>
    <mergeCell ref="B96:B99"/>
    <mergeCell ref="U104:U107"/>
    <mergeCell ref="A92:A95"/>
    <mergeCell ref="B92:B95"/>
    <mergeCell ref="U92:U95"/>
    <mergeCell ref="B88:B91"/>
    <mergeCell ref="V104:V107"/>
    <mergeCell ref="A88:A91"/>
    <mergeCell ref="U100:U103"/>
    <mergeCell ref="V100:V103"/>
    <mergeCell ref="A8:A11"/>
    <mergeCell ref="B8:B11"/>
    <mergeCell ref="A16:A19"/>
    <mergeCell ref="B16:B19"/>
    <mergeCell ref="A24:A27"/>
    <mergeCell ref="U4:U7"/>
    <mergeCell ref="V4:V7"/>
    <mergeCell ref="U8:U11"/>
    <mergeCell ref="V8:V11"/>
    <mergeCell ref="U12:U15"/>
    <mergeCell ref="V12:V15"/>
    <mergeCell ref="U16:U19"/>
    <mergeCell ref="V16:V19"/>
    <mergeCell ref="A12:A15"/>
    <mergeCell ref="B12:B15"/>
    <mergeCell ref="U20:U23"/>
    <mergeCell ref="V20:V23"/>
    <mergeCell ref="B24:B27"/>
    <mergeCell ref="U24:U27"/>
    <mergeCell ref="V24:V27"/>
    <mergeCell ref="A20:A23"/>
    <mergeCell ref="B20:B23"/>
    <mergeCell ref="V28:V31"/>
    <mergeCell ref="A32:A35"/>
    <mergeCell ref="B32:B35"/>
    <mergeCell ref="U32:U35"/>
    <mergeCell ref="V32:V35"/>
    <mergeCell ref="U36:U39"/>
    <mergeCell ref="V36:V39"/>
    <mergeCell ref="A40:A43"/>
    <mergeCell ref="B40:B43"/>
    <mergeCell ref="U40:U43"/>
    <mergeCell ref="V40:V43"/>
    <mergeCell ref="U28:U31"/>
    <mergeCell ref="A28:A31"/>
    <mergeCell ref="B28:B31"/>
    <mergeCell ref="V56:V59"/>
    <mergeCell ref="A52:A55"/>
    <mergeCell ref="B52:B55"/>
    <mergeCell ref="V44:V47"/>
    <mergeCell ref="A48:A51"/>
    <mergeCell ref="B48:B51"/>
    <mergeCell ref="U48:U51"/>
    <mergeCell ref="V48:V51"/>
    <mergeCell ref="A44:A47"/>
    <mergeCell ref="B44:B47"/>
    <mergeCell ref="U52:U55"/>
    <mergeCell ref="V52:V55"/>
  </mergeCells>
  <printOptions horizontalCentered="1"/>
  <pageMargins left="0.70866141732283472" right="0.70866141732283472" top="0.70866141732283472" bottom="0.74803149606299213" header="0.31496062992125984" footer="0.51181102362204722"/>
  <pageSetup paperSize="77" scale="37" firstPageNumber="0" orientation="landscape" horizontalDpi="300" verticalDpi="300" r:id="rId1"/>
  <headerFooter alignWithMargins="0">
    <oddHeader>&amp;L&amp;"Calibri,Normál"&amp;14 6. melléklet a 28/2017.(XII.21.) önkormányzati rendelethez
6. melléklet a 24/2016.(XII.16.)önkormányzati rendelethez</oddHeader>
  </headerFooter>
  <rowBreaks count="1" manualBreakCount="1">
    <brk id="55" max="16383" man="1"/>
  </rowBreaks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173"/>
  <sheetViews>
    <sheetView view="pageBreakPreview" topLeftCell="A43" zoomScaleNormal="100" zoomScaleSheetLayoutView="100" workbookViewId="0">
      <selection activeCell="M98" sqref="M98"/>
    </sheetView>
  </sheetViews>
  <sheetFormatPr defaultRowHeight="12.75" x14ac:dyDescent="0.2"/>
  <cols>
    <col min="1" max="1" width="79.7109375" style="34" customWidth="1"/>
    <col min="2" max="2" width="13" style="34" hidden="1" customWidth="1"/>
    <col min="3" max="3" width="10" style="34" hidden="1" customWidth="1"/>
    <col min="4" max="4" width="10.140625" style="34" hidden="1" customWidth="1"/>
    <col min="5" max="5" width="11.140625" style="34" hidden="1" customWidth="1"/>
    <col min="6" max="6" width="12.140625" style="34" customWidth="1"/>
    <col min="7" max="7" width="10.85546875" style="34" hidden="1" customWidth="1"/>
    <col min="8" max="8" width="13.42578125" style="819" customWidth="1"/>
    <col min="9" max="9" width="15" style="819" customWidth="1"/>
    <col min="10" max="10" width="15" style="819" hidden="1" customWidth="1"/>
    <col min="11" max="11" width="12.7109375" style="819" hidden="1" customWidth="1"/>
  </cols>
  <sheetData>
    <row r="2" spans="1:11" ht="14.25" x14ac:dyDescent="0.2">
      <c r="A2" s="1498" t="s">
        <v>678</v>
      </c>
      <c r="B2" s="1498"/>
      <c r="C2" s="1498"/>
      <c r="D2" s="1498"/>
      <c r="E2" s="1498"/>
      <c r="F2" s="1498"/>
      <c r="G2" s="1498"/>
      <c r="H2" s="1498"/>
      <c r="I2" s="970"/>
      <c r="J2" s="970"/>
      <c r="K2" s="970"/>
    </row>
    <row r="3" spans="1:11" ht="15.75" thickBot="1" x14ac:dyDescent="0.3">
      <c r="A3" s="969"/>
      <c r="B3" s="968"/>
      <c r="C3" s="967"/>
      <c r="H3" s="966"/>
    </row>
    <row r="4" spans="1:11" ht="26.25" customHeight="1" thickBot="1" x14ac:dyDescent="0.25">
      <c r="A4" s="950" t="s">
        <v>2</v>
      </c>
      <c r="B4" s="965" t="s">
        <v>677</v>
      </c>
      <c r="C4" s="964" t="s">
        <v>676</v>
      </c>
      <c r="D4" s="964" t="s">
        <v>675</v>
      </c>
      <c r="E4" s="962" t="s">
        <v>674</v>
      </c>
      <c r="F4" s="963" t="s">
        <v>3</v>
      </c>
      <c r="G4" s="962" t="s">
        <v>673</v>
      </c>
      <c r="H4" s="961" t="s">
        <v>225</v>
      </c>
      <c r="I4" s="960" t="s">
        <v>235</v>
      </c>
      <c r="J4" s="959" t="s">
        <v>672</v>
      </c>
      <c r="K4" s="958" t="s">
        <v>671</v>
      </c>
    </row>
    <row r="5" spans="1:11" ht="15.75" hidden="1" customHeight="1" thickBot="1" x14ac:dyDescent="0.3">
      <c r="A5" s="957"/>
      <c r="B5" s="956"/>
      <c r="C5" s="955"/>
      <c r="D5" s="955"/>
      <c r="E5" s="953"/>
      <c r="F5" s="954"/>
      <c r="G5" s="953"/>
      <c r="H5" s="952"/>
      <c r="I5" s="929"/>
      <c r="J5" s="951"/>
      <c r="K5" s="945"/>
    </row>
    <row r="6" spans="1:11" ht="15" thickBot="1" x14ac:dyDescent="0.25">
      <c r="A6" s="950" t="s">
        <v>69</v>
      </c>
      <c r="B6" s="832">
        <f>SUM(B8,B38)</f>
        <v>2373680</v>
      </c>
      <c r="C6" s="828">
        <f>SUM(C8,C38)</f>
        <v>2035886</v>
      </c>
      <c r="D6" s="828">
        <f>SUM(D8,D38)</f>
        <v>1798153</v>
      </c>
      <c r="E6" s="830">
        <f>SUM(E8,E38)</f>
        <v>1654093</v>
      </c>
      <c r="F6" s="831">
        <f t="shared" ref="F6:K6" si="0">SUM(F21,F38)</f>
        <v>259597</v>
      </c>
      <c r="G6" s="830">
        <f t="shared" si="0"/>
        <v>110728</v>
      </c>
      <c r="H6" s="829">
        <f t="shared" si="0"/>
        <v>1432365</v>
      </c>
      <c r="I6" s="829">
        <f t="shared" si="0"/>
        <v>1607162</v>
      </c>
      <c r="J6" s="928">
        <f t="shared" si="0"/>
        <v>80569</v>
      </c>
      <c r="K6" s="829">
        <f t="shared" si="0"/>
        <v>42394</v>
      </c>
    </row>
    <row r="7" spans="1:11" ht="15.75" hidden="1" customHeight="1" thickBot="1" x14ac:dyDescent="0.3">
      <c r="A7" s="949"/>
      <c r="B7" s="948"/>
      <c r="C7" s="944"/>
      <c r="D7" s="944"/>
      <c r="E7" s="946"/>
      <c r="F7" s="947"/>
      <c r="G7" s="946"/>
      <c r="H7" s="944"/>
      <c r="I7" s="929"/>
      <c r="J7" s="928">
        <f t="shared" ref="J7:J19" si="1">SUM(J22,J39)</f>
        <v>0</v>
      </c>
      <c r="K7" s="927"/>
    </row>
    <row r="8" spans="1:11" ht="15" hidden="1" customHeight="1" thickBot="1" x14ac:dyDescent="0.25">
      <c r="A8" s="926" t="s">
        <v>659</v>
      </c>
      <c r="B8" s="943">
        <f>SUM(B9:B19)</f>
        <v>1389496</v>
      </c>
      <c r="C8" s="918">
        <f>SUM(C9:C19)</f>
        <v>1389496</v>
      </c>
      <c r="D8" s="918">
        <f>SUM(D9:D19)</f>
        <v>1389496</v>
      </c>
      <c r="E8" s="921">
        <f>SUM(E9:E19)</f>
        <v>1389496</v>
      </c>
      <c r="F8" s="922">
        <f>SUM(F9:F19)</f>
        <v>0</v>
      </c>
      <c r="G8" s="921"/>
      <c r="H8" s="918"/>
      <c r="I8" s="942"/>
      <c r="J8" s="928">
        <f t="shared" si="1"/>
        <v>1499</v>
      </c>
      <c r="K8" s="920"/>
    </row>
    <row r="9" spans="1:11" ht="45.75" hidden="1" customHeight="1" thickBot="1" x14ac:dyDescent="0.3">
      <c r="A9" s="940" t="s">
        <v>670</v>
      </c>
      <c r="B9" s="939">
        <v>130771</v>
      </c>
      <c r="C9" s="938">
        <v>130771</v>
      </c>
      <c r="D9" s="938">
        <v>130771</v>
      </c>
      <c r="E9" s="936">
        <v>130771</v>
      </c>
      <c r="F9" s="937">
        <v>0</v>
      </c>
      <c r="G9" s="936"/>
      <c r="H9" s="934"/>
      <c r="I9" s="933"/>
      <c r="J9" s="928">
        <f t="shared" si="1"/>
        <v>2008</v>
      </c>
      <c r="K9" s="932"/>
    </row>
    <row r="10" spans="1:11" ht="15.75" hidden="1" thickBot="1" x14ac:dyDescent="0.3">
      <c r="A10" s="940" t="s">
        <v>669</v>
      </c>
      <c r="B10" s="939">
        <v>181465</v>
      </c>
      <c r="C10" s="938">
        <v>181465</v>
      </c>
      <c r="D10" s="938">
        <v>181465</v>
      </c>
      <c r="E10" s="936">
        <v>181465</v>
      </c>
      <c r="F10" s="937">
        <v>0</v>
      </c>
      <c r="G10" s="936"/>
      <c r="H10" s="934"/>
      <c r="I10" s="933"/>
      <c r="J10" s="928">
        <f t="shared" si="1"/>
        <v>354</v>
      </c>
      <c r="K10" s="932"/>
    </row>
    <row r="11" spans="1:11" ht="29.25" hidden="1" customHeight="1" x14ac:dyDescent="0.25">
      <c r="A11" s="941" t="s">
        <v>668</v>
      </c>
      <c r="B11" s="939">
        <v>230180</v>
      </c>
      <c r="C11" s="938">
        <v>230180</v>
      </c>
      <c r="D11" s="938">
        <v>230180</v>
      </c>
      <c r="E11" s="936">
        <v>230180</v>
      </c>
      <c r="F11" s="937">
        <v>0</v>
      </c>
      <c r="G11" s="936"/>
      <c r="H11" s="934"/>
      <c r="I11" s="933"/>
      <c r="J11" s="928">
        <f t="shared" si="1"/>
        <v>3937</v>
      </c>
      <c r="K11" s="932"/>
    </row>
    <row r="12" spans="1:11" ht="30.75" hidden="1" thickBot="1" x14ac:dyDescent="0.3">
      <c r="A12" s="940" t="s">
        <v>667</v>
      </c>
      <c r="B12" s="939">
        <v>169405</v>
      </c>
      <c r="C12" s="938">
        <v>169405</v>
      </c>
      <c r="D12" s="938">
        <v>169405</v>
      </c>
      <c r="E12" s="936">
        <v>169405</v>
      </c>
      <c r="F12" s="937">
        <v>0</v>
      </c>
      <c r="G12" s="936"/>
      <c r="H12" s="934"/>
      <c r="I12" s="933"/>
      <c r="J12" s="928">
        <f t="shared" si="1"/>
        <v>11688</v>
      </c>
      <c r="K12" s="932"/>
    </row>
    <row r="13" spans="1:11" ht="15.75" hidden="1" thickBot="1" x14ac:dyDescent="0.3">
      <c r="A13" s="940" t="s">
        <v>666</v>
      </c>
      <c r="B13" s="939">
        <v>400000</v>
      </c>
      <c r="C13" s="938">
        <v>400000</v>
      </c>
      <c r="D13" s="938">
        <v>400000</v>
      </c>
      <c r="E13" s="936">
        <v>400000</v>
      </c>
      <c r="F13" s="937">
        <v>0</v>
      </c>
      <c r="G13" s="936"/>
      <c r="H13" s="934"/>
      <c r="I13" s="933"/>
      <c r="J13" s="928">
        <f t="shared" si="1"/>
        <v>0</v>
      </c>
      <c r="K13" s="932"/>
    </row>
    <row r="14" spans="1:11" ht="15.75" hidden="1" thickBot="1" x14ac:dyDescent="0.3">
      <c r="A14" s="940" t="s">
        <v>665</v>
      </c>
      <c r="B14" s="939">
        <v>90000</v>
      </c>
      <c r="C14" s="938">
        <v>90000</v>
      </c>
      <c r="D14" s="938">
        <v>90000</v>
      </c>
      <c r="E14" s="936">
        <v>90000</v>
      </c>
      <c r="F14" s="937">
        <v>0</v>
      </c>
      <c r="G14" s="936"/>
      <c r="H14" s="934"/>
      <c r="I14" s="933"/>
      <c r="J14" s="928">
        <f t="shared" si="1"/>
        <v>0</v>
      </c>
      <c r="K14" s="932"/>
    </row>
    <row r="15" spans="1:11" ht="15.75" hidden="1" thickBot="1" x14ac:dyDescent="0.3">
      <c r="A15" s="941" t="s">
        <v>664</v>
      </c>
      <c r="B15" s="939">
        <v>70000</v>
      </c>
      <c r="C15" s="938">
        <v>70000</v>
      </c>
      <c r="D15" s="938">
        <v>70000</v>
      </c>
      <c r="E15" s="936">
        <v>70000</v>
      </c>
      <c r="F15" s="937">
        <v>0</v>
      </c>
      <c r="G15" s="936"/>
      <c r="H15" s="934"/>
      <c r="I15" s="933"/>
      <c r="J15" s="928">
        <f t="shared" si="1"/>
        <v>0</v>
      </c>
      <c r="K15" s="932"/>
    </row>
    <row r="16" spans="1:11" ht="15.75" hidden="1" thickBot="1" x14ac:dyDescent="0.3">
      <c r="A16" s="940" t="s">
        <v>663</v>
      </c>
      <c r="B16" s="939">
        <v>20000</v>
      </c>
      <c r="C16" s="938">
        <v>20000</v>
      </c>
      <c r="D16" s="938">
        <v>20000</v>
      </c>
      <c r="E16" s="936">
        <v>20000</v>
      </c>
      <c r="F16" s="937">
        <v>0</v>
      </c>
      <c r="G16" s="936"/>
      <c r="H16" s="934"/>
      <c r="I16" s="933"/>
      <c r="J16" s="928">
        <f t="shared" si="1"/>
        <v>211</v>
      </c>
      <c r="K16" s="932"/>
    </row>
    <row r="17" spans="1:11" ht="15.75" hidden="1" thickBot="1" x14ac:dyDescent="0.3">
      <c r="A17" s="940" t="s">
        <v>662</v>
      </c>
      <c r="B17" s="939">
        <v>17675</v>
      </c>
      <c r="C17" s="938">
        <v>17675</v>
      </c>
      <c r="D17" s="938">
        <v>17675</v>
      </c>
      <c r="E17" s="936">
        <v>17675</v>
      </c>
      <c r="F17" s="937">
        <v>0</v>
      </c>
      <c r="G17" s="936"/>
      <c r="H17" s="934"/>
      <c r="I17" s="933"/>
      <c r="J17" s="928">
        <f t="shared" si="1"/>
        <v>4000</v>
      </c>
      <c r="K17" s="932"/>
    </row>
    <row r="18" spans="1:11" ht="15.75" hidden="1" thickBot="1" x14ac:dyDescent="0.3">
      <c r="A18" s="940" t="s">
        <v>661</v>
      </c>
      <c r="B18" s="939">
        <v>50000</v>
      </c>
      <c r="C18" s="938">
        <v>50000</v>
      </c>
      <c r="D18" s="938">
        <v>50000</v>
      </c>
      <c r="E18" s="936">
        <v>50000</v>
      </c>
      <c r="F18" s="937">
        <v>0</v>
      </c>
      <c r="G18" s="936"/>
      <c r="H18" s="934"/>
      <c r="I18" s="933"/>
      <c r="J18" s="928">
        <f t="shared" si="1"/>
        <v>0</v>
      </c>
      <c r="K18" s="932"/>
    </row>
    <row r="19" spans="1:11" ht="15.75" hidden="1" thickBot="1" x14ac:dyDescent="0.3">
      <c r="A19" s="940" t="s">
        <v>660</v>
      </c>
      <c r="B19" s="939">
        <v>30000</v>
      </c>
      <c r="C19" s="938">
        <v>30000</v>
      </c>
      <c r="D19" s="938">
        <v>30000</v>
      </c>
      <c r="E19" s="936">
        <v>30000</v>
      </c>
      <c r="F19" s="937">
        <v>0</v>
      </c>
      <c r="G19" s="936"/>
      <c r="H19" s="934"/>
      <c r="I19" s="933"/>
      <c r="J19" s="928">
        <f t="shared" si="1"/>
        <v>0</v>
      </c>
      <c r="K19" s="932"/>
    </row>
    <row r="20" spans="1:11" ht="15.75" thickBot="1" x14ac:dyDescent="0.3">
      <c r="A20" s="931"/>
      <c r="B20" s="925"/>
      <c r="C20" s="924"/>
      <c r="D20" s="924"/>
      <c r="E20" s="923"/>
      <c r="F20" s="930"/>
      <c r="G20" s="923"/>
      <c r="H20" s="924"/>
      <c r="I20" s="929"/>
      <c r="J20" s="928"/>
      <c r="K20" s="927"/>
    </row>
    <row r="21" spans="1:11" ht="15" x14ac:dyDescent="0.25">
      <c r="A21" s="926" t="s">
        <v>659</v>
      </c>
      <c r="B21" s="925"/>
      <c r="C21" s="924"/>
      <c r="D21" s="924"/>
      <c r="E21" s="923"/>
      <c r="F21" s="922">
        <f>SUM(F22:F23)</f>
        <v>0</v>
      </c>
      <c r="G21" s="921">
        <f>SUM(G22:G23)</f>
        <v>95790</v>
      </c>
      <c r="H21" s="918">
        <f>SUM(H22:H35)</f>
        <v>1133446</v>
      </c>
      <c r="I21" s="920">
        <f>SUM(I22:I36)</f>
        <v>1267424</v>
      </c>
      <c r="J21" s="919">
        <f>SUM(J22:J35)</f>
        <v>23697</v>
      </c>
      <c r="K21" s="918">
        <f>SUM(K22:K35)</f>
        <v>29654</v>
      </c>
    </row>
    <row r="22" spans="1:11" ht="30" x14ac:dyDescent="0.25">
      <c r="A22" s="847" t="s">
        <v>658</v>
      </c>
      <c r="B22" s="846"/>
      <c r="C22" s="836"/>
      <c r="D22" s="836"/>
      <c r="E22" s="844"/>
      <c r="F22" s="845"/>
      <c r="G22" s="844">
        <v>94291</v>
      </c>
      <c r="H22" s="836">
        <v>94291</v>
      </c>
      <c r="I22" s="842">
        <v>94291</v>
      </c>
      <c r="J22" s="843">
        <v>0</v>
      </c>
      <c r="K22" s="842">
        <v>0</v>
      </c>
    </row>
    <row r="23" spans="1:11" ht="15" x14ac:dyDescent="0.25">
      <c r="A23" s="854" t="s">
        <v>657</v>
      </c>
      <c r="B23" s="853"/>
      <c r="C23" s="850"/>
      <c r="D23" s="850"/>
      <c r="E23" s="851"/>
      <c r="F23" s="852"/>
      <c r="G23" s="851">
        <v>1499</v>
      </c>
      <c r="H23" s="850">
        <v>1499</v>
      </c>
      <c r="I23" s="848">
        <v>1499</v>
      </c>
      <c r="J23" s="849">
        <v>1499</v>
      </c>
      <c r="K23" s="848">
        <v>0</v>
      </c>
    </row>
    <row r="24" spans="1:11" ht="45" x14ac:dyDescent="0.25">
      <c r="A24" s="890" t="s">
        <v>656</v>
      </c>
      <c r="B24" s="853"/>
      <c r="C24" s="850"/>
      <c r="D24" s="850"/>
      <c r="E24" s="851"/>
      <c r="F24" s="852"/>
      <c r="G24" s="851"/>
      <c r="H24" s="850">
        <v>372736</v>
      </c>
      <c r="I24" s="848">
        <v>372736</v>
      </c>
      <c r="J24" s="849">
        <v>2008</v>
      </c>
      <c r="K24" s="848">
        <v>5743</v>
      </c>
    </row>
    <row r="25" spans="1:11" ht="15" x14ac:dyDescent="0.25">
      <c r="A25" s="890" t="s">
        <v>655</v>
      </c>
      <c r="B25" s="853"/>
      <c r="C25" s="850"/>
      <c r="D25" s="850"/>
      <c r="E25" s="851"/>
      <c r="F25" s="852"/>
      <c r="G25" s="851"/>
      <c r="H25" s="850">
        <v>6040</v>
      </c>
      <c r="I25" s="848">
        <v>6040</v>
      </c>
      <c r="J25" s="849">
        <v>354</v>
      </c>
      <c r="K25" s="848">
        <v>0</v>
      </c>
    </row>
    <row r="26" spans="1:11" ht="15" x14ac:dyDescent="0.25">
      <c r="A26" s="890" t="s">
        <v>654</v>
      </c>
      <c r="B26" s="853"/>
      <c r="C26" s="850"/>
      <c r="D26" s="850"/>
      <c r="E26" s="851"/>
      <c r="F26" s="852"/>
      <c r="G26" s="851"/>
      <c r="H26" s="850">
        <v>3937</v>
      </c>
      <c r="I26" s="848">
        <v>3937</v>
      </c>
      <c r="J26" s="849">
        <v>3937</v>
      </c>
      <c r="K26" s="848">
        <v>0</v>
      </c>
    </row>
    <row r="27" spans="1:11" ht="15" x14ac:dyDescent="0.25">
      <c r="A27" s="890" t="s">
        <v>653</v>
      </c>
      <c r="B27" s="853"/>
      <c r="C27" s="850"/>
      <c r="D27" s="850"/>
      <c r="E27" s="851"/>
      <c r="F27" s="852"/>
      <c r="G27" s="851"/>
      <c r="H27" s="850">
        <v>397701</v>
      </c>
      <c r="I27" s="848">
        <v>397701</v>
      </c>
      <c r="J27" s="849">
        <v>11688</v>
      </c>
      <c r="K27" s="848">
        <v>2737</v>
      </c>
    </row>
    <row r="28" spans="1:11" ht="15" x14ac:dyDescent="0.25">
      <c r="A28" s="890" t="s">
        <v>652</v>
      </c>
      <c r="B28" s="853"/>
      <c r="C28" s="850"/>
      <c r="D28" s="850"/>
      <c r="E28" s="851"/>
      <c r="F28" s="852"/>
      <c r="G28" s="851"/>
      <c r="H28" s="850">
        <v>10670</v>
      </c>
      <c r="I28" s="848">
        <v>10670</v>
      </c>
      <c r="J28" s="849">
        <v>0</v>
      </c>
      <c r="K28" s="848">
        <v>0</v>
      </c>
    </row>
    <row r="29" spans="1:11" ht="30" x14ac:dyDescent="0.25">
      <c r="A29" s="890" t="s">
        <v>651</v>
      </c>
      <c r="B29" s="853"/>
      <c r="C29" s="850"/>
      <c r="D29" s="850"/>
      <c r="E29" s="851"/>
      <c r="F29" s="852"/>
      <c r="G29" s="851"/>
      <c r="H29" s="850">
        <v>206912</v>
      </c>
      <c r="I29" s="848">
        <v>206912</v>
      </c>
      <c r="J29" s="849">
        <v>0</v>
      </c>
      <c r="K29" s="848">
        <v>0</v>
      </c>
    </row>
    <row r="30" spans="1:11" ht="15" x14ac:dyDescent="0.25">
      <c r="A30" s="854" t="s">
        <v>650</v>
      </c>
      <c r="B30" s="853"/>
      <c r="C30" s="850"/>
      <c r="D30" s="850"/>
      <c r="E30" s="851"/>
      <c r="F30" s="852"/>
      <c r="G30" s="851"/>
      <c r="H30" s="850">
        <v>15500</v>
      </c>
      <c r="I30" s="848">
        <v>15500</v>
      </c>
      <c r="J30" s="849">
        <v>0</v>
      </c>
      <c r="K30" s="848">
        <v>11990</v>
      </c>
    </row>
    <row r="31" spans="1:11" ht="30" x14ac:dyDescent="0.25">
      <c r="A31" s="917" t="s">
        <v>649</v>
      </c>
      <c r="B31" s="853"/>
      <c r="C31" s="850"/>
      <c r="D31" s="850"/>
      <c r="E31" s="851"/>
      <c r="F31" s="852"/>
      <c r="G31" s="851"/>
      <c r="H31" s="850">
        <v>3500</v>
      </c>
      <c r="I31" s="842">
        <v>4073</v>
      </c>
      <c r="J31" s="849">
        <v>211</v>
      </c>
      <c r="K31" s="848">
        <v>3862</v>
      </c>
    </row>
    <row r="32" spans="1:11" ht="15" x14ac:dyDescent="0.25">
      <c r="A32" s="854" t="s">
        <v>648</v>
      </c>
      <c r="B32" s="853"/>
      <c r="C32" s="850"/>
      <c r="D32" s="850"/>
      <c r="E32" s="851"/>
      <c r="F32" s="852"/>
      <c r="G32" s="851"/>
      <c r="H32" s="850">
        <v>4000</v>
      </c>
      <c r="I32" s="848">
        <v>4000</v>
      </c>
      <c r="J32" s="849">
        <v>4000</v>
      </c>
      <c r="K32" s="848">
        <v>0</v>
      </c>
    </row>
    <row r="33" spans="1:11" ht="15" x14ac:dyDescent="0.25">
      <c r="A33" s="854" t="s">
        <v>647</v>
      </c>
      <c r="B33" s="853"/>
      <c r="C33" s="850"/>
      <c r="D33" s="850"/>
      <c r="E33" s="851"/>
      <c r="F33" s="852"/>
      <c r="G33" s="851"/>
      <c r="H33" s="850">
        <v>6500</v>
      </c>
      <c r="I33" s="848">
        <v>6500</v>
      </c>
      <c r="J33" s="849">
        <v>0</v>
      </c>
      <c r="K33" s="848">
        <v>0</v>
      </c>
    </row>
    <row r="34" spans="1:11" ht="15" x14ac:dyDescent="0.25">
      <c r="A34" s="854" t="s">
        <v>646</v>
      </c>
      <c r="B34" s="853"/>
      <c r="C34" s="850"/>
      <c r="D34" s="850"/>
      <c r="E34" s="851"/>
      <c r="F34" s="852"/>
      <c r="G34" s="851"/>
      <c r="H34" s="850">
        <v>8000</v>
      </c>
      <c r="I34" s="848">
        <v>8000</v>
      </c>
      <c r="J34" s="849">
        <v>0</v>
      </c>
      <c r="K34" s="848">
        <v>5322</v>
      </c>
    </row>
    <row r="35" spans="1:11" ht="30" x14ac:dyDescent="0.25">
      <c r="A35" s="854" t="s">
        <v>645</v>
      </c>
      <c r="B35" s="853"/>
      <c r="C35" s="850"/>
      <c r="D35" s="850"/>
      <c r="E35" s="851"/>
      <c r="F35" s="852"/>
      <c r="G35" s="851"/>
      <c r="H35" s="850">
        <v>2160</v>
      </c>
      <c r="I35" s="848">
        <v>2160</v>
      </c>
      <c r="J35" s="849">
        <v>0</v>
      </c>
      <c r="K35" s="848">
        <v>0</v>
      </c>
    </row>
    <row r="36" spans="1:11" ht="14.25" customHeight="1" x14ac:dyDescent="0.25">
      <c r="A36" s="854" t="s">
        <v>644</v>
      </c>
      <c r="B36" s="853"/>
      <c r="C36" s="850"/>
      <c r="D36" s="850"/>
      <c r="E36" s="851"/>
      <c r="F36" s="852"/>
      <c r="G36" s="851"/>
      <c r="H36" s="850">
        <v>0</v>
      </c>
      <c r="I36" s="848">
        <v>133405</v>
      </c>
      <c r="J36" s="849"/>
      <c r="K36" s="848"/>
    </row>
    <row r="37" spans="1:11" ht="15" x14ac:dyDescent="0.25">
      <c r="A37" s="854"/>
      <c r="B37" s="853"/>
      <c r="C37" s="850"/>
      <c r="D37" s="850"/>
      <c r="E37" s="851"/>
      <c r="F37" s="852"/>
      <c r="G37" s="851"/>
      <c r="H37" s="850"/>
      <c r="I37" s="848"/>
      <c r="J37" s="849"/>
      <c r="K37" s="848"/>
    </row>
    <row r="38" spans="1:11" ht="14.25" x14ac:dyDescent="0.2">
      <c r="A38" s="916" t="s">
        <v>643</v>
      </c>
      <c r="B38" s="915">
        <f>SUM(B39:B76)</f>
        <v>984184</v>
      </c>
      <c r="C38" s="910">
        <f>SUM(C39:C76)</f>
        <v>646390</v>
      </c>
      <c r="D38" s="910">
        <f>SUM(D39:D76)</f>
        <v>408657</v>
      </c>
      <c r="E38" s="913">
        <f>SUM(E39:E76)</f>
        <v>264597</v>
      </c>
      <c r="F38" s="914">
        <f>SUM(F39:F82)</f>
        <v>259597</v>
      </c>
      <c r="G38" s="913">
        <f>SUM(G39:G82)</f>
        <v>14938</v>
      </c>
      <c r="H38" s="910">
        <f>SUM(H43:H99)</f>
        <v>298919</v>
      </c>
      <c r="I38" s="912">
        <f>SUM(I43:I110)</f>
        <v>339738</v>
      </c>
      <c r="J38" s="911">
        <f>SUM(J43:J110)</f>
        <v>56872</v>
      </c>
      <c r="K38" s="910">
        <f>SUM(K43:K110)</f>
        <v>12740</v>
      </c>
    </row>
    <row r="39" spans="1:11" ht="15" hidden="1" x14ac:dyDescent="0.25">
      <c r="A39" s="890" t="s">
        <v>642</v>
      </c>
      <c r="B39" s="889">
        <v>15000</v>
      </c>
      <c r="C39" s="886">
        <v>0</v>
      </c>
      <c r="D39" s="886">
        <v>0</v>
      </c>
      <c r="E39" s="887">
        <v>0</v>
      </c>
      <c r="F39" s="888">
        <v>0</v>
      </c>
      <c r="G39" s="887"/>
      <c r="H39" s="886"/>
      <c r="I39" s="884"/>
      <c r="J39" s="885"/>
      <c r="K39" s="884"/>
    </row>
    <row r="40" spans="1:11" ht="15" hidden="1" x14ac:dyDescent="0.25">
      <c r="A40" s="890" t="s">
        <v>641</v>
      </c>
      <c r="B40" s="889">
        <v>15000</v>
      </c>
      <c r="C40" s="886">
        <v>15000</v>
      </c>
      <c r="D40" s="886">
        <v>0</v>
      </c>
      <c r="E40" s="887">
        <v>0</v>
      </c>
      <c r="F40" s="888">
        <v>0</v>
      </c>
      <c r="G40" s="887"/>
      <c r="H40" s="886"/>
      <c r="I40" s="884"/>
      <c r="J40" s="885"/>
      <c r="K40" s="884"/>
    </row>
    <row r="41" spans="1:11" ht="15" hidden="1" x14ac:dyDescent="0.25">
      <c r="A41" s="890" t="s">
        <v>640</v>
      </c>
      <c r="B41" s="889">
        <v>11938</v>
      </c>
      <c r="C41" s="886">
        <v>0</v>
      </c>
      <c r="D41" s="886">
        <v>0</v>
      </c>
      <c r="E41" s="887">
        <v>0</v>
      </c>
      <c r="F41" s="888">
        <v>0</v>
      </c>
      <c r="G41" s="887"/>
      <c r="H41" s="886"/>
      <c r="I41" s="884"/>
      <c r="J41" s="885"/>
      <c r="K41" s="884"/>
    </row>
    <row r="42" spans="1:11" ht="15" hidden="1" x14ac:dyDescent="0.25">
      <c r="A42" s="890" t="s">
        <v>639</v>
      </c>
      <c r="B42" s="889">
        <v>21590</v>
      </c>
      <c r="C42" s="886">
        <v>0</v>
      </c>
      <c r="D42" s="886">
        <v>0</v>
      </c>
      <c r="E42" s="887">
        <v>0</v>
      </c>
      <c r="F42" s="888">
        <v>0</v>
      </c>
      <c r="G42" s="887"/>
      <c r="H42" s="886"/>
      <c r="I42" s="884"/>
      <c r="J42" s="885"/>
      <c r="K42" s="884"/>
    </row>
    <row r="43" spans="1:11" ht="14.25" customHeight="1" x14ac:dyDescent="0.25">
      <c r="A43" s="890" t="s">
        <v>638</v>
      </c>
      <c r="B43" s="889">
        <v>3810</v>
      </c>
      <c r="C43" s="886">
        <v>3810</v>
      </c>
      <c r="D43" s="886">
        <v>3810</v>
      </c>
      <c r="E43" s="887">
        <v>3810</v>
      </c>
      <c r="F43" s="888">
        <v>3810</v>
      </c>
      <c r="G43" s="887">
        <v>-3810</v>
      </c>
      <c r="H43" s="886">
        <v>0</v>
      </c>
      <c r="I43" s="884">
        <v>0</v>
      </c>
      <c r="J43" s="885">
        <v>0</v>
      </c>
      <c r="K43" s="884">
        <v>0</v>
      </c>
    </row>
    <row r="44" spans="1:11" ht="15" hidden="1" x14ac:dyDescent="0.25">
      <c r="A44" s="890" t="s">
        <v>637</v>
      </c>
      <c r="B44" s="889">
        <v>10000</v>
      </c>
      <c r="C44" s="886">
        <v>6000</v>
      </c>
      <c r="D44" s="886">
        <v>0</v>
      </c>
      <c r="E44" s="887">
        <v>0</v>
      </c>
      <c r="F44" s="888">
        <v>0</v>
      </c>
      <c r="G44" s="887"/>
      <c r="H44" s="886"/>
      <c r="I44" s="884"/>
      <c r="J44" s="885"/>
      <c r="K44" s="884"/>
    </row>
    <row r="45" spans="1:11" ht="15" hidden="1" x14ac:dyDescent="0.25">
      <c r="A45" s="890" t="s">
        <v>636</v>
      </c>
      <c r="B45" s="889">
        <v>6000</v>
      </c>
      <c r="C45" s="886">
        <v>3000</v>
      </c>
      <c r="D45" s="886">
        <v>0</v>
      </c>
      <c r="E45" s="887">
        <v>0</v>
      </c>
      <c r="F45" s="888">
        <v>0</v>
      </c>
      <c r="G45" s="887"/>
      <c r="H45" s="886"/>
      <c r="I45" s="884"/>
      <c r="J45" s="885"/>
      <c r="K45" s="884"/>
    </row>
    <row r="46" spans="1:11" ht="36.75" hidden="1" customHeight="1" x14ac:dyDescent="0.25">
      <c r="A46" s="890" t="s">
        <v>635</v>
      </c>
      <c r="B46" s="889">
        <v>45000</v>
      </c>
      <c r="C46" s="886">
        <v>0</v>
      </c>
      <c r="D46" s="886">
        <v>0</v>
      </c>
      <c r="E46" s="887">
        <v>0</v>
      </c>
      <c r="F46" s="888">
        <v>0</v>
      </c>
      <c r="G46" s="887"/>
      <c r="H46" s="886"/>
      <c r="I46" s="884"/>
      <c r="J46" s="885"/>
      <c r="K46" s="884"/>
    </row>
    <row r="47" spans="1:11" ht="36.75" hidden="1" customHeight="1" x14ac:dyDescent="0.25">
      <c r="A47" s="890" t="s">
        <v>634</v>
      </c>
      <c r="B47" s="889">
        <v>50000</v>
      </c>
      <c r="C47" s="886">
        <v>50000</v>
      </c>
      <c r="D47" s="886">
        <v>20000</v>
      </c>
      <c r="E47" s="887">
        <v>0</v>
      </c>
      <c r="F47" s="888">
        <v>0</v>
      </c>
      <c r="G47" s="887"/>
      <c r="H47" s="886"/>
      <c r="I47" s="884"/>
      <c r="J47" s="885"/>
      <c r="K47" s="884"/>
    </row>
    <row r="48" spans="1:11" ht="15" hidden="1" x14ac:dyDescent="0.25">
      <c r="A48" s="909" t="s">
        <v>633</v>
      </c>
      <c r="B48" s="889"/>
      <c r="C48" s="886"/>
      <c r="D48" s="886"/>
      <c r="E48" s="887"/>
      <c r="F48" s="888"/>
      <c r="G48" s="887"/>
      <c r="H48" s="886"/>
      <c r="I48" s="884"/>
      <c r="J48" s="885"/>
      <c r="K48" s="884"/>
    </row>
    <row r="49" spans="1:11" ht="15" hidden="1" x14ac:dyDescent="0.25">
      <c r="A49" s="890" t="s">
        <v>632</v>
      </c>
      <c r="B49" s="889">
        <v>40000</v>
      </c>
      <c r="C49" s="886">
        <v>0</v>
      </c>
      <c r="D49" s="886">
        <v>0</v>
      </c>
      <c r="E49" s="887">
        <v>0</v>
      </c>
      <c r="F49" s="888">
        <v>0</v>
      </c>
      <c r="G49" s="887"/>
      <c r="H49" s="886"/>
      <c r="I49" s="884"/>
      <c r="J49" s="885"/>
      <c r="K49" s="884"/>
    </row>
    <row r="50" spans="1:11" ht="15" hidden="1" x14ac:dyDescent="0.25">
      <c r="A50" s="890" t="s">
        <v>631</v>
      </c>
      <c r="B50" s="889">
        <v>50000</v>
      </c>
      <c r="C50" s="886">
        <v>50000</v>
      </c>
      <c r="D50" s="886">
        <v>0</v>
      </c>
      <c r="E50" s="887">
        <v>0</v>
      </c>
      <c r="F50" s="888">
        <v>0</v>
      </c>
      <c r="G50" s="887"/>
      <c r="H50" s="886"/>
      <c r="I50" s="884"/>
      <c r="J50" s="885"/>
      <c r="K50" s="884"/>
    </row>
    <row r="51" spans="1:11" ht="15" hidden="1" x14ac:dyDescent="0.25">
      <c r="A51" s="890" t="s">
        <v>630</v>
      </c>
      <c r="B51" s="889">
        <v>15000</v>
      </c>
      <c r="C51" s="886">
        <v>15000</v>
      </c>
      <c r="D51" s="886">
        <v>15000</v>
      </c>
      <c r="E51" s="887">
        <v>0</v>
      </c>
      <c r="F51" s="888">
        <v>0</v>
      </c>
      <c r="G51" s="887"/>
      <c r="H51" s="886"/>
      <c r="I51" s="884"/>
      <c r="J51" s="885"/>
      <c r="K51" s="884"/>
    </row>
    <row r="52" spans="1:11" ht="15" hidden="1" x14ac:dyDescent="0.25">
      <c r="A52" s="890" t="s">
        <v>629</v>
      </c>
      <c r="B52" s="889">
        <v>3000</v>
      </c>
      <c r="C52" s="886">
        <v>0</v>
      </c>
      <c r="D52" s="886">
        <v>0</v>
      </c>
      <c r="E52" s="887">
        <v>0</v>
      </c>
      <c r="F52" s="888">
        <v>0</v>
      </c>
      <c r="G52" s="887"/>
      <c r="H52" s="886"/>
      <c r="I52" s="884"/>
      <c r="J52" s="885"/>
      <c r="K52" s="884"/>
    </row>
    <row r="53" spans="1:11" ht="15" x14ac:dyDescent="0.25">
      <c r="A53" s="890" t="s">
        <v>628</v>
      </c>
      <c r="B53" s="889">
        <v>3000</v>
      </c>
      <c r="C53" s="886">
        <v>3000</v>
      </c>
      <c r="D53" s="886">
        <v>3000</v>
      </c>
      <c r="E53" s="887">
        <v>3000</v>
      </c>
      <c r="F53" s="888">
        <v>3000</v>
      </c>
      <c r="G53" s="887"/>
      <c r="H53" s="886">
        <v>3000</v>
      </c>
      <c r="I53" s="884">
        <v>3000</v>
      </c>
      <c r="J53" s="885">
        <v>0</v>
      </c>
      <c r="K53" s="884">
        <v>0</v>
      </c>
    </row>
    <row r="54" spans="1:11" ht="15" x14ac:dyDescent="0.25">
      <c r="A54" s="890" t="s">
        <v>627</v>
      </c>
      <c r="B54" s="889">
        <v>6350</v>
      </c>
      <c r="C54" s="886">
        <v>6350</v>
      </c>
      <c r="D54" s="886">
        <v>6350</v>
      </c>
      <c r="E54" s="887">
        <v>6350</v>
      </c>
      <c r="F54" s="888">
        <v>6350</v>
      </c>
      <c r="G54" s="887"/>
      <c r="H54" s="886">
        <v>6350</v>
      </c>
      <c r="I54" s="884">
        <v>5949</v>
      </c>
      <c r="J54" s="885">
        <v>0</v>
      </c>
      <c r="K54" s="884">
        <v>0</v>
      </c>
    </row>
    <row r="55" spans="1:11" ht="15" x14ac:dyDescent="0.25">
      <c r="A55" s="890" t="s">
        <v>626</v>
      </c>
      <c r="B55" s="889">
        <v>30000</v>
      </c>
      <c r="C55" s="886">
        <v>30000</v>
      </c>
      <c r="D55" s="886">
        <v>30000</v>
      </c>
      <c r="E55" s="887">
        <v>5000</v>
      </c>
      <c r="F55" s="888">
        <v>5000</v>
      </c>
      <c r="G55" s="887"/>
      <c r="H55" s="886">
        <v>5404</v>
      </c>
      <c r="I55" s="884">
        <v>5404</v>
      </c>
      <c r="J55" s="885">
        <v>5404</v>
      </c>
      <c r="K55" s="884">
        <v>0</v>
      </c>
    </row>
    <row r="56" spans="1:11" ht="15" x14ac:dyDescent="0.25">
      <c r="A56" s="890" t="s">
        <v>188</v>
      </c>
      <c r="B56" s="889">
        <v>25400</v>
      </c>
      <c r="C56" s="886">
        <v>25400</v>
      </c>
      <c r="D56" s="886">
        <v>25400</v>
      </c>
      <c r="E56" s="887">
        <v>25400</v>
      </c>
      <c r="F56" s="888">
        <v>25400</v>
      </c>
      <c r="G56" s="887"/>
      <c r="H56" s="886">
        <v>25400</v>
      </c>
      <c r="I56" s="884">
        <v>25400</v>
      </c>
      <c r="J56" s="885">
        <v>0</v>
      </c>
      <c r="K56" s="884">
        <v>0</v>
      </c>
    </row>
    <row r="57" spans="1:11" ht="15" x14ac:dyDescent="0.25">
      <c r="A57" s="890" t="s">
        <v>625</v>
      </c>
      <c r="B57" s="889">
        <v>6350</v>
      </c>
      <c r="C57" s="886">
        <v>6350</v>
      </c>
      <c r="D57" s="886">
        <v>1000</v>
      </c>
      <c r="E57" s="887">
        <v>1000</v>
      </c>
      <c r="F57" s="888">
        <v>1000</v>
      </c>
      <c r="G57" s="887"/>
      <c r="H57" s="886">
        <v>1000</v>
      </c>
      <c r="I57" s="884">
        <v>1000</v>
      </c>
      <c r="J57" s="885">
        <v>487</v>
      </c>
      <c r="K57" s="884">
        <v>0</v>
      </c>
    </row>
    <row r="58" spans="1:11" ht="15" hidden="1" x14ac:dyDescent="0.25">
      <c r="A58" s="890" t="s">
        <v>624</v>
      </c>
      <c r="B58" s="889">
        <v>25400</v>
      </c>
      <c r="C58" s="886">
        <v>25400</v>
      </c>
      <c r="D58" s="886">
        <v>0</v>
      </c>
      <c r="E58" s="887">
        <v>0</v>
      </c>
      <c r="F58" s="888">
        <v>0</v>
      </c>
      <c r="G58" s="887"/>
      <c r="H58" s="886"/>
      <c r="I58" s="884"/>
      <c r="J58" s="885"/>
      <c r="K58" s="884"/>
    </row>
    <row r="59" spans="1:11" ht="15" hidden="1" x14ac:dyDescent="0.25">
      <c r="A59" s="890" t="s">
        <v>623</v>
      </c>
      <c r="B59" s="889">
        <v>27940</v>
      </c>
      <c r="C59" s="886">
        <v>27940</v>
      </c>
      <c r="D59" s="886">
        <v>12700</v>
      </c>
      <c r="E59" s="887">
        <v>0</v>
      </c>
      <c r="F59" s="888">
        <v>0</v>
      </c>
      <c r="G59" s="887"/>
      <c r="H59" s="886"/>
      <c r="I59" s="884"/>
      <c r="J59" s="885"/>
      <c r="K59" s="884"/>
    </row>
    <row r="60" spans="1:11" ht="15" hidden="1" x14ac:dyDescent="0.25">
      <c r="A60" s="890" t="s">
        <v>622</v>
      </c>
      <c r="B60" s="889">
        <v>30000</v>
      </c>
      <c r="C60" s="886">
        <v>30000</v>
      </c>
      <c r="D60" s="886">
        <v>0</v>
      </c>
      <c r="E60" s="887">
        <v>0</v>
      </c>
      <c r="F60" s="888">
        <v>0</v>
      </c>
      <c r="G60" s="887"/>
      <c r="H60" s="886"/>
      <c r="I60" s="884"/>
      <c r="J60" s="885"/>
      <c r="K60" s="884"/>
    </row>
    <row r="61" spans="1:11" ht="15" hidden="1" x14ac:dyDescent="0.25">
      <c r="A61" s="908" t="s">
        <v>621</v>
      </c>
      <c r="B61" s="907">
        <v>96000</v>
      </c>
      <c r="C61" s="906">
        <v>0</v>
      </c>
      <c r="D61" s="906">
        <v>0</v>
      </c>
      <c r="E61" s="904">
        <v>0</v>
      </c>
      <c r="F61" s="905">
        <v>0</v>
      </c>
      <c r="G61" s="904"/>
      <c r="H61" s="886"/>
      <c r="I61" s="884"/>
      <c r="J61" s="885"/>
      <c r="K61" s="884"/>
    </row>
    <row r="62" spans="1:11" ht="15" x14ac:dyDescent="0.25">
      <c r="A62" s="908" t="s">
        <v>620</v>
      </c>
      <c r="B62" s="907">
        <v>10000</v>
      </c>
      <c r="C62" s="906">
        <v>10000</v>
      </c>
      <c r="D62" s="906">
        <v>10000</v>
      </c>
      <c r="E62" s="904">
        <v>10000</v>
      </c>
      <c r="F62" s="905">
        <v>10000</v>
      </c>
      <c r="G62" s="904"/>
      <c r="H62" s="886">
        <v>10000</v>
      </c>
      <c r="I62" s="884">
        <v>10000</v>
      </c>
      <c r="J62" s="885">
        <v>0</v>
      </c>
      <c r="K62" s="884">
        <v>0</v>
      </c>
    </row>
    <row r="63" spans="1:11" ht="15" x14ac:dyDescent="0.25">
      <c r="A63" s="890" t="s">
        <v>619</v>
      </c>
      <c r="B63" s="889">
        <v>2000</v>
      </c>
      <c r="C63" s="886">
        <v>2000</v>
      </c>
      <c r="D63" s="886">
        <v>2000</v>
      </c>
      <c r="E63" s="887">
        <v>2000</v>
      </c>
      <c r="F63" s="888">
        <v>2000</v>
      </c>
      <c r="G63" s="887">
        <f>-1115-885</f>
        <v>-2000</v>
      </c>
      <c r="H63" s="886">
        <v>0</v>
      </c>
      <c r="I63" s="884">
        <v>0</v>
      </c>
      <c r="J63" s="885">
        <v>0</v>
      </c>
      <c r="K63" s="884">
        <v>0</v>
      </c>
    </row>
    <row r="64" spans="1:11" ht="15" x14ac:dyDescent="0.25">
      <c r="A64" s="890" t="s">
        <v>618</v>
      </c>
      <c r="B64" s="889">
        <v>1200</v>
      </c>
      <c r="C64" s="886">
        <v>1200</v>
      </c>
      <c r="D64" s="886">
        <v>1200</v>
      </c>
      <c r="E64" s="887">
        <v>1200</v>
      </c>
      <c r="F64" s="888">
        <v>1200</v>
      </c>
      <c r="G64" s="887"/>
      <c r="H64" s="886">
        <v>0</v>
      </c>
      <c r="I64" s="884">
        <v>0</v>
      </c>
      <c r="J64" s="885">
        <v>0</v>
      </c>
      <c r="K64" s="884">
        <v>0</v>
      </c>
    </row>
    <row r="65" spans="1:11" ht="15" x14ac:dyDescent="0.25">
      <c r="A65" s="890" t="s">
        <v>617</v>
      </c>
      <c r="B65" s="889">
        <v>500</v>
      </c>
      <c r="C65" s="886">
        <v>500</v>
      </c>
      <c r="D65" s="886">
        <v>500</v>
      </c>
      <c r="E65" s="887">
        <v>500</v>
      </c>
      <c r="F65" s="888">
        <v>500</v>
      </c>
      <c r="G65" s="887"/>
      <c r="H65" s="886">
        <v>500</v>
      </c>
      <c r="I65" s="884">
        <v>500</v>
      </c>
      <c r="J65" s="885">
        <v>214</v>
      </c>
      <c r="K65" s="884">
        <v>0</v>
      </c>
    </row>
    <row r="66" spans="1:11" ht="15" x14ac:dyDescent="0.25">
      <c r="A66" s="890" t="s">
        <v>616</v>
      </c>
      <c r="B66" s="889">
        <v>6350</v>
      </c>
      <c r="C66" s="886">
        <v>6350</v>
      </c>
      <c r="D66" s="886">
        <v>0</v>
      </c>
      <c r="E66" s="887">
        <v>500</v>
      </c>
      <c r="F66" s="888">
        <v>500</v>
      </c>
      <c r="G66" s="887"/>
      <c r="H66" s="886">
        <v>500</v>
      </c>
      <c r="I66" s="884">
        <v>500</v>
      </c>
      <c r="J66" s="885">
        <v>0</v>
      </c>
      <c r="K66" s="884">
        <v>0</v>
      </c>
    </row>
    <row r="67" spans="1:11" ht="14.25" hidden="1" customHeight="1" x14ac:dyDescent="0.25">
      <c r="A67" s="890" t="s">
        <v>615</v>
      </c>
      <c r="B67" s="889">
        <v>22860</v>
      </c>
      <c r="C67" s="886">
        <v>22860</v>
      </c>
      <c r="D67" s="886">
        <v>22860</v>
      </c>
      <c r="E67" s="887">
        <v>0</v>
      </c>
      <c r="F67" s="888">
        <v>0</v>
      </c>
      <c r="G67" s="887"/>
      <c r="H67" s="886"/>
      <c r="I67" s="884"/>
      <c r="J67" s="885"/>
      <c r="K67" s="884"/>
    </row>
    <row r="68" spans="1:11" ht="15" x14ac:dyDescent="0.25">
      <c r="A68" s="890" t="s">
        <v>614</v>
      </c>
      <c r="B68" s="889">
        <v>7519</v>
      </c>
      <c r="C68" s="886">
        <v>7519</v>
      </c>
      <c r="D68" s="886">
        <v>5000</v>
      </c>
      <c r="E68" s="887">
        <v>5000</v>
      </c>
      <c r="F68" s="888">
        <v>5000</v>
      </c>
      <c r="G68" s="887"/>
      <c r="H68" s="886">
        <v>5000</v>
      </c>
      <c r="I68" s="884">
        <v>5000</v>
      </c>
      <c r="J68" s="885">
        <v>5000</v>
      </c>
      <c r="K68" s="884">
        <v>0</v>
      </c>
    </row>
    <row r="69" spans="1:11" ht="15" x14ac:dyDescent="0.25">
      <c r="A69" s="890" t="s">
        <v>613</v>
      </c>
      <c r="B69" s="889">
        <v>30000</v>
      </c>
      <c r="C69" s="886">
        <v>5000</v>
      </c>
      <c r="D69" s="886">
        <v>5000</v>
      </c>
      <c r="E69" s="887">
        <v>1000</v>
      </c>
      <c r="F69" s="888">
        <v>1000</v>
      </c>
      <c r="G69" s="887">
        <v>-1000</v>
      </c>
      <c r="H69" s="886">
        <v>0</v>
      </c>
      <c r="I69" s="884">
        <v>0</v>
      </c>
      <c r="J69" s="885">
        <v>0</v>
      </c>
      <c r="K69" s="884">
        <v>0</v>
      </c>
    </row>
    <row r="70" spans="1:11" ht="15" x14ac:dyDescent="0.25">
      <c r="A70" s="890" t="s">
        <v>612</v>
      </c>
      <c r="B70" s="889">
        <v>1500</v>
      </c>
      <c r="C70" s="886">
        <v>1500</v>
      </c>
      <c r="D70" s="886">
        <v>1500</v>
      </c>
      <c r="E70" s="887">
        <v>1500</v>
      </c>
      <c r="F70" s="888">
        <v>1500</v>
      </c>
      <c r="G70" s="887">
        <v>-1500</v>
      </c>
      <c r="H70" s="886">
        <v>0</v>
      </c>
      <c r="I70" s="884">
        <v>0</v>
      </c>
      <c r="J70" s="885">
        <v>0</v>
      </c>
      <c r="K70" s="884">
        <v>0</v>
      </c>
    </row>
    <row r="71" spans="1:11" ht="14.25" hidden="1" customHeight="1" x14ac:dyDescent="0.25">
      <c r="A71" s="890" t="s">
        <v>611</v>
      </c>
      <c r="B71" s="889">
        <v>2540</v>
      </c>
      <c r="C71" s="886">
        <v>2540</v>
      </c>
      <c r="D71" s="886">
        <v>0</v>
      </c>
      <c r="E71" s="887">
        <v>0</v>
      </c>
      <c r="F71" s="888">
        <v>0</v>
      </c>
      <c r="G71" s="887"/>
      <c r="H71" s="886"/>
      <c r="I71" s="884"/>
      <c r="J71" s="885"/>
      <c r="K71" s="884"/>
    </row>
    <row r="72" spans="1:11" ht="15" hidden="1" x14ac:dyDescent="0.25">
      <c r="A72" s="890" t="s">
        <v>610</v>
      </c>
      <c r="B72" s="889">
        <v>68000</v>
      </c>
      <c r="C72" s="886">
        <v>68000</v>
      </c>
      <c r="D72" s="886">
        <v>0</v>
      </c>
      <c r="E72" s="887">
        <v>0</v>
      </c>
      <c r="F72" s="888">
        <v>0</v>
      </c>
      <c r="G72" s="887"/>
      <c r="H72" s="886"/>
      <c r="I72" s="884"/>
      <c r="J72" s="885"/>
      <c r="K72" s="884"/>
    </row>
    <row r="73" spans="1:11" ht="15" hidden="1" x14ac:dyDescent="0.25">
      <c r="A73" s="890" t="s">
        <v>609</v>
      </c>
      <c r="B73" s="889">
        <v>101600</v>
      </c>
      <c r="C73" s="886">
        <v>25000</v>
      </c>
      <c r="D73" s="886">
        <v>25000</v>
      </c>
      <c r="E73" s="887">
        <v>5000</v>
      </c>
      <c r="F73" s="888">
        <v>0</v>
      </c>
      <c r="G73" s="887"/>
      <c r="H73" s="886"/>
      <c r="I73" s="884"/>
      <c r="J73" s="885"/>
      <c r="K73" s="884"/>
    </row>
    <row r="74" spans="1:11" ht="18.75" customHeight="1" x14ac:dyDescent="0.25">
      <c r="A74" s="903" t="s">
        <v>608</v>
      </c>
      <c r="B74" s="853">
        <v>193167</v>
      </c>
      <c r="C74" s="850">
        <v>193167</v>
      </c>
      <c r="D74" s="850">
        <v>193167</v>
      </c>
      <c r="E74" s="851">
        <v>193167</v>
      </c>
      <c r="F74" s="852">
        <v>193167</v>
      </c>
      <c r="G74" s="851"/>
      <c r="H74" s="886">
        <v>193167</v>
      </c>
      <c r="I74" s="884">
        <v>193167</v>
      </c>
      <c r="J74" s="885">
        <v>4409</v>
      </c>
      <c r="K74" s="884">
        <v>0</v>
      </c>
    </row>
    <row r="75" spans="1:11" ht="0.75" customHeight="1" x14ac:dyDescent="0.25">
      <c r="A75" s="903" t="s">
        <v>607</v>
      </c>
      <c r="B75" s="853"/>
      <c r="C75" s="850">
        <v>3334</v>
      </c>
      <c r="D75" s="850">
        <v>25000</v>
      </c>
      <c r="E75" s="851">
        <v>0</v>
      </c>
      <c r="F75" s="852">
        <v>0</v>
      </c>
      <c r="G75" s="851"/>
      <c r="H75" s="886"/>
      <c r="I75" s="884"/>
      <c r="J75" s="885"/>
      <c r="K75" s="884"/>
    </row>
    <row r="76" spans="1:11" ht="27.75" customHeight="1" x14ac:dyDescent="0.25">
      <c r="A76" s="890" t="s">
        <v>606</v>
      </c>
      <c r="B76" s="889">
        <v>170</v>
      </c>
      <c r="C76" s="886">
        <v>170</v>
      </c>
      <c r="D76" s="886">
        <v>170</v>
      </c>
      <c r="E76" s="887">
        <v>170</v>
      </c>
      <c r="F76" s="888">
        <v>170</v>
      </c>
      <c r="G76" s="887"/>
      <c r="H76" s="886">
        <v>170</v>
      </c>
      <c r="I76" s="884">
        <v>170</v>
      </c>
      <c r="J76" s="885">
        <v>0</v>
      </c>
      <c r="K76" s="884">
        <v>0</v>
      </c>
    </row>
    <row r="77" spans="1:11" ht="30" x14ac:dyDescent="0.25">
      <c r="A77" s="890" t="s">
        <v>605</v>
      </c>
      <c r="B77" s="889"/>
      <c r="C77" s="886"/>
      <c r="D77" s="886"/>
      <c r="E77" s="887"/>
      <c r="F77" s="888"/>
      <c r="G77" s="887">
        <v>13853</v>
      </c>
      <c r="H77" s="886">
        <v>13853</v>
      </c>
      <c r="I77" s="884">
        <v>13853</v>
      </c>
      <c r="J77" s="885">
        <v>10000</v>
      </c>
      <c r="K77" s="884">
        <v>3853</v>
      </c>
    </row>
    <row r="78" spans="1:11" ht="15.75" customHeight="1" x14ac:dyDescent="0.25">
      <c r="A78" s="890" t="s">
        <v>604</v>
      </c>
      <c r="B78" s="889"/>
      <c r="C78" s="886"/>
      <c r="D78" s="886"/>
      <c r="E78" s="887"/>
      <c r="F78" s="888"/>
      <c r="G78" s="887">
        <v>7772</v>
      </c>
      <c r="H78" s="886">
        <v>7772</v>
      </c>
      <c r="I78" s="884">
        <v>7772</v>
      </c>
      <c r="J78" s="885">
        <v>7772</v>
      </c>
      <c r="K78" s="884">
        <v>0</v>
      </c>
    </row>
    <row r="79" spans="1:11" ht="30" x14ac:dyDescent="0.25">
      <c r="A79" s="890" t="s">
        <v>603</v>
      </c>
      <c r="B79" s="889"/>
      <c r="C79" s="886"/>
      <c r="D79" s="886"/>
      <c r="E79" s="887"/>
      <c r="F79" s="888"/>
      <c r="G79" s="887">
        <v>418</v>
      </c>
      <c r="H79" s="886">
        <v>418</v>
      </c>
      <c r="I79" s="884">
        <v>418</v>
      </c>
      <c r="J79" s="885">
        <v>418</v>
      </c>
      <c r="K79" s="884">
        <v>0</v>
      </c>
    </row>
    <row r="80" spans="1:11" ht="15" x14ac:dyDescent="0.25">
      <c r="A80" s="890" t="s">
        <v>602</v>
      </c>
      <c r="B80" s="889"/>
      <c r="C80" s="886"/>
      <c r="D80" s="886"/>
      <c r="E80" s="887"/>
      <c r="F80" s="888"/>
      <c r="G80" s="887">
        <v>403</v>
      </c>
      <c r="H80" s="886">
        <v>403</v>
      </c>
      <c r="I80" s="884">
        <v>403</v>
      </c>
      <c r="J80" s="885">
        <v>403</v>
      </c>
      <c r="K80" s="884">
        <v>0</v>
      </c>
    </row>
    <row r="81" spans="1:11" ht="15" x14ac:dyDescent="0.25">
      <c r="A81" s="890" t="s">
        <v>601</v>
      </c>
      <c r="B81" s="889"/>
      <c r="C81" s="886"/>
      <c r="D81" s="886"/>
      <c r="E81" s="887"/>
      <c r="F81" s="888"/>
      <c r="G81" s="887">
        <v>167</v>
      </c>
      <c r="H81" s="886">
        <v>167</v>
      </c>
      <c r="I81" s="884">
        <v>167</v>
      </c>
      <c r="J81" s="885">
        <v>167</v>
      </c>
      <c r="K81" s="884">
        <v>0</v>
      </c>
    </row>
    <row r="82" spans="1:11" ht="15" x14ac:dyDescent="0.25">
      <c r="A82" s="890" t="s">
        <v>600</v>
      </c>
      <c r="B82" s="889"/>
      <c r="C82" s="886"/>
      <c r="D82" s="886"/>
      <c r="E82" s="887"/>
      <c r="F82" s="888"/>
      <c r="G82" s="887">
        <v>635</v>
      </c>
      <c r="H82" s="886">
        <v>3810</v>
      </c>
      <c r="I82" s="884">
        <v>2223</v>
      </c>
      <c r="J82" s="885">
        <v>3810</v>
      </c>
      <c r="K82" s="884">
        <v>0</v>
      </c>
    </row>
    <row r="83" spans="1:11" ht="15" x14ac:dyDescent="0.25">
      <c r="A83" s="854" t="s">
        <v>599</v>
      </c>
      <c r="B83" s="853"/>
      <c r="C83" s="850"/>
      <c r="D83" s="850"/>
      <c r="E83" s="851"/>
      <c r="F83" s="852"/>
      <c r="G83" s="851"/>
      <c r="H83" s="850">
        <v>6000</v>
      </c>
      <c r="I83" s="848">
        <v>6000</v>
      </c>
      <c r="J83" s="849">
        <v>0</v>
      </c>
      <c r="K83" s="902">
        <v>241</v>
      </c>
    </row>
    <row r="84" spans="1:11" ht="15" x14ac:dyDescent="0.25">
      <c r="A84" s="890" t="s">
        <v>598</v>
      </c>
      <c r="B84" s="875"/>
      <c r="C84" s="872"/>
      <c r="D84" s="872"/>
      <c r="E84" s="873"/>
      <c r="F84" s="874"/>
      <c r="G84" s="873"/>
      <c r="H84" s="872">
        <v>1887</v>
      </c>
      <c r="I84" s="870">
        <v>1887</v>
      </c>
      <c r="J84" s="849">
        <v>1887</v>
      </c>
      <c r="K84" s="848">
        <v>0</v>
      </c>
    </row>
    <row r="85" spans="1:11" ht="15" x14ac:dyDescent="0.25">
      <c r="A85" s="854" t="s">
        <v>597</v>
      </c>
      <c r="B85" s="875"/>
      <c r="C85" s="872"/>
      <c r="D85" s="872"/>
      <c r="E85" s="873"/>
      <c r="F85" s="874"/>
      <c r="G85" s="873"/>
      <c r="H85" s="872">
        <v>132</v>
      </c>
      <c r="I85" s="870">
        <v>132</v>
      </c>
      <c r="J85" s="849">
        <v>132</v>
      </c>
      <c r="K85" s="848">
        <v>0</v>
      </c>
    </row>
    <row r="86" spans="1:11" ht="15" x14ac:dyDescent="0.25">
      <c r="A86" s="854" t="s">
        <v>596</v>
      </c>
      <c r="B86" s="875"/>
      <c r="C86" s="872"/>
      <c r="D86" s="872"/>
      <c r="E86" s="873"/>
      <c r="F86" s="874"/>
      <c r="G86" s="873"/>
      <c r="H86" s="872">
        <v>4166</v>
      </c>
      <c r="I86" s="870">
        <v>4166</v>
      </c>
      <c r="J86" s="849">
        <v>4166</v>
      </c>
      <c r="K86" s="848">
        <v>0</v>
      </c>
    </row>
    <row r="87" spans="1:11" ht="15" x14ac:dyDescent="0.25">
      <c r="A87" s="854" t="s">
        <v>595</v>
      </c>
      <c r="B87" s="875"/>
      <c r="C87" s="872"/>
      <c r="D87" s="872"/>
      <c r="E87" s="873"/>
      <c r="F87" s="874"/>
      <c r="G87" s="873"/>
      <c r="H87" s="872">
        <v>318</v>
      </c>
      <c r="I87" s="870">
        <v>318</v>
      </c>
      <c r="J87" s="849">
        <v>318</v>
      </c>
      <c r="K87" s="848">
        <v>0</v>
      </c>
    </row>
    <row r="88" spans="1:11" ht="15" x14ac:dyDescent="0.25">
      <c r="A88" s="854" t="s">
        <v>594</v>
      </c>
      <c r="B88" s="875"/>
      <c r="C88" s="872"/>
      <c r="D88" s="872"/>
      <c r="E88" s="873"/>
      <c r="F88" s="874"/>
      <c r="G88" s="873"/>
      <c r="H88" s="872">
        <v>470</v>
      </c>
      <c r="I88" s="870">
        <v>470</v>
      </c>
      <c r="J88" s="849">
        <v>470</v>
      </c>
      <c r="K88" s="848">
        <v>0</v>
      </c>
    </row>
    <row r="89" spans="1:11" ht="15" x14ac:dyDescent="0.25">
      <c r="A89" s="854" t="s">
        <v>593</v>
      </c>
      <c r="B89" s="875"/>
      <c r="C89" s="872"/>
      <c r="D89" s="872"/>
      <c r="E89" s="873"/>
      <c r="F89" s="874"/>
      <c r="G89" s="873"/>
      <c r="H89" s="872">
        <v>4437</v>
      </c>
      <c r="I89" s="870">
        <v>4437</v>
      </c>
      <c r="J89" s="849">
        <v>4437</v>
      </c>
      <c r="K89" s="848">
        <v>0</v>
      </c>
    </row>
    <row r="90" spans="1:11" ht="15" x14ac:dyDescent="0.25">
      <c r="A90" s="854" t="s">
        <v>592</v>
      </c>
      <c r="B90" s="875"/>
      <c r="C90" s="872"/>
      <c r="D90" s="872"/>
      <c r="E90" s="873"/>
      <c r="F90" s="874"/>
      <c r="G90" s="873"/>
      <c r="H90" s="872">
        <v>70</v>
      </c>
      <c r="I90" s="870">
        <v>70</v>
      </c>
      <c r="J90" s="849">
        <v>70</v>
      </c>
      <c r="K90" s="848">
        <v>0</v>
      </c>
    </row>
    <row r="91" spans="1:11" ht="15" x14ac:dyDescent="0.25">
      <c r="A91" s="854" t="s">
        <v>591</v>
      </c>
      <c r="B91" s="875"/>
      <c r="C91" s="872"/>
      <c r="D91" s="872"/>
      <c r="E91" s="873"/>
      <c r="F91" s="874"/>
      <c r="G91" s="873"/>
      <c r="H91" s="872">
        <v>104</v>
      </c>
      <c r="I91" s="870">
        <v>104</v>
      </c>
      <c r="J91" s="849">
        <v>104</v>
      </c>
      <c r="K91" s="848">
        <v>0</v>
      </c>
    </row>
    <row r="92" spans="1:11" ht="15" x14ac:dyDescent="0.25">
      <c r="A92" s="854" t="s">
        <v>590</v>
      </c>
      <c r="B92" s="875"/>
      <c r="C92" s="872"/>
      <c r="D92" s="872"/>
      <c r="E92" s="873"/>
      <c r="F92" s="874"/>
      <c r="G92" s="873"/>
      <c r="H92" s="872">
        <v>80</v>
      </c>
      <c r="I92" s="870">
        <v>80</v>
      </c>
      <c r="J92" s="849">
        <v>80</v>
      </c>
      <c r="K92" s="848">
        <v>0</v>
      </c>
    </row>
    <row r="93" spans="1:11" ht="15" x14ac:dyDescent="0.25">
      <c r="A93" s="854" t="s">
        <v>589</v>
      </c>
      <c r="B93" s="875"/>
      <c r="C93" s="872"/>
      <c r="D93" s="872"/>
      <c r="E93" s="873"/>
      <c r="F93" s="874"/>
      <c r="G93" s="873"/>
      <c r="H93" s="872">
        <v>84</v>
      </c>
      <c r="I93" s="870">
        <v>84</v>
      </c>
      <c r="J93" s="849">
        <v>84</v>
      </c>
      <c r="K93" s="848">
        <v>0</v>
      </c>
    </row>
    <row r="94" spans="1:11" ht="15" x14ac:dyDescent="0.25">
      <c r="A94" s="854" t="s">
        <v>588</v>
      </c>
      <c r="B94" s="875"/>
      <c r="C94" s="872"/>
      <c r="D94" s="872"/>
      <c r="E94" s="873"/>
      <c r="F94" s="874"/>
      <c r="G94" s="873"/>
      <c r="H94" s="872">
        <v>839</v>
      </c>
      <c r="I94" s="870">
        <v>839</v>
      </c>
      <c r="J94" s="849">
        <v>839</v>
      </c>
      <c r="K94" s="848">
        <v>0</v>
      </c>
    </row>
    <row r="95" spans="1:11" ht="15" x14ac:dyDescent="0.25">
      <c r="A95" s="854" t="s">
        <v>587</v>
      </c>
      <c r="B95" s="875"/>
      <c r="C95" s="872"/>
      <c r="D95" s="872"/>
      <c r="E95" s="873"/>
      <c r="F95" s="874"/>
      <c r="G95" s="873"/>
      <c r="H95" s="872">
        <v>13</v>
      </c>
      <c r="I95" s="870">
        <v>13</v>
      </c>
      <c r="J95" s="849">
        <v>13</v>
      </c>
      <c r="K95" s="848">
        <v>0</v>
      </c>
    </row>
    <row r="96" spans="1:11" ht="15" x14ac:dyDescent="0.25">
      <c r="A96" s="854" t="s">
        <v>586</v>
      </c>
      <c r="B96" s="853"/>
      <c r="C96" s="850"/>
      <c r="D96" s="850"/>
      <c r="E96" s="851"/>
      <c r="F96" s="852"/>
      <c r="G96" s="851"/>
      <c r="H96" s="850">
        <v>18</v>
      </c>
      <c r="I96" s="1383">
        <v>18</v>
      </c>
      <c r="J96" s="849">
        <v>18</v>
      </c>
      <c r="K96" s="848">
        <v>0</v>
      </c>
    </row>
    <row r="97" spans="1:11" ht="15" x14ac:dyDescent="0.25">
      <c r="A97" s="890" t="s">
        <v>585</v>
      </c>
      <c r="B97" s="875"/>
      <c r="C97" s="872"/>
      <c r="D97" s="872"/>
      <c r="E97" s="873"/>
      <c r="F97" s="874"/>
      <c r="G97" s="873"/>
      <c r="H97" s="872">
        <v>1022</v>
      </c>
      <c r="I97" s="870">
        <v>1022</v>
      </c>
      <c r="J97" s="849">
        <v>1022</v>
      </c>
      <c r="K97" s="848">
        <v>0</v>
      </c>
    </row>
    <row r="98" spans="1:11" ht="15" x14ac:dyDescent="0.25">
      <c r="A98" s="901" t="s">
        <v>584</v>
      </c>
      <c r="B98" s="875"/>
      <c r="C98" s="872"/>
      <c r="D98" s="872"/>
      <c r="E98" s="873"/>
      <c r="F98" s="874"/>
      <c r="G98" s="873"/>
      <c r="H98" s="872">
        <v>2300</v>
      </c>
      <c r="I98" s="870">
        <v>2300</v>
      </c>
      <c r="J98" s="849">
        <v>263</v>
      </c>
      <c r="K98" s="848">
        <v>1800</v>
      </c>
    </row>
    <row r="99" spans="1:11" ht="15" x14ac:dyDescent="0.25">
      <c r="A99" s="854" t="s">
        <v>583</v>
      </c>
      <c r="B99" s="853"/>
      <c r="C99" s="850"/>
      <c r="D99" s="850"/>
      <c r="E99" s="851"/>
      <c r="F99" s="852"/>
      <c r="G99" s="851"/>
      <c r="H99" s="850">
        <v>65</v>
      </c>
      <c r="I99" s="848">
        <v>65</v>
      </c>
      <c r="J99" s="849">
        <v>65</v>
      </c>
      <c r="K99" s="848">
        <v>0</v>
      </c>
    </row>
    <row r="100" spans="1:11" ht="30" x14ac:dyDescent="0.25">
      <c r="A100" s="854" t="s">
        <v>582</v>
      </c>
      <c r="B100" s="853"/>
      <c r="C100" s="853"/>
      <c r="D100" s="853"/>
      <c r="E100" s="851"/>
      <c r="F100" s="848"/>
      <c r="G100" s="848"/>
      <c r="H100" s="848">
        <v>0</v>
      </c>
      <c r="I100" s="842">
        <v>24379</v>
      </c>
      <c r="J100" s="849">
        <v>0</v>
      </c>
      <c r="K100" s="848">
        <v>0</v>
      </c>
    </row>
    <row r="101" spans="1:11" ht="30" x14ac:dyDescent="0.25">
      <c r="A101" s="854" t="s">
        <v>581</v>
      </c>
      <c r="B101" s="853"/>
      <c r="C101" s="850"/>
      <c r="D101" s="850"/>
      <c r="E101" s="851"/>
      <c r="F101" s="852"/>
      <c r="G101" s="851"/>
      <c r="H101" s="850">
        <v>0</v>
      </c>
      <c r="I101" s="842">
        <v>6000</v>
      </c>
      <c r="J101" s="849">
        <v>0</v>
      </c>
      <c r="K101" s="848">
        <v>0</v>
      </c>
    </row>
    <row r="102" spans="1:11" ht="15" x14ac:dyDescent="0.25">
      <c r="A102" s="854" t="s">
        <v>580</v>
      </c>
      <c r="B102" s="853"/>
      <c r="C102" s="850"/>
      <c r="D102" s="850"/>
      <c r="E102" s="851"/>
      <c r="F102" s="852"/>
      <c r="G102" s="851"/>
      <c r="H102" s="850">
        <v>0</v>
      </c>
      <c r="I102" s="842">
        <v>4762</v>
      </c>
      <c r="J102" s="849">
        <v>4000</v>
      </c>
      <c r="K102" s="848">
        <v>0</v>
      </c>
    </row>
    <row r="103" spans="1:11" ht="15" x14ac:dyDescent="0.25">
      <c r="A103" s="854" t="s">
        <v>579</v>
      </c>
      <c r="B103" s="853"/>
      <c r="C103" s="853"/>
      <c r="D103" s="853"/>
      <c r="E103" s="851"/>
      <c r="F103" s="848"/>
      <c r="G103" s="848"/>
      <c r="H103" s="848">
        <v>0</v>
      </c>
      <c r="I103" s="842">
        <v>820</v>
      </c>
      <c r="J103" s="849">
        <v>820</v>
      </c>
      <c r="K103" s="848">
        <v>0</v>
      </c>
    </row>
    <row r="104" spans="1:11" ht="15" x14ac:dyDescent="0.25">
      <c r="A104" s="854" t="s">
        <v>578</v>
      </c>
      <c r="B104" s="853"/>
      <c r="C104" s="853"/>
      <c r="D104" s="853"/>
      <c r="E104" s="851"/>
      <c r="F104" s="848"/>
      <c r="G104" s="848"/>
      <c r="H104" s="848">
        <v>0</v>
      </c>
      <c r="I104" s="842">
        <v>1880</v>
      </c>
      <c r="J104" s="849">
        <v>0</v>
      </c>
      <c r="K104" s="848">
        <v>1880</v>
      </c>
    </row>
    <row r="105" spans="1:11" ht="15" customHeight="1" x14ac:dyDescent="0.25">
      <c r="A105" s="854" t="s">
        <v>577</v>
      </c>
      <c r="B105" s="853"/>
      <c r="C105" s="853"/>
      <c r="D105" s="853"/>
      <c r="E105" s="851"/>
      <c r="F105" s="848"/>
      <c r="G105" s="848"/>
      <c r="H105" s="848">
        <v>0</v>
      </c>
      <c r="I105" s="842">
        <v>499</v>
      </c>
      <c r="J105" s="849">
        <v>0</v>
      </c>
      <c r="K105" s="848">
        <v>499</v>
      </c>
    </row>
    <row r="106" spans="1:11" s="900" customFormat="1" ht="15" x14ac:dyDescent="0.25">
      <c r="A106" s="854" t="s">
        <v>576</v>
      </c>
      <c r="B106" s="853"/>
      <c r="C106" s="853"/>
      <c r="D106" s="853"/>
      <c r="E106" s="851"/>
      <c r="F106" s="848"/>
      <c r="G106" s="848"/>
      <c r="H106" s="848">
        <v>0</v>
      </c>
      <c r="I106" s="842">
        <v>480</v>
      </c>
      <c r="J106" s="849">
        <v>0</v>
      </c>
      <c r="K106" s="848">
        <v>480</v>
      </c>
    </row>
    <row r="107" spans="1:11" ht="30" x14ac:dyDescent="0.25">
      <c r="A107" s="854" t="s">
        <v>575</v>
      </c>
      <c r="B107" s="853"/>
      <c r="C107" s="853"/>
      <c r="D107" s="853"/>
      <c r="E107" s="851"/>
      <c r="F107" s="848"/>
      <c r="G107" s="848"/>
      <c r="H107" s="848">
        <v>0</v>
      </c>
      <c r="I107" s="842">
        <v>350</v>
      </c>
      <c r="J107" s="849">
        <v>0</v>
      </c>
      <c r="K107" s="848">
        <v>350</v>
      </c>
    </row>
    <row r="108" spans="1:11" ht="15" x14ac:dyDescent="0.25">
      <c r="A108" s="854" t="s">
        <v>574</v>
      </c>
      <c r="B108" s="853"/>
      <c r="C108" s="853"/>
      <c r="D108" s="853"/>
      <c r="E108" s="851"/>
      <c r="F108" s="848"/>
      <c r="G108" s="848"/>
      <c r="H108" s="848">
        <v>0</v>
      </c>
      <c r="I108" s="899">
        <v>112</v>
      </c>
      <c r="J108" s="849">
        <v>0</v>
      </c>
      <c r="K108" s="848">
        <v>112</v>
      </c>
    </row>
    <row r="109" spans="1:11" ht="15" x14ac:dyDescent="0.25">
      <c r="A109" s="854" t="s">
        <v>573</v>
      </c>
      <c r="B109" s="853"/>
      <c r="C109" s="853"/>
      <c r="D109" s="853"/>
      <c r="E109" s="851"/>
      <c r="F109" s="848"/>
      <c r="G109" s="848"/>
      <c r="H109" s="848">
        <v>0</v>
      </c>
      <c r="I109" s="899">
        <v>350</v>
      </c>
      <c r="J109" s="849">
        <v>0</v>
      </c>
      <c r="K109" s="848">
        <v>350</v>
      </c>
    </row>
    <row r="110" spans="1:11" ht="28.5" customHeight="1" x14ac:dyDescent="0.25">
      <c r="A110" s="854" t="s">
        <v>572</v>
      </c>
      <c r="B110" s="853"/>
      <c r="C110" s="853"/>
      <c r="D110" s="853"/>
      <c r="E110" s="851"/>
      <c r="F110" s="848"/>
      <c r="G110" s="848"/>
      <c r="H110" s="848">
        <v>0</v>
      </c>
      <c r="I110" s="842">
        <v>3175</v>
      </c>
      <c r="J110" s="849">
        <v>0</v>
      </c>
      <c r="K110" s="848">
        <v>3175</v>
      </c>
    </row>
    <row r="111" spans="1:11" ht="15.75" thickBot="1" x14ac:dyDescent="0.3">
      <c r="A111" s="854"/>
      <c r="B111" s="853"/>
      <c r="C111" s="853"/>
      <c r="D111" s="853"/>
      <c r="E111" s="851"/>
      <c r="F111" s="848"/>
      <c r="G111" s="848"/>
      <c r="H111" s="848"/>
      <c r="I111" s="848"/>
      <c r="J111" s="849"/>
      <c r="K111" s="848"/>
    </row>
    <row r="112" spans="1:11" ht="15" thickBot="1" x14ac:dyDescent="0.25">
      <c r="A112" s="869" t="s">
        <v>70</v>
      </c>
      <c r="B112" s="868">
        <f t="shared" ref="B112:G112" si="2">SUM(B114,B124,B127)</f>
        <v>39606</v>
      </c>
      <c r="C112" s="865">
        <f t="shared" si="2"/>
        <v>33478</v>
      </c>
      <c r="D112" s="865">
        <f t="shared" si="2"/>
        <v>33478</v>
      </c>
      <c r="E112" s="866">
        <f t="shared" si="2"/>
        <v>9577</v>
      </c>
      <c r="F112" s="898">
        <f t="shared" si="2"/>
        <v>9577</v>
      </c>
      <c r="G112" s="866">
        <f t="shared" si="2"/>
        <v>500</v>
      </c>
      <c r="H112" s="865">
        <f>SUM(H114+H124+H127)</f>
        <v>10077</v>
      </c>
      <c r="I112" s="863">
        <f>SUM(I114+I124+I127)</f>
        <v>10017</v>
      </c>
      <c r="J112" s="864">
        <f>SUM(J114+J124+J127)</f>
        <v>2499</v>
      </c>
      <c r="K112" s="865">
        <f>SUM(K114+K124+K127)</f>
        <v>4</v>
      </c>
    </row>
    <row r="113" spans="1:11" ht="14.25" x14ac:dyDescent="0.2">
      <c r="A113" s="897"/>
      <c r="B113" s="896"/>
      <c r="C113" s="893"/>
      <c r="D113" s="893"/>
      <c r="E113" s="894"/>
      <c r="F113" s="895"/>
      <c r="G113" s="894"/>
      <c r="H113" s="893"/>
      <c r="I113" s="891"/>
      <c r="J113" s="892"/>
      <c r="K113" s="891"/>
    </row>
    <row r="114" spans="1:11" ht="15" x14ac:dyDescent="0.25">
      <c r="A114" s="883" t="s">
        <v>571</v>
      </c>
      <c r="B114" s="882">
        <f t="shared" ref="B114:K114" si="3">SUM(B115:B122)</f>
        <v>38879</v>
      </c>
      <c r="C114" s="877">
        <f t="shared" si="3"/>
        <v>32751</v>
      </c>
      <c r="D114" s="877">
        <f t="shared" si="3"/>
        <v>32751</v>
      </c>
      <c r="E114" s="880">
        <f t="shared" si="3"/>
        <v>8850</v>
      </c>
      <c r="F114" s="881">
        <f t="shared" si="3"/>
        <v>8850</v>
      </c>
      <c r="G114" s="880">
        <f t="shared" si="3"/>
        <v>500</v>
      </c>
      <c r="H114" s="877">
        <f t="shared" si="3"/>
        <v>9350</v>
      </c>
      <c r="I114" s="879">
        <f t="shared" si="3"/>
        <v>9350</v>
      </c>
      <c r="J114" s="878">
        <f t="shared" si="3"/>
        <v>2259</v>
      </c>
      <c r="K114" s="877">
        <f t="shared" si="3"/>
        <v>4</v>
      </c>
    </row>
    <row r="115" spans="1:11" ht="15" customHeight="1" x14ac:dyDescent="0.25">
      <c r="A115" s="890" t="s">
        <v>570</v>
      </c>
      <c r="B115" s="889">
        <v>5500</v>
      </c>
      <c r="C115" s="886">
        <v>5500</v>
      </c>
      <c r="D115" s="886">
        <v>5500</v>
      </c>
      <c r="E115" s="887">
        <v>2000</v>
      </c>
      <c r="F115" s="888">
        <v>2000</v>
      </c>
      <c r="G115" s="887">
        <v>500</v>
      </c>
      <c r="H115" s="886">
        <v>2500</v>
      </c>
      <c r="I115" s="884">
        <v>2500</v>
      </c>
      <c r="J115" s="885">
        <v>2071</v>
      </c>
      <c r="K115" s="884">
        <v>4</v>
      </c>
    </row>
    <row r="116" spans="1:11" ht="15" customHeight="1" x14ac:dyDescent="0.25">
      <c r="A116" s="854" t="s">
        <v>569</v>
      </c>
      <c r="B116" s="853">
        <v>300</v>
      </c>
      <c r="C116" s="850">
        <v>300</v>
      </c>
      <c r="D116" s="850">
        <v>300</v>
      </c>
      <c r="E116" s="851">
        <v>300</v>
      </c>
      <c r="F116" s="852">
        <v>300</v>
      </c>
      <c r="G116" s="851"/>
      <c r="H116" s="886">
        <v>300</v>
      </c>
      <c r="I116" s="884">
        <v>300</v>
      </c>
      <c r="J116" s="885">
        <v>17</v>
      </c>
      <c r="K116" s="884">
        <v>0</v>
      </c>
    </row>
    <row r="117" spans="1:11" ht="27.75" customHeight="1" x14ac:dyDescent="0.25">
      <c r="A117" s="854" t="s">
        <v>568</v>
      </c>
      <c r="B117" s="889">
        <v>130</v>
      </c>
      <c r="C117" s="886">
        <v>130</v>
      </c>
      <c r="D117" s="886">
        <v>130</v>
      </c>
      <c r="E117" s="887">
        <v>130</v>
      </c>
      <c r="F117" s="888">
        <v>130</v>
      </c>
      <c r="G117" s="887"/>
      <c r="H117" s="886">
        <v>130</v>
      </c>
      <c r="I117" s="884">
        <v>130</v>
      </c>
      <c r="J117" s="885">
        <v>0</v>
      </c>
      <c r="K117" s="884">
        <v>0</v>
      </c>
    </row>
    <row r="118" spans="1:11" ht="14.25" customHeight="1" x14ac:dyDescent="0.25">
      <c r="A118" s="854" t="s">
        <v>567</v>
      </c>
      <c r="B118" s="889">
        <v>150</v>
      </c>
      <c r="C118" s="886">
        <v>150</v>
      </c>
      <c r="D118" s="886">
        <v>150</v>
      </c>
      <c r="E118" s="887">
        <v>150</v>
      </c>
      <c r="F118" s="888">
        <v>150</v>
      </c>
      <c r="G118" s="887"/>
      <c r="H118" s="886">
        <v>150</v>
      </c>
      <c r="I118" s="884">
        <v>150</v>
      </c>
      <c r="J118" s="885">
        <v>5</v>
      </c>
      <c r="K118" s="884">
        <v>0</v>
      </c>
    </row>
    <row r="119" spans="1:11" ht="15" x14ac:dyDescent="0.25">
      <c r="A119" s="890" t="s">
        <v>566</v>
      </c>
      <c r="B119" s="889">
        <v>1270</v>
      </c>
      <c r="C119" s="886">
        <v>1270</v>
      </c>
      <c r="D119" s="886">
        <v>1270</v>
      </c>
      <c r="E119" s="887">
        <v>1270</v>
      </c>
      <c r="F119" s="888">
        <v>1270</v>
      </c>
      <c r="G119" s="887"/>
      <c r="H119" s="886">
        <v>1270</v>
      </c>
      <c r="I119" s="884">
        <v>1270</v>
      </c>
      <c r="J119" s="885">
        <v>166</v>
      </c>
      <c r="K119" s="884">
        <v>0</v>
      </c>
    </row>
    <row r="120" spans="1:11" ht="15" hidden="1" x14ac:dyDescent="0.25">
      <c r="A120" s="854" t="s">
        <v>565</v>
      </c>
      <c r="B120" s="853">
        <v>381</v>
      </c>
      <c r="C120" s="850">
        <v>381</v>
      </c>
      <c r="D120" s="850">
        <v>381</v>
      </c>
      <c r="E120" s="851">
        <v>0</v>
      </c>
      <c r="F120" s="852">
        <v>0</v>
      </c>
      <c r="G120" s="851"/>
      <c r="H120" s="886"/>
      <c r="I120" s="884"/>
      <c r="J120" s="885"/>
      <c r="K120" s="884"/>
    </row>
    <row r="121" spans="1:11" ht="15" hidden="1" customHeight="1" x14ac:dyDescent="0.25">
      <c r="A121" s="854" t="s">
        <v>564</v>
      </c>
      <c r="B121" s="853">
        <v>6128</v>
      </c>
      <c r="C121" s="850">
        <v>0</v>
      </c>
      <c r="D121" s="850">
        <v>0</v>
      </c>
      <c r="E121" s="851">
        <v>0</v>
      </c>
      <c r="F121" s="852">
        <v>0</v>
      </c>
      <c r="G121" s="851"/>
      <c r="H121" s="886"/>
      <c r="I121" s="884"/>
      <c r="J121" s="885"/>
      <c r="K121" s="884"/>
    </row>
    <row r="122" spans="1:11" ht="15" x14ac:dyDescent="0.25">
      <c r="A122" s="890" t="s">
        <v>563</v>
      </c>
      <c r="B122" s="889">
        <v>25020</v>
      </c>
      <c r="C122" s="886">
        <v>25020</v>
      </c>
      <c r="D122" s="886">
        <v>25020</v>
      </c>
      <c r="E122" s="887">
        <v>5000</v>
      </c>
      <c r="F122" s="888">
        <v>5000</v>
      </c>
      <c r="G122" s="887"/>
      <c r="H122" s="886">
        <v>5000</v>
      </c>
      <c r="I122" s="884">
        <v>5000</v>
      </c>
      <c r="J122" s="885">
        <v>0</v>
      </c>
      <c r="K122" s="884">
        <v>0</v>
      </c>
    </row>
    <row r="123" spans="1:11" ht="15" x14ac:dyDescent="0.25">
      <c r="A123" s="854"/>
      <c r="B123" s="853"/>
      <c r="C123" s="850"/>
      <c r="D123" s="850"/>
      <c r="E123" s="851"/>
      <c r="F123" s="852"/>
      <c r="G123" s="851"/>
      <c r="H123" s="850"/>
      <c r="I123" s="848"/>
      <c r="J123" s="849"/>
      <c r="K123" s="848"/>
    </row>
    <row r="124" spans="1:11" ht="15" x14ac:dyDescent="0.25">
      <c r="A124" s="883" t="s">
        <v>353</v>
      </c>
      <c r="B124" s="882">
        <f t="shared" ref="B124:K124" si="4">SUM(B125)</f>
        <v>127</v>
      </c>
      <c r="C124" s="877">
        <f t="shared" si="4"/>
        <v>127</v>
      </c>
      <c r="D124" s="877">
        <f t="shared" si="4"/>
        <v>127</v>
      </c>
      <c r="E124" s="880">
        <f t="shared" si="4"/>
        <v>127</v>
      </c>
      <c r="F124" s="881">
        <f t="shared" si="4"/>
        <v>127</v>
      </c>
      <c r="G124" s="880">
        <f t="shared" si="4"/>
        <v>0</v>
      </c>
      <c r="H124" s="877">
        <f t="shared" si="4"/>
        <v>127</v>
      </c>
      <c r="I124" s="879">
        <f t="shared" si="4"/>
        <v>127</v>
      </c>
      <c r="J124" s="878">
        <f t="shared" si="4"/>
        <v>112</v>
      </c>
      <c r="K124" s="877">
        <f t="shared" si="4"/>
        <v>0</v>
      </c>
    </row>
    <row r="125" spans="1:11" ht="15" x14ac:dyDescent="0.25">
      <c r="A125" s="854" t="s">
        <v>562</v>
      </c>
      <c r="B125" s="853">
        <v>127</v>
      </c>
      <c r="C125" s="850">
        <v>127</v>
      </c>
      <c r="D125" s="850">
        <v>127</v>
      </c>
      <c r="E125" s="851">
        <v>127</v>
      </c>
      <c r="F125" s="852">
        <v>127</v>
      </c>
      <c r="G125" s="851"/>
      <c r="H125" s="850">
        <v>127</v>
      </c>
      <c r="I125" s="848">
        <v>127</v>
      </c>
      <c r="J125" s="849">
        <v>112</v>
      </c>
      <c r="K125" s="848">
        <v>0</v>
      </c>
    </row>
    <row r="126" spans="1:11" ht="15" x14ac:dyDescent="0.25">
      <c r="A126" s="854"/>
      <c r="B126" s="853"/>
      <c r="C126" s="850"/>
      <c r="D126" s="850"/>
      <c r="E126" s="851"/>
      <c r="F126" s="852"/>
      <c r="G126" s="851"/>
      <c r="H126" s="850"/>
      <c r="I126" s="848"/>
      <c r="J126" s="849"/>
      <c r="K126" s="848"/>
    </row>
    <row r="127" spans="1:11" ht="15" x14ac:dyDescent="0.25">
      <c r="A127" s="883" t="s">
        <v>355</v>
      </c>
      <c r="B127" s="882">
        <f t="shared" ref="B127:K127" si="5">SUM(B128)</f>
        <v>600</v>
      </c>
      <c r="C127" s="877">
        <f t="shared" si="5"/>
        <v>600</v>
      </c>
      <c r="D127" s="877">
        <f t="shared" si="5"/>
        <v>600</v>
      </c>
      <c r="E127" s="880">
        <f t="shared" si="5"/>
        <v>600</v>
      </c>
      <c r="F127" s="881">
        <f t="shared" si="5"/>
        <v>600</v>
      </c>
      <c r="G127" s="880">
        <f t="shared" si="5"/>
        <v>0</v>
      </c>
      <c r="H127" s="877">
        <f t="shared" si="5"/>
        <v>600</v>
      </c>
      <c r="I127" s="879">
        <f t="shared" si="5"/>
        <v>540</v>
      </c>
      <c r="J127" s="878">
        <f t="shared" si="5"/>
        <v>128</v>
      </c>
      <c r="K127" s="877">
        <f t="shared" si="5"/>
        <v>0</v>
      </c>
    </row>
    <row r="128" spans="1:11" ht="15" x14ac:dyDescent="0.25">
      <c r="A128" s="854" t="s">
        <v>562</v>
      </c>
      <c r="B128" s="853">
        <v>600</v>
      </c>
      <c r="C128" s="850">
        <v>600</v>
      </c>
      <c r="D128" s="850">
        <v>600</v>
      </c>
      <c r="E128" s="851">
        <v>600</v>
      </c>
      <c r="F128" s="852">
        <v>600</v>
      </c>
      <c r="G128" s="851"/>
      <c r="H128" s="850">
        <v>600</v>
      </c>
      <c r="I128" s="848">
        <v>540</v>
      </c>
      <c r="J128" s="849">
        <v>128</v>
      </c>
      <c r="K128" s="848">
        <v>0</v>
      </c>
    </row>
    <row r="129" spans="1:11" ht="15.75" thickBot="1" x14ac:dyDescent="0.3">
      <c r="A129" s="876"/>
      <c r="B129" s="875"/>
      <c r="C129" s="872"/>
      <c r="D129" s="872"/>
      <c r="E129" s="873"/>
      <c r="F129" s="874"/>
      <c r="G129" s="873"/>
      <c r="H129" s="872"/>
      <c r="I129" s="870"/>
      <c r="J129" s="871"/>
      <c r="K129" s="870"/>
    </row>
    <row r="130" spans="1:11" ht="15" thickBot="1" x14ac:dyDescent="0.25">
      <c r="A130" s="869" t="s">
        <v>561</v>
      </c>
      <c r="B130" s="868">
        <f>SUM(B131:B140)</f>
        <v>37491</v>
      </c>
      <c r="C130" s="865">
        <f>SUM(C131:C140)</f>
        <v>33352</v>
      </c>
      <c r="D130" s="865">
        <f>SUM(D131:D140)</f>
        <v>33352</v>
      </c>
      <c r="E130" s="866">
        <f>SUM(E131:E140)</f>
        <v>22295</v>
      </c>
      <c r="F130" s="867">
        <f>SUM(F131:F142)</f>
        <v>22295</v>
      </c>
      <c r="G130" s="866">
        <f>SUM(G131:G142)</f>
        <v>3190</v>
      </c>
      <c r="H130" s="865">
        <f>SUM(H131:H142)</f>
        <v>25125</v>
      </c>
      <c r="I130" s="865">
        <f>SUM(I131:I142)</f>
        <v>28911</v>
      </c>
      <c r="J130" s="864"/>
      <c r="K130" s="863"/>
    </row>
    <row r="131" spans="1:11" ht="15" x14ac:dyDescent="0.25">
      <c r="A131" s="862" t="s">
        <v>560</v>
      </c>
      <c r="B131" s="861">
        <v>883</v>
      </c>
      <c r="C131" s="860">
        <v>883</v>
      </c>
      <c r="D131" s="860">
        <v>883</v>
      </c>
      <c r="E131" s="858">
        <v>883</v>
      </c>
      <c r="F131" s="859">
        <v>883</v>
      </c>
      <c r="G131" s="858"/>
      <c r="H131" s="857">
        <v>1118</v>
      </c>
      <c r="I131" s="855">
        <v>1118</v>
      </c>
      <c r="J131" s="856"/>
      <c r="K131" s="855"/>
    </row>
    <row r="132" spans="1:11" ht="15.75" customHeight="1" x14ac:dyDescent="0.25">
      <c r="A132" s="854" t="s">
        <v>559</v>
      </c>
      <c r="B132" s="853">
        <v>5139</v>
      </c>
      <c r="C132" s="850">
        <v>1000</v>
      </c>
      <c r="D132" s="850">
        <v>1000</v>
      </c>
      <c r="E132" s="851">
        <v>1000</v>
      </c>
      <c r="F132" s="852">
        <v>1000</v>
      </c>
      <c r="G132" s="851"/>
      <c r="H132" s="850">
        <v>1732</v>
      </c>
      <c r="I132" s="848">
        <v>1732</v>
      </c>
      <c r="J132" s="849"/>
      <c r="K132" s="848"/>
    </row>
    <row r="133" spans="1:11" ht="18" customHeight="1" x14ac:dyDescent="0.25">
      <c r="A133" s="854" t="s">
        <v>558</v>
      </c>
      <c r="B133" s="853">
        <v>2140</v>
      </c>
      <c r="C133" s="850">
        <v>2140</v>
      </c>
      <c r="D133" s="850">
        <v>2140</v>
      </c>
      <c r="E133" s="851">
        <v>2140</v>
      </c>
      <c r="F133" s="852">
        <v>2140</v>
      </c>
      <c r="G133" s="851"/>
      <c r="H133" s="850">
        <v>2613</v>
      </c>
      <c r="I133" s="848">
        <v>2613</v>
      </c>
      <c r="J133" s="849"/>
      <c r="K133" s="848"/>
    </row>
    <row r="134" spans="1:11" ht="30.75" customHeight="1" x14ac:dyDescent="0.25">
      <c r="A134" s="854" t="s">
        <v>557</v>
      </c>
      <c r="B134" s="853">
        <v>2173</v>
      </c>
      <c r="C134" s="850">
        <v>2173</v>
      </c>
      <c r="D134" s="850">
        <v>2173</v>
      </c>
      <c r="E134" s="851">
        <v>2173</v>
      </c>
      <c r="F134" s="852">
        <v>2173</v>
      </c>
      <c r="G134" s="851">
        <v>500</v>
      </c>
      <c r="H134" s="850">
        <v>2373</v>
      </c>
      <c r="I134" s="848">
        <v>2373</v>
      </c>
      <c r="J134" s="849"/>
      <c r="K134" s="848"/>
    </row>
    <row r="135" spans="1:11" ht="15" x14ac:dyDescent="0.25">
      <c r="A135" s="847" t="s">
        <v>556</v>
      </c>
      <c r="B135" s="846">
        <v>800</v>
      </c>
      <c r="C135" s="836">
        <v>800</v>
      </c>
      <c r="D135" s="836">
        <v>800</v>
      </c>
      <c r="E135" s="844">
        <v>800</v>
      </c>
      <c r="F135" s="845">
        <v>800</v>
      </c>
      <c r="G135" s="844"/>
      <c r="H135" s="836">
        <v>800</v>
      </c>
      <c r="I135" s="842">
        <v>800</v>
      </c>
      <c r="J135" s="843"/>
      <c r="K135" s="842"/>
    </row>
    <row r="136" spans="1:11" ht="45" x14ac:dyDescent="0.25">
      <c r="A136" s="847" t="s">
        <v>555</v>
      </c>
      <c r="B136" s="846">
        <v>2595</v>
      </c>
      <c r="C136" s="836">
        <v>2595</v>
      </c>
      <c r="D136" s="836">
        <v>2595</v>
      </c>
      <c r="E136" s="844">
        <v>2595</v>
      </c>
      <c r="F136" s="845">
        <v>2595</v>
      </c>
      <c r="G136" s="844"/>
      <c r="H136" s="836">
        <v>2595</v>
      </c>
      <c r="I136" s="842">
        <v>2595</v>
      </c>
      <c r="J136" s="843"/>
      <c r="K136" s="842"/>
    </row>
    <row r="137" spans="1:11" ht="30" x14ac:dyDescent="0.25">
      <c r="A137" s="847" t="s">
        <v>554</v>
      </c>
      <c r="B137" s="846">
        <v>21057</v>
      </c>
      <c r="C137" s="836">
        <v>21057</v>
      </c>
      <c r="D137" s="836">
        <v>21057</v>
      </c>
      <c r="E137" s="844">
        <v>10000</v>
      </c>
      <c r="F137" s="845">
        <v>10000</v>
      </c>
      <c r="G137" s="844">
        <v>2390</v>
      </c>
      <c r="H137" s="836">
        <v>12390</v>
      </c>
      <c r="I137" s="842">
        <v>15577</v>
      </c>
      <c r="J137" s="843"/>
      <c r="K137" s="842"/>
    </row>
    <row r="138" spans="1:11" ht="30" x14ac:dyDescent="0.25">
      <c r="A138" s="847" t="s">
        <v>553</v>
      </c>
      <c r="B138" s="846">
        <v>804</v>
      </c>
      <c r="C138" s="836">
        <v>804</v>
      </c>
      <c r="D138" s="836">
        <v>804</v>
      </c>
      <c r="E138" s="844">
        <v>804</v>
      </c>
      <c r="F138" s="845">
        <v>804</v>
      </c>
      <c r="G138" s="844"/>
      <c r="H138" s="836">
        <v>804</v>
      </c>
      <c r="I138" s="842">
        <v>804</v>
      </c>
      <c r="J138" s="843"/>
      <c r="K138" s="842"/>
    </row>
    <row r="139" spans="1:11" ht="15" x14ac:dyDescent="0.25">
      <c r="A139" s="847" t="s">
        <v>552</v>
      </c>
      <c r="B139" s="846"/>
      <c r="C139" s="836"/>
      <c r="D139" s="836"/>
      <c r="E139" s="844"/>
      <c r="F139" s="845">
        <v>0</v>
      </c>
      <c r="G139" s="844"/>
      <c r="H139" s="836">
        <v>0</v>
      </c>
      <c r="I139" s="842">
        <v>600</v>
      </c>
      <c r="J139" s="843"/>
      <c r="K139" s="842"/>
    </row>
    <row r="140" spans="1:11" ht="15" x14ac:dyDescent="0.25">
      <c r="A140" s="847" t="s">
        <v>551</v>
      </c>
      <c r="B140" s="846">
        <v>1900</v>
      </c>
      <c r="C140" s="836">
        <v>1900</v>
      </c>
      <c r="D140" s="836">
        <v>1900</v>
      </c>
      <c r="E140" s="844">
        <v>1900</v>
      </c>
      <c r="F140" s="845">
        <v>1900</v>
      </c>
      <c r="G140" s="844"/>
      <c r="H140" s="836">
        <v>400</v>
      </c>
      <c r="I140" s="842">
        <v>400</v>
      </c>
      <c r="J140" s="843"/>
      <c r="K140" s="842"/>
    </row>
    <row r="141" spans="1:11" ht="15" x14ac:dyDescent="0.25">
      <c r="A141" s="847" t="s">
        <v>550</v>
      </c>
      <c r="B141" s="846"/>
      <c r="C141" s="836"/>
      <c r="D141" s="836"/>
      <c r="E141" s="844"/>
      <c r="F141" s="845"/>
      <c r="G141" s="844">
        <v>200</v>
      </c>
      <c r="H141" s="836">
        <v>200</v>
      </c>
      <c r="I141" s="842">
        <v>199</v>
      </c>
      <c r="J141" s="843"/>
      <c r="K141" s="842"/>
    </row>
    <row r="142" spans="1:11" ht="15" x14ac:dyDescent="0.25">
      <c r="A142" s="847" t="s">
        <v>549</v>
      </c>
      <c r="B142" s="846"/>
      <c r="C142" s="836"/>
      <c r="D142" s="836"/>
      <c r="E142" s="844"/>
      <c r="F142" s="845"/>
      <c r="G142" s="844">
        <v>100</v>
      </c>
      <c r="H142" s="836">
        <v>100</v>
      </c>
      <c r="I142" s="842">
        <v>100</v>
      </c>
      <c r="J142" s="843"/>
      <c r="K142" s="842"/>
    </row>
    <row r="143" spans="1:11" ht="15.75" thickBot="1" x14ac:dyDescent="0.3">
      <c r="A143" s="841"/>
      <c r="B143" s="840"/>
      <c r="C143" s="839"/>
      <c r="D143" s="839"/>
      <c r="E143" s="837"/>
      <c r="F143" s="838"/>
      <c r="G143" s="837"/>
      <c r="H143" s="836"/>
      <c r="I143" s="834"/>
      <c r="J143" s="835"/>
      <c r="K143" s="834"/>
    </row>
    <row r="144" spans="1:11" ht="15" thickBot="1" x14ac:dyDescent="0.25">
      <c r="A144" s="833" t="s">
        <v>98</v>
      </c>
      <c r="B144" s="832">
        <f t="shared" ref="B144:I144" si="6">SUM(B6,B130,B112)</f>
        <v>2450777</v>
      </c>
      <c r="C144" s="828">
        <f t="shared" si="6"/>
        <v>2102716</v>
      </c>
      <c r="D144" s="828">
        <f t="shared" si="6"/>
        <v>1864983</v>
      </c>
      <c r="E144" s="830">
        <f t="shared" si="6"/>
        <v>1685965</v>
      </c>
      <c r="F144" s="831">
        <f t="shared" si="6"/>
        <v>291469</v>
      </c>
      <c r="G144" s="830">
        <f t="shared" si="6"/>
        <v>114418</v>
      </c>
      <c r="H144" s="828">
        <f t="shared" si="6"/>
        <v>1467567</v>
      </c>
      <c r="I144" s="828">
        <f t="shared" si="6"/>
        <v>1646090</v>
      </c>
      <c r="J144" s="827"/>
      <c r="K144" s="826"/>
    </row>
    <row r="145" spans="1:2" ht="13.5" customHeight="1" x14ac:dyDescent="0.2">
      <c r="A145" s="823"/>
      <c r="B145" s="820"/>
    </row>
    <row r="146" spans="1:2" ht="13.5" customHeight="1" x14ac:dyDescent="0.2">
      <c r="A146" s="823"/>
      <c r="B146" s="820"/>
    </row>
    <row r="147" spans="1:2" ht="13.5" customHeight="1" x14ac:dyDescent="0.2">
      <c r="A147" s="823"/>
      <c r="B147" s="820"/>
    </row>
    <row r="148" spans="1:2" ht="13.5" customHeight="1" x14ac:dyDescent="0.2">
      <c r="A148" s="823"/>
      <c r="B148" s="820"/>
    </row>
    <row r="149" spans="1:2" ht="13.5" customHeight="1" x14ac:dyDescent="0.2">
      <c r="A149" s="823"/>
      <c r="B149" s="820"/>
    </row>
    <row r="150" spans="1:2" ht="13.5" customHeight="1" x14ac:dyDescent="0.2">
      <c r="A150" s="823"/>
      <c r="B150" s="820"/>
    </row>
    <row r="151" spans="1:2" ht="13.5" customHeight="1" x14ac:dyDescent="0.2">
      <c r="A151" s="823"/>
      <c r="B151" s="820"/>
    </row>
    <row r="152" spans="1:2" ht="13.5" customHeight="1" x14ac:dyDescent="0.2">
      <c r="A152" s="823"/>
      <c r="B152" s="820"/>
    </row>
    <row r="153" spans="1:2" ht="13.5" customHeight="1" x14ac:dyDescent="0.2">
      <c r="A153" s="821"/>
      <c r="B153" s="820"/>
    </row>
    <row r="154" spans="1:2" ht="13.5" customHeight="1" x14ac:dyDescent="0.2">
      <c r="A154" s="825"/>
      <c r="B154" s="820"/>
    </row>
    <row r="155" spans="1:2" ht="13.5" customHeight="1" x14ac:dyDescent="0.2">
      <c r="A155" s="825"/>
      <c r="B155" s="820"/>
    </row>
    <row r="156" spans="1:2" ht="13.5" customHeight="1" x14ac:dyDescent="0.2">
      <c r="A156" s="825"/>
      <c r="B156" s="820"/>
    </row>
    <row r="157" spans="1:2" ht="13.5" customHeight="1" x14ac:dyDescent="0.2">
      <c r="A157" s="825"/>
      <c r="B157" s="820"/>
    </row>
    <row r="158" spans="1:2" ht="13.5" customHeight="1" x14ac:dyDescent="0.2">
      <c r="A158" s="825"/>
      <c r="B158" s="820"/>
    </row>
    <row r="159" spans="1:2" ht="13.5" customHeight="1" x14ac:dyDescent="0.2">
      <c r="A159" s="825"/>
      <c r="B159" s="820"/>
    </row>
    <row r="160" spans="1:2" ht="13.5" customHeight="1" x14ac:dyDescent="0.2">
      <c r="A160" s="825"/>
      <c r="B160" s="820"/>
    </row>
    <row r="161" spans="1:2" ht="13.5" customHeight="1" x14ac:dyDescent="0.2">
      <c r="A161" s="825"/>
      <c r="B161" s="820"/>
    </row>
    <row r="162" spans="1:2" ht="13.5" customHeight="1" x14ac:dyDescent="0.2">
      <c r="A162" s="825"/>
      <c r="B162" s="820"/>
    </row>
    <row r="163" spans="1:2" ht="13.5" customHeight="1" x14ac:dyDescent="0.2">
      <c r="A163" s="825"/>
      <c r="B163" s="820"/>
    </row>
    <row r="164" spans="1:2" ht="13.5" customHeight="1" x14ac:dyDescent="0.2">
      <c r="A164" s="825"/>
      <c r="B164" s="820"/>
    </row>
    <row r="165" spans="1:2" ht="13.5" customHeight="1" x14ac:dyDescent="0.2">
      <c r="A165" s="825"/>
      <c r="B165" s="820"/>
    </row>
    <row r="166" spans="1:2" ht="13.5" customHeight="1" x14ac:dyDescent="0.2">
      <c r="A166" s="824"/>
      <c r="B166" s="820"/>
    </row>
    <row r="167" spans="1:2" x14ac:dyDescent="0.2">
      <c r="A167" s="821"/>
      <c r="B167" s="820"/>
    </row>
    <row r="168" spans="1:2" x14ac:dyDescent="0.2">
      <c r="A168" s="821"/>
      <c r="B168" s="820"/>
    </row>
    <row r="169" spans="1:2" x14ac:dyDescent="0.2">
      <c r="A169" s="823"/>
      <c r="B169" s="820"/>
    </row>
    <row r="170" spans="1:2" x14ac:dyDescent="0.2">
      <c r="A170" s="823"/>
      <c r="B170" s="820"/>
    </row>
    <row r="171" spans="1:2" x14ac:dyDescent="0.2">
      <c r="A171" s="823"/>
      <c r="B171" s="820"/>
    </row>
    <row r="172" spans="1:2" x14ac:dyDescent="0.2">
      <c r="A172" s="822"/>
      <c r="B172" s="820"/>
    </row>
    <row r="173" spans="1:2" x14ac:dyDescent="0.2">
      <c r="A173" s="821"/>
      <c r="B173" s="820"/>
    </row>
  </sheetData>
  <mergeCells count="1">
    <mergeCell ref="A2:H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4" fitToHeight="0" orientation="portrait" r:id="rId1"/>
  <headerFooter>
    <oddHeader xml:space="preserve">&amp;L7. melléklet a 28/2017.(XII.21.)önkormányzati rendelethez
7. melléklet a 24/2016.(XII.16.)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75"/>
  <sheetViews>
    <sheetView view="pageBreakPreview" zoomScale="90" zoomScaleNormal="100" zoomScaleSheetLayoutView="90" workbookViewId="0">
      <selection activeCell="G3" sqref="G1:G1048576"/>
    </sheetView>
  </sheetViews>
  <sheetFormatPr defaultRowHeight="12.75" x14ac:dyDescent="0.2"/>
  <cols>
    <col min="1" max="1" width="89.28515625" customWidth="1"/>
    <col min="2" max="2" width="0.140625" hidden="1" customWidth="1"/>
    <col min="3" max="3" width="14.85546875" hidden="1" customWidth="1"/>
    <col min="4" max="4" width="13.85546875" hidden="1" customWidth="1"/>
    <col min="5" max="5" width="14.7109375" customWidth="1"/>
    <col min="6" max="6" width="0.28515625" hidden="1" customWidth="1"/>
    <col min="7" max="7" width="12.85546875" style="971" customWidth="1"/>
    <col min="8" max="8" width="0.42578125" hidden="1" customWidth="1"/>
    <col min="9" max="9" width="11.7109375" hidden="1" customWidth="1"/>
    <col min="10" max="10" width="12" hidden="1" customWidth="1"/>
    <col min="11" max="11" width="13.5703125" customWidth="1"/>
    <col min="12" max="12" width="13.7109375" hidden="1" customWidth="1"/>
    <col min="13" max="13" width="26" hidden="1" customWidth="1"/>
  </cols>
  <sheetData>
    <row r="1" spans="1:13" ht="15" x14ac:dyDescent="0.25">
      <c r="A1" s="1499" t="s">
        <v>740</v>
      </c>
      <c r="B1" s="1499"/>
      <c r="C1" s="1499"/>
      <c r="D1" s="1499"/>
      <c r="E1" s="1499"/>
      <c r="F1" s="1499"/>
      <c r="G1" s="1499"/>
      <c r="H1" s="1499"/>
      <c r="I1" s="1499"/>
      <c r="J1" s="36"/>
    </row>
    <row r="2" spans="1:13" ht="14.25" x14ac:dyDescent="0.2">
      <c r="A2" s="1500" t="s">
        <v>739</v>
      </c>
      <c r="B2" s="1500"/>
      <c r="C2" s="1500"/>
      <c r="D2" s="1500"/>
      <c r="E2" s="1500"/>
      <c r="F2" s="1500"/>
      <c r="G2" s="1500"/>
      <c r="H2" s="1500"/>
      <c r="I2" s="1500"/>
      <c r="J2" s="970"/>
    </row>
    <row r="3" spans="1:13" ht="17.25" customHeight="1" thickBot="1" x14ac:dyDescent="0.25">
      <c r="A3" s="1084"/>
      <c r="B3" s="1083"/>
      <c r="C3" s="1082"/>
      <c r="D3" s="1082"/>
      <c r="G3"/>
      <c r="J3" s="1081"/>
    </row>
    <row r="4" spans="1:13" ht="38.25" customHeight="1" thickBot="1" x14ac:dyDescent="0.3">
      <c r="A4" s="1080" t="s">
        <v>2</v>
      </c>
      <c r="B4" s="1079" t="s">
        <v>677</v>
      </c>
      <c r="C4" s="1078" t="s">
        <v>676</v>
      </c>
      <c r="D4" s="1071" t="s">
        <v>675</v>
      </c>
      <c r="E4" s="1074" t="s">
        <v>3</v>
      </c>
      <c r="F4" s="1077" t="s">
        <v>673</v>
      </c>
      <c r="G4" s="1073" t="s">
        <v>228</v>
      </c>
      <c r="H4" s="1076" t="s">
        <v>738</v>
      </c>
      <c r="I4" s="1075" t="s">
        <v>735</v>
      </c>
      <c r="J4" s="36"/>
      <c r="K4" s="1074" t="s">
        <v>737</v>
      </c>
      <c r="L4" s="1073" t="s">
        <v>736</v>
      </c>
      <c r="M4" s="1072" t="s">
        <v>671</v>
      </c>
    </row>
    <row r="5" spans="1:13" ht="32.25" customHeight="1" x14ac:dyDescent="0.25">
      <c r="A5" s="931"/>
      <c r="B5" s="925"/>
      <c r="C5" s="991"/>
      <c r="D5" s="990"/>
      <c r="E5" s="989"/>
      <c r="F5" s="988"/>
      <c r="G5" s="986"/>
      <c r="H5" s="985"/>
      <c r="I5" s="987"/>
      <c r="J5" s="1071" t="s">
        <v>735</v>
      </c>
      <c r="K5" s="1070"/>
      <c r="L5" s="1069"/>
      <c r="M5" s="1069"/>
    </row>
    <row r="6" spans="1:13" ht="15" x14ac:dyDescent="0.25">
      <c r="A6" s="926" t="s">
        <v>69</v>
      </c>
      <c r="B6" s="943">
        <f t="shared" ref="B6:H6" si="0">SUM(B8,B12)</f>
        <v>547265</v>
      </c>
      <c r="C6" s="943">
        <f t="shared" si="0"/>
        <v>894836</v>
      </c>
      <c r="D6" s="921">
        <f t="shared" si="0"/>
        <v>336157</v>
      </c>
      <c r="E6" s="920">
        <f t="shared" si="0"/>
        <v>245122</v>
      </c>
      <c r="F6" s="998">
        <f t="shared" si="0"/>
        <v>-113529</v>
      </c>
      <c r="G6" s="919">
        <f t="shared" si="0"/>
        <v>315594</v>
      </c>
      <c r="H6" s="998">
        <f t="shared" si="0"/>
        <v>184001</v>
      </c>
      <c r="I6" s="918">
        <f>SUM('[11]8. sz. melléklet'!K8,I12)</f>
        <v>31316</v>
      </c>
      <c r="J6" s="923"/>
      <c r="K6" s="918">
        <f>SUM(K8,K12)</f>
        <v>307574</v>
      </c>
      <c r="L6" s="919">
        <f>SUM(L8,L12)</f>
        <v>52564</v>
      </c>
      <c r="M6" s="918">
        <f>SUM(M8,M12)</f>
        <v>44136</v>
      </c>
    </row>
    <row r="7" spans="1:13" ht="14.25" customHeight="1" x14ac:dyDescent="0.25">
      <c r="A7" s="931"/>
      <c r="B7" s="925"/>
      <c r="C7" s="991"/>
      <c r="D7" s="990"/>
      <c r="E7" s="989"/>
      <c r="F7" s="988"/>
      <c r="G7" s="986"/>
      <c r="H7" s="985"/>
      <c r="I7" s="987"/>
      <c r="J7" s="921">
        <f>SUM(J9,J23,J34)</f>
        <v>33166</v>
      </c>
      <c r="K7" s="982"/>
      <c r="L7" s="981"/>
      <c r="M7" s="981"/>
    </row>
    <row r="8" spans="1:13" ht="15" x14ac:dyDescent="0.25">
      <c r="A8" s="926" t="s">
        <v>734</v>
      </c>
      <c r="B8" s="943">
        <f>SUM(B9:B10)</f>
        <v>0</v>
      </c>
      <c r="C8" s="943">
        <f>SUM(C9:C10)</f>
        <v>0</v>
      </c>
      <c r="D8" s="921">
        <f>SUM(D9:D10)</f>
        <v>0</v>
      </c>
      <c r="E8" s="920">
        <f>SUM(E9:E10)</f>
        <v>0</v>
      </c>
      <c r="F8" s="998"/>
      <c r="G8" s="919">
        <f>SUM(G9:G10)</f>
        <v>54510</v>
      </c>
      <c r="H8" s="998">
        <f>SUM(H9:H10)</f>
        <v>54510</v>
      </c>
      <c r="I8" s="918">
        <f>SUM(I9:I10)</f>
        <v>0</v>
      </c>
      <c r="J8" s="923"/>
      <c r="K8" s="918">
        <f>SUM(K9:K10)</f>
        <v>54510</v>
      </c>
      <c r="L8" s="919">
        <f>SUM(L9:L10)</f>
        <v>0</v>
      </c>
      <c r="M8" s="918">
        <f>SUM(M9:M10)</f>
        <v>0</v>
      </c>
    </row>
    <row r="9" spans="1:13" ht="15.75" customHeight="1" x14ac:dyDescent="0.25">
      <c r="A9" s="931" t="s">
        <v>733</v>
      </c>
      <c r="B9" s="925">
        <v>0</v>
      </c>
      <c r="C9" s="991">
        <v>0</v>
      </c>
      <c r="D9" s="990">
        <v>0</v>
      </c>
      <c r="E9" s="989">
        <v>0</v>
      </c>
      <c r="F9" s="988"/>
      <c r="G9" s="1045">
        <v>21850</v>
      </c>
      <c r="H9" s="1044">
        <v>21850</v>
      </c>
      <c r="I9" s="987">
        <v>0</v>
      </c>
      <c r="J9" s="921">
        <f>SUM(J10:J21)</f>
        <v>16957</v>
      </c>
      <c r="K9" s="982">
        <v>21850</v>
      </c>
      <c r="L9" s="981">
        <v>0</v>
      </c>
      <c r="M9" s="981">
        <v>0</v>
      </c>
    </row>
    <row r="10" spans="1:13" ht="15" x14ac:dyDescent="0.25">
      <c r="A10" s="931" t="s">
        <v>732</v>
      </c>
      <c r="B10" s="925">
        <v>0</v>
      </c>
      <c r="C10" s="991">
        <v>0</v>
      </c>
      <c r="D10" s="990">
        <v>0</v>
      </c>
      <c r="E10" s="989">
        <v>0</v>
      </c>
      <c r="F10" s="988"/>
      <c r="G10" s="1045">
        <v>32660</v>
      </c>
      <c r="H10" s="1044">
        <v>32660</v>
      </c>
      <c r="I10" s="987">
        <v>0</v>
      </c>
      <c r="J10" s="1016">
        <v>1406</v>
      </c>
      <c r="K10" s="982">
        <v>32660</v>
      </c>
      <c r="L10" s="981">
        <v>0</v>
      </c>
      <c r="M10" s="981">
        <v>0</v>
      </c>
    </row>
    <row r="11" spans="1:13" ht="15" x14ac:dyDescent="0.25">
      <c r="A11" s="931"/>
      <c r="B11" s="925"/>
      <c r="C11" s="991"/>
      <c r="D11" s="990"/>
      <c r="E11" s="989"/>
      <c r="F11" s="988"/>
      <c r="G11" s="986"/>
      <c r="H11" s="985"/>
      <c r="I11" s="987"/>
      <c r="J11" s="1016">
        <v>354</v>
      </c>
      <c r="K11" s="982"/>
      <c r="L11" s="981"/>
      <c r="M11" s="981"/>
    </row>
    <row r="12" spans="1:13" ht="24.75" customHeight="1" x14ac:dyDescent="0.25">
      <c r="A12" s="926" t="s">
        <v>643</v>
      </c>
      <c r="B12" s="943">
        <f>SUM(B13:B49)</f>
        <v>547265</v>
      </c>
      <c r="C12" s="943">
        <f>SUM(C13:C49)</f>
        <v>894836</v>
      </c>
      <c r="D12" s="921">
        <f>SUM(D13:D49)</f>
        <v>336157</v>
      </c>
      <c r="E12" s="920">
        <f>SUM(E13:E50)</f>
        <v>245122</v>
      </c>
      <c r="F12" s="919">
        <f>SUM(F13:F51)</f>
        <v>-113529</v>
      </c>
      <c r="G12" s="919">
        <f>SUM(G13:G56)</f>
        <v>261084</v>
      </c>
      <c r="H12" s="997">
        <f>SUM(H13:H56)</f>
        <v>129491</v>
      </c>
      <c r="I12" s="921">
        <f>SUM(I13:I55)</f>
        <v>31316</v>
      </c>
      <c r="J12" s="1062">
        <v>0</v>
      </c>
      <c r="K12" s="918">
        <f>SUM(K13:K58)</f>
        <v>253064</v>
      </c>
      <c r="L12" s="919">
        <f>SUM(L13:L58)</f>
        <v>52564</v>
      </c>
      <c r="M12" s="918">
        <f>SUM(M13:M58)</f>
        <v>44136</v>
      </c>
    </row>
    <row r="13" spans="1:13" ht="18.75" customHeight="1" x14ac:dyDescent="0.25">
      <c r="A13" s="940" t="s">
        <v>731</v>
      </c>
      <c r="B13" s="939">
        <v>2540</v>
      </c>
      <c r="C13" s="1043">
        <v>2540</v>
      </c>
      <c r="D13" s="1042">
        <v>2540</v>
      </c>
      <c r="E13" s="996">
        <v>2540</v>
      </c>
      <c r="F13" s="995"/>
      <c r="G13" s="1009">
        <v>653</v>
      </c>
      <c r="H13" s="1012">
        <v>-1887</v>
      </c>
      <c r="I13" s="1041">
        <v>591</v>
      </c>
      <c r="J13" s="1062">
        <v>0</v>
      </c>
      <c r="K13" s="1017">
        <v>825</v>
      </c>
      <c r="L13" s="981">
        <v>394</v>
      </c>
      <c r="M13" s="981">
        <v>177</v>
      </c>
    </row>
    <row r="14" spans="1:13" s="1063" customFormat="1" ht="15.75" customHeight="1" x14ac:dyDescent="0.25">
      <c r="A14" s="940" t="s">
        <v>730</v>
      </c>
      <c r="B14" s="939">
        <v>85000</v>
      </c>
      <c r="C14" s="939">
        <v>85000</v>
      </c>
      <c r="D14" s="936">
        <v>85000</v>
      </c>
      <c r="E14" s="935">
        <v>70000</v>
      </c>
      <c r="F14" s="1068">
        <v>-1994</v>
      </c>
      <c r="G14" s="1067">
        <v>68006</v>
      </c>
      <c r="H14" s="1066"/>
      <c r="I14" s="1065">
        <v>0</v>
      </c>
      <c r="J14" s="1062">
        <v>0</v>
      </c>
      <c r="K14" s="1017">
        <v>50564</v>
      </c>
      <c r="L14" s="1064">
        <v>11436</v>
      </c>
      <c r="M14" s="1064">
        <v>39128</v>
      </c>
    </row>
    <row r="15" spans="1:13" ht="15" customHeight="1" x14ac:dyDescent="0.25">
      <c r="A15" s="940" t="s">
        <v>186</v>
      </c>
      <c r="B15" s="939">
        <v>45000</v>
      </c>
      <c r="C15" s="1029">
        <v>43334</v>
      </c>
      <c r="D15" s="983">
        <v>43334</v>
      </c>
      <c r="E15" s="1026">
        <v>45000</v>
      </c>
      <c r="F15" s="1025">
        <v>-45000</v>
      </c>
      <c r="G15" s="994">
        <v>0</v>
      </c>
      <c r="H15" s="993"/>
      <c r="I15" s="1041"/>
      <c r="J15" s="1062">
        <v>0</v>
      </c>
      <c r="K15" s="938">
        <v>0</v>
      </c>
      <c r="L15" s="981"/>
      <c r="M15" s="981"/>
    </row>
    <row r="16" spans="1:13" ht="15" customHeight="1" x14ac:dyDescent="0.25">
      <c r="A16" s="1040" t="s">
        <v>729</v>
      </c>
      <c r="B16" s="853">
        <v>10000</v>
      </c>
      <c r="C16" s="1043">
        <v>10000</v>
      </c>
      <c r="D16" s="1042">
        <v>10000</v>
      </c>
      <c r="E16" s="996">
        <v>1000</v>
      </c>
      <c r="F16" s="995"/>
      <c r="G16" s="1009">
        <v>3000</v>
      </c>
      <c r="H16" s="1012">
        <v>2000</v>
      </c>
      <c r="I16" s="1041">
        <v>978</v>
      </c>
      <c r="J16" s="1062">
        <v>0</v>
      </c>
      <c r="K16" s="1017">
        <v>3000</v>
      </c>
      <c r="L16" s="981">
        <v>1159</v>
      </c>
      <c r="M16" s="981">
        <v>0</v>
      </c>
    </row>
    <row r="17" spans="1:13" ht="19.5" customHeight="1" x14ac:dyDescent="0.25">
      <c r="A17" s="1031" t="s">
        <v>728</v>
      </c>
      <c r="B17" s="939">
        <v>10000</v>
      </c>
      <c r="C17" s="1043">
        <v>10000</v>
      </c>
      <c r="D17" s="1042">
        <v>10000</v>
      </c>
      <c r="E17" s="996">
        <v>1000</v>
      </c>
      <c r="F17" s="995">
        <v>1000</v>
      </c>
      <c r="G17" s="1009">
        <v>2705</v>
      </c>
      <c r="H17" s="1012">
        <v>705</v>
      </c>
      <c r="I17" s="1041">
        <v>0</v>
      </c>
      <c r="J17" s="1016">
        <v>3937</v>
      </c>
      <c r="K17" s="1017">
        <v>2355</v>
      </c>
      <c r="L17" s="981">
        <v>1140</v>
      </c>
      <c r="M17" s="981">
        <v>0</v>
      </c>
    </row>
    <row r="18" spans="1:13" ht="18" hidden="1" customHeight="1" x14ac:dyDescent="0.25">
      <c r="A18" s="1040" t="s">
        <v>727</v>
      </c>
      <c r="B18" s="853">
        <v>10000</v>
      </c>
      <c r="C18" s="1043">
        <v>10000</v>
      </c>
      <c r="D18" s="1042">
        <v>0</v>
      </c>
      <c r="E18" s="996">
        <v>0</v>
      </c>
      <c r="F18" s="995"/>
      <c r="G18" s="994"/>
      <c r="H18" s="993"/>
      <c r="I18" s="1041"/>
      <c r="J18" s="1016">
        <v>11260</v>
      </c>
      <c r="K18" s="938"/>
      <c r="L18" s="981"/>
      <c r="M18" s="981"/>
    </row>
    <row r="19" spans="1:13" ht="14.25" customHeight="1" x14ac:dyDescent="0.25">
      <c r="A19" s="940" t="s">
        <v>726</v>
      </c>
      <c r="B19" s="939">
        <v>6350</v>
      </c>
      <c r="C19" s="1043">
        <v>6350</v>
      </c>
      <c r="D19" s="1042">
        <v>6350</v>
      </c>
      <c r="E19" s="996">
        <v>6350</v>
      </c>
      <c r="F19" s="995"/>
      <c r="G19" s="994">
        <v>6350</v>
      </c>
      <c r="H19" s="993"/>
      <c r="I19" s="1041">
        <v>0</v>
      </c>
      <c r="J19" s="1016">
        <v>0</v>
      </c>
      <c r="K19" s="938">
        <v>6350</v>
      </c>
      <c r="L19" s="981">
        <v>0</v>
      </c>
      <c r="M19" s="981">
        <v>100</v>
      </c>
    </row>
    <row r="20" spans="1:13" ht="0.75" hidden="1" customHeight="1" x14ac:dyDescent="0.25">
      <c r="A20" s="940" t="s">
        <v>725</v>
      </c>
      <c r="B20" s="939">
        <v>10000</v>
      </c>
      <c r="C20" s="1043">
        <v>10000</v>
      </c>
      <c r="D20" s="1042">
        <v>0</v>
      </c>
      <c r="E20" s="996">
        <v>0</v>
      </c>
      <c r="F20" s="995"/>
      <c r="G20" s="994"/>
      <c r="H20" s="993"/>
      <c r="I20" s="1041"/>
      <c r="J20" s="1016">
        <v>0</v>
      </c>
      <c r="K20" s="938"/>
      <c r="L20" s="981"/>
      <c r="M20" s="981"/>
    </row>
    <row r="21" spans="1:13" ht="17.25" hidden="1" customHeight="1" x14ac:dyDescent="0.25">
      <c r="A21" s="940" t="s">
        <v>724</v>
      </c>
      <c r="B21" s="939">
        <v>80000</v>
      </c>
      <c r="C21" s="1029">
        <v>46667</v>
      </c>
      <c r="D21" s="983">
        <v>0</v>
      </c>
      <c r="E21" s="1026">
        <v>0</v>
      </c>
      <c r="F21" s="1025"/>
      <c r="G21" s="994"/>
      <c r="H21" s="993"/>
      <c r="I21" s="1041"/>
      <c r="J21" s="1016"/>
      <c r="K21" s="938"/>
      <c r="L21" s="981"/>
      <c r="M21" s="981"/>
    </row>
    <row r="22" spans="1:13" ht="15" hidden="1" x14ac:dyDescent="0.25">
      <c r="A22" s="940" t="s">
        <v>723</v>
      </c>
      <c r="B22" s="939">
        <v>19500</v>
      </c>
      <c r="C22" s="1043">
        <v>19500</v>
      </c>
      <c r="D22" s="1042">
        <v>0</v>
      </c>
      <c r="E22" s="996">
        <v>0</v>
      </c>
      <c r="F22" s="995"/>
      <c r="G22" s="994"/>
      <c r="H22" s="993"/>
      <c r="I22" s="1041"/>
      <c r="J22" s="923"/>
      <c r="K22" s="938"/>
      <c r="L22" s="981"/>
      <c r="M22" s="981"/>
    </row>
    <row r="23" spans="1:13" ht="15" hidden="1" x14ac:dyDescent="0.25">
      <c r="A23" s="940" t="s">
        <v>722</v>
      </c>
      <c r="B23" s="939">
        <v>25000</v>
      </c>
      <c r="C23" s="1043">
        <v>25000</v>
      </c>
      <c r="D23" s="1042">
        <v>0</v>
      </c>
      <c r="E23" s="996">
        <v>0</v>
      </c>
      <c r="F23" s="995"/>
      <c r="G23" s="994"/>
      <c r="H23" s="993"/>
      <c r="I23" s="1041"/>
      <c r="J23" s="921">
        <f>SUM(J24:J30)</f>
        <v>5499</v>
      </c>
      <c r="K23" s="938"/>
      <c r="L23" s="981"/>
      <c r="M23" s="981"/>
    </row>
    <row r="24" spans="1:13" ht="15" hidden="1" x14ac:dyDescent="0.25">
      <c r="A24" s="940" t="s">
        <v>721</v>
      </c>
      <c r="B24" s="939">
        <v>20000</v>
      </c>
      <c r="C24" s="1043">
        <v>20000</v>
      </c>
      <c r="D24" s="1042">
        <v>0</v>
      </c>
      <c r="E24" s="996">
        <v>0</v>
      </c>
      <c r="F24" s="995"/>
      <c r="G24" s="994"/>
      <c r="H24" s="993"/>
      <c r="I24" s="1041"/>
      <c r="J24" s="923">
        <v>0</v>
      </c>
      <c r="K24" s="938"/>
      <c r="L24" s="981"/>
      <c r="M24" s="981"/>
    </row>
    <row r="25" spans="1:13" ht="15" hidden="1" x14ac:dyDescent="0.25">
      <c r="A25" s="940" t="s">
        <v>720</v>
      </c>
      <c r="B25" s="939">
        <v>20000</v>
      </c>
      <c r="C25" s="1043">
        <v>20000</v>
      </c>
      <c r="D25" s="1042">
        <v>0</v>
      </c>
      <c r="E25" s="996">
        <v>0</v>
      </c>
      <c r="F25" s="995"/>
      <c r="G25" s="994"/>
      <c r="H25" s="993"/>
      <c r="I25" s="1041"/>
      <c r="J25" s="923">
        <v>1499</v>
      </c>
      <c r="K25" s="938"/>
      <c r="L25" s="981"/>
      <c r="M25" s="981"/>
    </row>
    <row r="26" spans="1:13" ht="27.75" hidden="1" customHeight="1" x14ac:dyDescent="0.25">
      <c r="A26" s="940" t="s">
        <v>719</v>
      </c>
      <c r="B26" s="939">
        <v>10160</v>
      </c>
      <c r="C26" s="1043">
        <v>10160</v>
      </c>
      <c r="D26" s="1042">
        <v>0</v>
      </c>
      <c r="E26" s="996">
        <v>0</v>
      </c>
      <c r="F26" s="995"/>
      <c r="G26" s="994"/>
      <c r="H26" s="993"/>
      <c r="I26" s="1041"/>
      <c r="J26" s="923">
        <v>0</v>
      </c>
      <c r="K26" s="938"/>
      <c r="L26" s="981"/>
      <c r="M26" s="981"/>
    </row>
    <row r="27" spans="1:13" ht="2.25" hidden="1" customHeight="1" x14ac:dyDescent="0.25">
      <c r="A27" s="940" t="s">
        <v>718</v>
      </c>
      <c r="B27" s="939">
        <v>12700</v>
      </c>
      <c r="C27" s="1043">
        <v>12700</v>
      </c>
      <c r="D27" s="1042">
        <v>12700</v>
      </c>
      <c r="E27" s="996">
        <v>0</v>
      </c>
      <c r="F27" s="995"/>
      <c r="G27" s="994"/>
      <c r="H27" s="993"/>
      <c r="I27" s="1041"/>
      <c r="J27" s="923">
        <v>0</v>
      </c>
      <c r="K27" s="938"/>
      <c r="L27" s="981"/>
      <c r="M27" s="981"/>
    </row>
    <row r="28" spans="1:13" ht="15" customHeight="1" x14ac:dyDescent="0.25">
      <c r="A28" s="940" t="s">
        <v>717</v>
      </c>
      <c r="B28" s="939">
        <v>1270</v>
      </c>
      <c r="C28" s="1043">
        <v>1270</v>
      </c>
      <c r="D28" s="1042">
        <v>1270</v>
      </c>
      <c r="E28" s="996">
        <v>1270</v>
      </c>
      <c r="F28" s="995"/>
      <c r="G28" s="994">
        <v>1270</v>
      </c>
      <c r="H28" s="993"/>
      <c r="I28" s="1041">
        <v>0</v>
      </c>
      <c r="J28" s="923">
        <v>4000</v>
      </c>
      <c r="K28" s="938">
        <v>1270</v>
      </c>
      <c r="L28" s="981">
        <v>0</v>
      </c>
      <c r="M28" s="981">
        <v>0</v>
      </c>
    </row>
    <row r="29" spans="1:13" ht="15.75" customHeight="1" x14ac:dyDescent="0.25">
      <c r="A29" s="1061" t="s">
        <v>716</v>
      </c>
      <c r="B29" s="1060">
        <v>20500</v>
      </c>
      <c r="C29" s="1059">
        <v>23334</v>
      </c>
      <c r="D29" s="1058">
        <v>23334</v>
      </c>
      <c r="E29" s="1057">
        <v>5000</v>
      </c>
      <c r="F29" s="1056"/>
      <c r="G29" s="1009">
        <v>0</v>
      </c>
      <c r="H29" s="1012">
        <v>-5000</v>
      </c>
      <c r="I29" s="1041">
        <v>0</v>
      </c>
      <c r="J29" s="923"/>
      <c r="K29" s="1017">
        <v>0</v>
      </c>
      <c r="L29" s="981">
        <v>0</v>
      </c>
      <c r="M29" s="981">
        <v>0</v>
      </c>
    </row>
    <row r="30" spans="1:13" ht="15" hidden="1" x14ac:dyDescent="0.25">
      <c r="A30" s="940" t="s">
        <v>715</v>
      </c>
      <c r="B30" s="939">
        <v>6350</v>
      </c>
      <c r="C30" s="1043">
        <v>6350</v>
      </c>
      <c r="D30" s="1042">
        <v>0</v>
      </c>
      <c r="E30" s="996">
        <v>0</v>
      </c>
      <c r="F30" s="995"/>
      <c r="G30" s="994"/>
      <c r="H30" s="993"/>
      <c r="I30" s="1041"/>
      <c r="J30" s="923">
        <v>0</v>
      </c>
      <c r="K30" s="938"/>
      <c r="L30" s="981"/>
      <c r="M30" s="981"/>
    </row>
    <row r="31" spans="1:13" ht="22.5" hidden="1" customHeight="1" x14ac:dyDescent="0.25">
      <c r="A31" s="940" t="s">
        <v>714</v>
      </c>
      <c r="B31" s="939">
        <v>5000</v>
      </c>
      <c r="C31" s="1043">
        <v>5000</v>
      </c>
      <c r="D31" s="1042">
        <v>0</v>
      </c>
      <c r="E31" s="996">
        <v>0</v>
      </c>
      <c r="F31" s="995"/>
      <c r="G31" s="994"/>
      <c r="H31" s="993"/>
      <c r="I31" s="1041"/>
      <c r="J31" s="923"/>
      <c r="K31" s="938"/>
      <c r="L31" s="981"/>
      <c r="M31" s="981"/>
    </row>
    <row r="32" spans="1:13" ht="16.5" customHeight="1" x14ac:dyDescent="0.25">
      <c r="A32" s="1055" t="s">
        <v>713</v>
      </c>
      <c r="B32" s="1054">
        <v>5000</v>
      </c>
      <c r="C32" s="1053">
        <v>5000</v>
      </c>
      <c r="D32" s="1052">
        <v>5000</v>
      </c>
      <c r="E32" s="1051">
        <v>5000</v>
      </c>
      <c r="F32" s="1050"/>
      <c r="G32" s="1049">
        <v>5000</v>
      </c>
      <c r="H32" s="1048"/>
      <c r="I32" s="1047">
        <v>0</v>
      </c>
      <c r="J32" s="923"/>
      <c r="K32" s="1046">
        <v>5000</v>
      </c>
      <c r="L32" s="981">
        <v>0</v>
      </c>
      <c r="M32" s="981">
        <v>0</v>
      </c>
    </row>
    <row r="33" spans="1:13" ht="15.75" customHeight="1" x14ac:dyDescent="0.25">
      <c r="A33" s="940" t="s">
        <v>712</v>
      </c>
      <c r="B33" s="939">
        <v>25400</v>
      </c>
      <c r="C33" s="1043">
        <v>8467</v>
      </c>
      <c r="D33" s="1042">
        <v>8467</v>
      </c>
      <c r="E33" s="996">
        <v>8467</v>
      </c>
      <c r="F33" s="995"/>
      <c r="G33" s="1045">
        <v>13467</v>
      </c>
      <c r="H33" s="1044">
        <v>5000</v>
      </c>
      <c r="I33" s="1041">
        <v>5277</v>
      </c>
      <c r="J33" s="923"/>
      <c r="K33" s="886">
        <v>13467</v>
      </c>
      <c r="L33" s="981">
        <v>5277</v>
      </c>
      <c r="M33" s="981">
        <v>3678</v>
      </c>
    </row>
    <row r="34" spans="1:13" ht="14.25" customHeight="1" x14ac:dyDescent="0.25">
      <c r="A34" s="940" t="s">
        <v>711</v>
      </c>
      <c r="B34" s="939">
        <v>10000</v>
      </c>
      <c r="C34" s="1043">
        <v>3334</v>
      </c>
      <c r="D34" s="1042">
        <v>15000</v>
      </c>
      <c r="E34" s="996">
        <v>15000</v>
      </c>
      <c r="F34" s="995">
        <f>-141-1499-694-224-1283</f>
        <v>-3841</v>
      </c>
      <c r="G34" s="1045">
        <v>1374</v>
      </c>
      <c r="H34" s="1044">
        <f>-(8763+1022)</f>
        <v>-9785</v>
      </c>
      <c r="I34" s="1041">
        <v>749</v>
      </c>
      <c r="J34" s="921">
        <f>SUM(J48:J75)</f>
        <v>10710</v>
      </c>
      <c r="K34" s="886">
        <v>1374</v>
      </c>
      <c r="L34" s="981">
        <v>749</v>
      </c>
      <c r="M34" s="981">
        <v>0</v>
      </c>
    </row>
    <row r="35" spans="1:13" ht="1.5" hidden="1" customHeight="1" x14ac:dyDescent="0.25">
      <c r="A35" s="940" t="s">
        <v>710</v>
      </c>
      <c r="B35" s="939">
        <v>0</v>
      </c>
      <c r="C35" s="1043">
        <v>66667</v>
      </c>
      <c r="D35" s="1042">
        <v>0</v>
      </c>
      <c r="E35" s="996">
        <v>0</v>
      </c>
      <c r="F35" s="995"/>
      <c r="G35" s="994"/>
      <c r="H35" s="993"/>
      <c r="I35" s="1041"/>
      <c r="J35" s="1016">
        <v>0</v>
      </c>
      <c r="K35" s="938"/>
      <c r="L35" s="981"/>
      <c r="M35" s="981"/>
    </row>
    <row r="36" spans="1:13" ht="25.5" hidden="1" customHeight="1" x14ac:dyDescent="0.25">
      <c r="A36" s="940" t="s">
        <v>709</v>
      </c>
      <c r="B36" s="939">
        <v>0</v>
      </c>
      <c r="C36" s="1029">
        <v>83334</v>
      </c>
      <c r="D36" s="983">
        <v>0</v>
      </c>
      <c r="E36" s="1026">
        <v>0</v>
      </c>
      <c r="F36" s="1025"/>
      <c r="G36" s="994"/>
      <c r="H36" s="993"/>
      <c r="I36" s="1041"/>
      <c r="J36" s="1016">
        <v>0</v>
      </c>
      <c r="K36" s="938"/>
      <c r="L36" s="981"/>
      <c r="M36" s="981"/>
    </row>
    <row r="37" spans="1:13" ht="28.5" hidden="1" customHeight="1" x14ac:dyDescent="0.25">
      <c r="A37" s="940" t="s">
        <v>708</v>
      </c>
      <c r="B37" s="939">
        <v>0</v>
      </c>
      <c r="C37" s="1043">
        <v>50000</v>
      </c>
      <c r="D37" s="1042">
        <v>0</v>
      </c>
      <c r="E37" s="996">
        <v>0</v>
      </c>
      <c r="F37" s="995"/>
      <c r="G37" s="994"/>
      <c r="H37" s="993"/>
      <c r="I37" s="1041"/>
      <c r="J37" s="1016">
        <v>0</v>
      </c>
      <c r="K37" s="938"/>
      <c r="L37" s="981"/>
      <c r="M37" s="981"/>
    </row>
    <row r="38" spans="1:13" ht="39" hidden="1" customHeight="1" x14ac:dyDescent="0.25">
      <c r="A38" s="940" t="s">
        <v>707</v>
      </c>
      <c r="B38" s="939">
        <v>0</v>
      </c>
      <c r="C38" s="1043">
        <v>86667</v>
      </c>
      <c r="D38" s="1042">
        <v>0</v>
      </c>
      <c r="E38" s="996">
        <v>0</v>
      </c>
      <c r="F38" s="995"/>
      <c r="G38" s="994"/>
      <c r="H38" s="993"/>
      <c r="I38" s="1041"/>
      <c r="J38" s="983">
        <v>0</v>
      </c>
      <c r="K38" s="938"/>
      <c r="L38" s="981"/>
      <c r="M38" s="981"/>
    </row>
    <row r="39" spans="1:13" ht="39.75" hidden="1" customHeight="1" x14ac:dyDescent="0.25">
      <c r="A39" s="940" t="s">
        <v>706</v>
      </c>
      <c r="B39" s="939">
        <v>0</v>
      </c>
      <c r="C39" s="1043">
        <v>16667</v>
      </c>
      <c r="D39" s="1042">
        <v>16667</v>
      </c>
      <c r="E39" s="996">
        <v>0</v>
      </c>
      <c r="F39" s="995"/>
      <c r="G39" s="994"/>
      <c r="H39" s="993"/>
      <c r="I39" s="1041"/>
      <c r="J39" s="983"/>
      <c r="K39" s="938"/>
      <c r="L39" s="981"/>
      <c r="M39" s="981"/>
    </row>
    <row r="40" spans="1:13" ht="32.25" hidden="1" customHeight="1" x14ac:dyDescent="0.25">
      <c r="A40" s="940" t="s">
        <v>705</v>
      </c>
      <c r="B40" s="939">
        <v>0</v>
      </c>
      <c r="C40" s="1043">
        <v>50000</v>
      </c>
      <c r="D40" s="1042">
        <v>0</v>
      </c>
      <c r="E40" s="996">
        <v>0</v>
      </c>
      <c r="F40" s="995"/>
      <c r="G40" s="994"/>
      <c r="H40" s="993"/>
      <c r="I40" s="1041"/>
      <c r="J40" s="983"/>
      <c r="K40" s="938"/>
      <c r="L40" s="981"/>
      <c r="M40" s="981"/>
    </row>
    <row r="41" spans="1:13" ht="31.5" hidden="1" customHeight="1" x14ac:dyDescent="0.25">
      <c r="A41" s="940" t="s">
        <v>704</v>
      </c>
      <c r="B41" s="1043">
        <v>0</v>
      </c>
      <c r="C41" s="1043">
        <v>10000</v>
      </c>
      <c r="D41" s="1042">
        <v>10000</v>
      </c>
      <c r="E41" s="996">
        <v>0</v>
      </c>
      <c r="F41" s="995"/>
      <c r="G41" s="994"/>
      <c r="H41" s="993"/>
      <c r="I41" s="1041"/>
      <c r="J41" s="983"/>
      <c r="K41" s="938"/>
      <c r="L41" s="981"/>
      <c r="M41" s="981"/>
    </row>
    <row r="42" spans="1:13" ht="35.25" hidden="1" customHeight="1" x14ac:dyDescent="0.25">
      <c r="A42" s="940" t="s">
        <v>703</v>
      </c>
      <c r="B42" s="939">
        <v>0</v>
      </c>
      <c r="C42" s="1043">
        <v>40000</v>
      </c>
      <c r="D42" s="1042">
        <v>0</v>
      </c>
      <c r="E42" s="996">
        <v>0</v>
      </c>
      <c r="F42" s="995"/>
      <c r="G42" s="994"/>
      <c r="H42" s="993"/>
      <c r="I42" s="1041"/>
      <c r="J42" s="983"/>
      <c r="K42" s="938"/>
      <c r="L42" s="981"/>
      <c r="M42" s="981"/>
    </row>
    <row r="43" spans="1:13" s="1032" customFormat="1" ht="16.5" customHeight="1" x14ac:dyDescent="0.25">
      <c r="A43" s="1040" t="s">
        <v>702</v>
      </c>
      <c r="B43" s="1039">
        <v>15260</v>
      </c>
      <c r="C43" s="1038">
        <v>15260</v>
      </c>
      <c r="D43" s="1037">
        <v>15260</v>
      </c>
      <c r="E43" s="1036">
        <v>15260</v>
      </c>
      <c r="F43" s="1035"/>
      <c r="G43" s="1019">
        <v>16385</v>
      </c>
      <c r="H43" s="1018">
        <v>1125</v>
      </c>
      <c r="I43" s="1034">
        <v>16385</v>
      </c>
      <c r="J43" s="1016"/>
      <c r="K43" s="1017">
        <v>24932</v>
      </c>
      <c r="L43" s="1033">
        <v>24932</v>
      </c>
      <c r="M43" s="1033">
        <v>0</v>
      </c>
    </row>
    <row r="44" spans="1:13" ht="0.75" customHeight="1" x14ac:dyDescent="0.25">
      <c r="A44" s="1031" t="s">
        <v>701</v>
      </c>
      <c r="B44" s="1030">
        <v>15000</v>
      </c>
      <c r="C44" s="1029">
        <v>15000</v>
      </c>
      <c r="D44" s="983">
        <v>0</v>
      </c>
      <c r="E44" s="1026">
        <v>0</v>
      </c>
      <c r="F44" s="1025"/>
      <c r="G44" s="1009"/>
      <c r="H44" s="1012"/>
      <c r="I44" s="1024"/>
      <c r="J44" s="983"/>
      <c r="K44" s="1017"/>
      <c r="L44" s="999"/>
      <c r="M44" s="999"/>
    </row>
    <row r="45" spans="1:13" ht="29.25" hidden="1" customHeight="1" x14ac:dyDescent="0.25">
      <c r="A45" s="1031" t="s">
        <v>187</v>
      </c>
      <c r="B45" s="1030">
        <v>60000</v>
      </c>
      <c r="C45" s="1029">
        <v>60000</v>
      </c>
      <c r="D45" s="983">
        <v>60000</v>
      </c>
      <c r="E45" s="1026">
        <v>60000</v>
      </c>
      <c r="F45" s="1025">
        <v>-60000</v>
      </c>
      <c r="G45" s="1009"/>
      <c r="H45" s="1012"/>
      <c r="I45" s="1024"/>
      <c r="J45" s="983"/>
      <c r="K45" s="1017"/>
      <c r="L45" s="999"/>
      <c r="M45" s="999"/>
    </row>
    <row r="46" spans="1:13" ht="28.5" customHeight="1" x14ac:dyDescent="0.25">
      <c r="A46" s="1031" t="s">
        <v>700</v>
      </c>
      <c r="B46" s="1030">
        <v>10000</v>
      </c>
      <c r="C46" s="1029">
        <v>10000</v>
      </c>
      <c r="D46" s="983">
        <v>10000</v>
      </c>
      <c r="E46" s="1026">
        <v>5000</v>
      </c>
      <c r="F46" s="1025"/>
      <c r="G46" s="1009">
        <v>2875</v>
      </c>
      <c r="H46" s="1012">
        <f>-(1125+1000)</f>
        <v>-2125</v>
      </c>
      <c r="I46" s="1024">
        <v>0</v>
      </c>
      <c r="J46" s="983"/>
      <c r="K46" s="1017">
        <v>2875</v>
      </c>
      <c r="L46" s="999">
        <v>0</v>
      </c>
      <c r="M46" s="999">
        <v>0</v>
      </c>
    </row>
    <row r="47" spans="1:13" ht="27.75" hidden="1" customHeight="1" x14ac:dyDescent="0.25">
      <c r="A47" s="1027" t="s">
        <v>699</v>
      </c>
      <c r="B47" s="1030">
        <v>6000</v>
      </c>
      <c r="C47" s="1029">
        <v>6000</v>
      </c>
      <c r="D47" s="983">
        <v>0</v>
      </c>
      <c r="E47" s="1026">
        <v>0</v>
      </c>
      <c r="F47" s="1025"/>
      <c r="G47" s="1009"/>
      <c r="H47" s="1012"/>
      <c r="I47" s="1024"/>
      <c r="J47" s="983"/>
      <c r="K47" s="1017"/>
      <c r="L47" s="999"/>
      <c r="M47" s="999"/>
    </row>
    <row r="48" spans="1:13" ht="15" x14ac:dyDescent="0.25">
      <c r="A48" s="1028" t="s">
        <v>698</v>
      </c>
      <c r="B48" s="1030">
        <v>835</v>
      </c>
      <c r="C48" s="1029">
        <v>835</v>
      </c>
      <c r="D48" s="983">
        <v>835</v>
      </c>
      <c r="E48" s="1026">
        <v>835</v>
      </c>
      <c r="F48" s="1025">
        <v>-635</v>
      </c>
      <c r="G48" s="1009">
        <v>68</v>
      </c>
      <c r="H48" s="1012">
        <v>-132</v>
      </c>
      <c r="I48" s="1024">
        <v>0</v>
      </c>
      <c r="J48" s="983">
        <v>0</v>
      </c>
      <c r="K48" s="1017">
        <v>68</v>
      </c>
      <c r="L48" s="999">
        <v>0</v>
      </c>
      <c r="M48" s="999">
        <v>0</v>
      </c>
    </row>
    <row r="49" spans="1:13" ht="17.25" customHeight="1" x14ac:dyDescent="0.25">
      <c r="A49" s="1028" t="s">
        <v>697</v>
      </c>
      <c r="B49" s="1030">
        <v>400</v>
      </c>
      <c r="C49" s="1029">
        <v>400</v>
      </c>
      <c r="D49" s="983">
        <v>400</v>
      </c>
      <c r="E49" s="1026">
        <v>400</v>
      </c>
      <c r="F49" s="1025">
        <v>-200</v>
      </c>
      <c r="G49" s="1009">
        <v>200</v>
      </c>
      <c r="H49" s="1012"/>
      <c r="I49" s="1024">
        <v>0</v>
      </c>
      <c r="J49" s="983">
        <v>0</v>
      </c>
      <c r="K49" s="1017">
        <v>200</v>
      </c>
      <c r="L49" s="999">
        <v>0</v>
      </c>
      <c r="M49" s="999">
        <v>0</v>
      </c>
    </row>
    <row r="50" spans="1:13" ht="22.5" hidden="1" customHeight="1" x14ac:dyDescent="0.25">
      <c r="A50" s="1028" t="s">
        <v>696</v>
      </c>
      <c r="B50" s="925"/>
      <c r="C50" s="1007"/>
      <c r="D50" s="1006"/>
      <c r="E50" s="1026">
        <v>3000</v>
      </c>
      <c r="F50" s="1025">
        <v>-3000</v>
      </c>
      <c r="G50" s="1009"/>
      <c r="H50" s="1012"/>
      <c r="I50" s="1024">
        <v>0</v>
      </c>
      <c r="J50" s="983">
        <v>1086</v>
      </c>
      <c r="K50" s="1017"/>
      <c r="L50" s="999"/>
      <c r="M50" s="999"/>
    </row>
    <row r="51" spans="1:13" ht="15" x14ac:dyDescent="0.25">
      <c r="A51" s="1027" t="s">
        <v>695</v>
      </c>
      <c r="B51" s="925"/>
      <c r="C51" s="1007"/>
      <c r="D51" s="1006"/>
      <c r="E51" s="1026">
        <v>0</v>
      </c>
      <c r="F51" s="1025">
        <v>141</v>
      </c>
      <c r="G51" s="1009">
        <v>141</v>
      </c>
      <c r="H51" s="1012"/>
      <c r="I51" s="1024">
        <v>0</v>
      </c>
      <c r="J51" s="983">
        <v>0</v>
      </c>
      <c r="K51" s="1017">
        <v>141</v>
      </c>
      <c r="L51" s="999">
        <v>141</v>
      </c>
      <c r="M51" s="999">
        <v>0</v>
      </c>
    </row>
    <row r="52" spans="1:13" ht="15.75" customHeight="1" x14ac:dyDescent="0.25">
      <c r="A52" s="1027" t="s">
        <v>694</v>
      </c>
      <c r="B52" s="925"/>
      <c r="C52" s="1007"/>
      <c r="D52" s="1006"/>
      <c r="E52" s="1026">
        <v>0</v>
      </c>
      <c r="F52" s="1025"/>
      <c r="G52" s="1009">
        <v>6530</v>
      </c>
      <c r="H52" s="1012">
        <v>6530</v>
      </c>
      <c r="I52" s="1024">
        <v>6530</v>
      </c>
      <c r="J52" s="983">
        <v>0</v>
      </c>
      <c r="K52" s="1017">
        <v>6530</v>
      </c>
      <c r="L52" s="999">
        <v>6530</v>
      </c>
      <c r="M52" s="999">
        <v>0</v>
      </c>
    </row>
    <row r="53" spans="1:13" ht="15" customHeight="1" x14ac:dyDescent="0.25">
      <c r="A53" s="1027" t="s">
        <v>693</v>
      </c>
      <c r="B53" s="925"/>
      <c r="C53" s="1007"/>
      <c r="D53" s="1006"/>
      <c r="E53" s="1026">
        <v>0</v>
      </c>
      <c r="F53" s="1025"/>
      <c r="G53" s="1009">
        <v>607</v>
      </c>
      <c r="H53" s="1012">
        <v>607</v>
      </c>
      <c r="I53" s="1024">
        <v>607</v>
      </c>
      <c r="J53" s="983"/>
      <c r="K53" s="1017">
        <v>607</v>
      </c>
      <c r="L53" s="999">
        <v>607</v>
      </c>
      <c r="M53" s="999">
        <v>0</v>
      </c>
    </row>
    <row r="54" spans="1:13" ht="18.75" customHeight="1" x14ac:dyDescent="0.25">
      <c r="A54" s="1027" t="s">
        <v>692</v>
      </c>
      <c r="B54" s="925"/>
      <c r="C54" s="1007"/>
      <c r="D54" s="1006"/>
      <c r="E54" s="1026">
        <v>0</v>
      </c>
      <c r="F54" s="1025"/>
      <c r="G54" s="1009">
        <v>199</v>
      </c>
      <c r="H54" s="1012">
        <v>199</v>
      </c>
      <c r="I54" s="1024">
        <v>199</v>
      </c>
      <c r="J54" s="983"/>
      <c r="K54" s="1017">
        <v>199</v>
      </c>
      <c r="L54" s="999">
        <v>199</v>
      </c>
      <c r="M54" s="999">
        <v>0</v>
      </c>
    </row>
    <row r="55" spans="1:13" ht="18" customHeight="1" x14ac:dyDescent="0.25">
      <c r="A55" s="931" t="s">
        <v>691</v>
      </c>
      <c r="B55" s="925"/>
      <c r="C55" s="1007"/>
      <c r="D55" s="1006"/>
      <c r="E55" s="1005">
        <v>0</v>
      </c>
      <c r="F55" s="1004"/>
      <c r="G55" s="1009">
        <v>2500</v>
      </c>
      <c r="H55" s="1012">
        <v>2500</v>
      </c>
      <c r="I55" s="1001"/>
      <c r="J55" s="983"/>
      <c r="K55" s="1017">
        <v>2500</v>
      </c>
      <c r="L55" s="999">
        <v>0</v>
      </c>
      <c r="M55" s="999">
        <v>0</v>
      </c>
    </row>
    <row r="56" spans="1:13" ht="15" customHeight="1" x14ac:dyDescent="0.25">
      <c r="A56" s="931" t="s">
        <v>690</v>
      </c>
      <c r="B56" s="925"/>
      <c r="C56" s="1007"/>
      <c r="D56" s="1006"/>
      <c r="E56" s="1005">
        <v>0</v>
      </c>
      <c r="F56" s="1004"/>
      <c r="G56" s="1009">
        <v>129754</v>
      </c>
      <c r="H56" s="1012">
        <v>129754</v>
      </c>
      <c r="I56" s="1001"/>
      <c r="J56" s="983"/>
      <c r="K56" s="1017">
        <v>129754</v>
      </c>
      <c r="L56" s="999">
        <v>0</v>
      </c>
      <c r="M56" s="999">
        <v>0</v>
      </c>
    </row>
    <row r="57" spans="1:13" s="1013" customFormat="1" ht="18" customHeight="1" x14ac:dyDescent="0.25">
      <c r="A57" s="847" t="s">
        <v>689</v>
      </c>
      <c r="B57" s="846"/>
      <c r="C57" s="1023"/>
      <c r="D57" s="1022"/>
      <c r="E57" s="1021"/>
      <c r="F57" s="1020"/>
      <c r="G57" s="1019">
        <v>0</v>
      </c>
      <c r="H57" s="1018"/>
      <c r="I57" s="1017"/>
      <c r="J57" s="1016"/>
      <c r="K57" s="1015">
        <v>426</v>
      </c>
      <c r="L57" s="1014">
        <v>0</v>
      </c>
      <c r="M57" s="1014">
        <v>426</v>
      </c>
    </row>
    <row r="58" spans="1:13" s="1013" customFormat="1" ht="19.5" customHeight="1" x14ac:dyDescent="0.25">
      <c r="A58" s="847" t="s">
        <v>688</v>
      </c>
      <c r="B58" s="846"/>
      <c r="C58" s="1023"/>
      <c r="D58" s="1022"/>
      <c r="E58" s="1021"/>
      <c r="F58" s="1020"/>
      <c r="G58" s="1019">
        <v>0</v>
      </c>
      <c r="H58" s="1018"/>
      <c r="I58" s="1017"/>
      <c r="J58" s="1016"/>
      <c r="K58" s="1015">
        <v>627</v>
      </c>
      <c r="L58" s="1014">
        <v>0</v>
      </c>
      <c r="M58" s="1014">
        <v>627</v>
      </c>
    </row>
    <row r="59" spans="1:13" ht="17.25" customHeight="1" x14ac:dyDescent="0.25">
      <c r="A59" s="931"/>
      <c r="B59" s="925"/>
      <c r="C59" s="1007"/>
      <c r="D59" s="1006"/>
      <c r="E59" s="1005"/>
      <c r="F59" s="1004"/>
      <c r="G59" s="1009"/>
      <c r="H59" s="1012"/>
      <c r="I59" s="1001"/>
      <c r="J59" s="983">
        <v>0</v>
      </c>
      <c r="K59" s="1000"/>
      <c r="L59" s="999"/>
      <c r="M59" s="999"/>
    </row>
    <row r="60" spans="1:13" ht="19.5" customHeight="1" x14ac:dyDescent="0.25">
      <c r="A60" s="926" t="s">
        <v>70</v>
      </c>
      <c r="B60" s="943">
        <f t="shared" ref="B60:G60" si="1">SUM(B62)</f>
        <v>0</v>
      </c>
      <c r="C60" s="943">
        <f t="shared" si="1"/>
        <v>0</v>
      </c>
      <c r="D60" s="921">
        <f t="shared" si="1"/>
        <v>0</v>
      </c>
      <c r="E60" s="920">
        <f t="shared" si="1"/>
        <v>0</v>
      </c>
      <c r="F60" s="998">
        <f t="shared" si="1"/>
        <v>0</v>
      </c>
      <c r="G60" s="919">
        <f t="shared" si="1"/>
        <v>0</v>
      </c>
      <c r="H60" s="919">
        <v>0</v>
      </c>
      <c r="I60" s="918">
        <f>SUM(I62)</f>
        <v>0</v>
      </c>
      <c r="J60" s="983">
        <v>0</v>
      </c>
      <c r="K60" s="918">
        <f>SUM(K62)</f>
        <v>0</v>
      </c>
      <c r="L60" s="919">
        <f>SUM(L62)</f>
        <v>0</v>
      </c>
      <c r="M60" s="918">
        <f>SUM(M62)</f>
        <v>0</v>
      </c>
    </row>
    <row r="61" spans="1:13" ht="18" customHeight="1" x14ac:dyDescent="0.25">
      <c r="A61" s="931"/>
      <c r="B61" s="925"/>
      <c r="C61" s="1007"/>
      <c r="D61" s="1006"/>
      <c r="E61" s="1005"/>
      <c r="F61" s="1004"/>
      <c r="G61" s="1003"/>
      <c r="H61" s="1002"/>
      <c r="I61" s="1001"/>
      <c r="J61" s="983">
        <v>0</v>
      </c>
      <c r="K61" s="1000"/>
      <c r="L61" s="999"/>
      <c r="M61" s="999"/>
    </row>
    <row r="62" spans="1:13" ht="15" x14ac:dyDescent="0.25">
      <c r="A62" s="1011" t="s">
        <v>571</v>
      </c>
      <c r="B62" s="1010">
        <v>0</v>
      </c>
      <c r="C62" s="1007">
        <v>0</v>
      </c>
      <c r="D62" s="1006">
        <v>0</v>
      </c>
      <c r="E62" s="1005">
        <v>0</v>
      </c>
      <c r="F62" s="1004"/>
      <c r="G62" s="1003">
        <v>0</v>
      </c>
      <c r="H62" s="1002">
        <v>0</v>
      </c>
      <c r="I62" s="1001">
        <v>0</v>
      </c>
      <c r="J62" s="983">
        <v>215</v>
      </c>
      <c r="K62" s="1001">
        <v>0</v>
      </c>
      <c r="L62" s="1009">
        <v>0</v>
      </c>
      <c r="M62" s="1001">
        <v>0</v>
      </c>
    </row>
    <row r="63" spans="1:13" ht="18" customHeight="1" x14ac:dyDescent="0.25">
      <c r="A63" s="1008"/>
      <c r="B63" s="1007"/>
      <c r="C63" s="1007"/>
      <c r="D63" s="1006"/>
      <c r="E63" s="1005"/>
      <c r="F63" s="1004"/>
      <c r="G63" s="1003"/>
      <c r="H63" s="1002"/>
      <c r="I63" s="1001"/>
      <c r="J63" s="983">
        <v>0</v>
      </c>
      <c r="K63" s="1000"/>
      <c r="L63" s="999"/>
      <c r="M63" s="999"/>
    </row>
    <row r="64" spans="1:13" ht="16.5" customHeight="1" x14ac:dyDescent="0.25">
      <c r="A64" s="926" t="s">
        <v>561</v>
      </c>
      <c r="B64" s="943">
        <f t="shared" ref="B64:G64" si="2">SUM(B65:B73)</f>
        <v>31677</v>
      </c>
      <c r="C64" s="943">
        <f t="shared" si="2"/>
        <v>11677</v>
      </c>
      <c r="D64" s="921">
        <f t="shared" si="2"/>
        <v>11677</v>
      </c>
      <c r="E64" s="920">
        <f t="shared" si="2"/>
        <v>11677</v>
      </c>
      <c r="F64" s="998">
        <f t="shared" si="2"/>
        <v>0</v>
      </c>
      <c r="G64" s="919">
        <f t="shared" si="2"/>
        <v>12047</v>
      </c>
      <c r="H64" s="997"/>
      <c r="I64" s="918">
        <f>SUM(I65:I73)</f>
        <v>0</v>
      </c>
      <c r="J64" s="983">
        <v>0</v>
      </c>
      <c r="K64" s="918">
        <f>SUM(K65:K73)</f>
        <v>12048</v>
      </c>
      <c r="L64" s="919">
        <f>SUM(L65:L73)</f>
        <v>0</v>
      </c>
      <c r="M64" s="918">
        <f>SUM(M65:M73)</f>
        <v>0</v>
      </c>
    </row>
    <row r="65" spans="1:13" ht="14.25" customHeight="1" x14ac:dyDescent="0.25">
      <c r="A65" s="931" t="s">
        <v>687</v>
      </c>
      <c r="B65" s="925">
        <v>600</v>
      </c>
      <c r="C65" s="991">
        <v>600</v>
      </c>
      <c r="D65" s="990">
        <v>600</v>
      </c>
      <c r="E65" s="996">
        <v>600</v>
      </c>
      <c r="F65" s="995"/>
      <c r="G65" s="994">
        <v>600</v>
      </c>
      <c r="H65" s="993"/>
      <c r="I65" s="984">
        <v>0</v>
      </c>
      <c r="J65" s="983">
        <v>5000</v>
      </c>
      <c r="K65" s="982">
        <v>601</v>
      </c>
      <c r="L65" s="981"/>
      <c r="M65" s="981"/>
    </row>
    <row r="66" spans="1:13" ht="17.25" customHeight="1" x14ac:dyDescent="0.25">
      <c r="A66" s="931" t="s">
        <v>686</v>
      </c>
      <c r="B66" s="925">
        <v>1100</v>
      </c>
      <c r="C66" s="991">
        <v>1100</v>
      </c>
      <c r="D66" s="990">
        <v>1100</v>
      </c>
      <c r="E66" s="996">
        <v>1100</v>
      </c>
      <c r="F66" s="995"/>
      <c r="G66" s="994">
        <v>1470</v>
      </c>
      <c r="H66" s="993"/>
      <c r="I66" s="984">
        <v>0</v>
      </c>
      <c r="J66" s="983">
        <v>0</v>
      </c>
      <c r="K66" s="982">
        <v>1470</v>
      </c>
      <c r="L66" s="981"/>
      <c r="M66" s="981"/>
    </row>
    <row r="67" spans="1:13" ht="18" customHeight="1" x14ac:dyDescent="0.25">
      <c r="A67" s="931" t="s">
        <v>685</v>
      </c>
      <c r="B67" s="925">
        <v>500</v>
      </c>
      <c r="C67" s="991">
        <v>500</v>
      </c>
      <c r="D67" s="990">
        <v>500</v>
      </c>
      <c r="E67" s="996">
        <v>500</v>
      </c>
      <c r="F67" s="995"/>
      <c r="G67" s="994">
        <v>500</v>
      </c>
      <c r="H67" s="993"/>
      <c r="I67" s="984">
        <v>0</v>
      </c>
      <c r="J67" s="983">
        <v>0</v>
      </c>
      <c r="K67" s="982">
        <v>500</v>
      </c>
      <c r="L67" s="981"/>
      <c r="M67" s="981"/>
    </row>
    <row r="68" spans="1:13" ht="16.5" customHeight="1" x14ac:dyDescent="0.25">
      <c r="A68" s="992" t="s">
        <v>684</v>
      </c>
      <c r="B68" s="925">
        <v>677</v>
      </c>
      <c r="C68" s="991">
        <v>677</v>
      </c>
      <c r="D68" s="990">
        <v>677</v>
      </c>
      <c r="E68" s="996">
        <v>677</v>
      </c>
      <c r="F68" s="995"/>
      <c r="G68" s="994">
        <v>677</v>
      </c>
      <c r="H68" s="993"/>
      <c r="I68" s="984">
        <v>0</v>
      </c>
      <c r="J68" s="983"/>
      <c r="K68" s="982">
        <v>677</v>
      </c>
      <c r="L68" s="981"/>
      <c r="M68" s="981"/>
    </row>
    <row r="69" spans="1:13" ht="18" customHeight="1" x14ac:dyDescent="0.25">
      <c r="A69" s="992" t="s">
        <v>683</v>
      </c>
      <c r="B69" s="925">
        <v>1800</v>
      </c>
      <c r="C69" s="991">
        <v>1800</v>
      </c>
      <c r="D69" s="990">
        <v>1800</v>
      </c>
      <c r="E69" s="996">
        <v>1800</v>
      </c>
      <c r="F69" s="995"/>
      <c r="G69" s="994">
        <v>1800</v>
      </c>
      <c r="H69" s="993"/>
      <c r="I69" s="984">
        <v>0</v>
      </c>
      <c r="J69" s="983"/>
      <c r="K69" s="982">
        <v>1800</v>
      </c>
      <c r="L69" s="981"/>
      <c r="M69" s="981"/>
    </row>
    <row r="70" spans="1:13" ht="15" x14ac:dyDescent="0.25">
      <c r="A70" s="992" t="s">
        <v>682</v>
      </c>
      <c r="B70" s="925">
        <v>2500</v>
      </c>
      <c r="C70" s="991">
        <v>2500</v>
      </c>
      <c r="D70" s="990">
        <v>2500</v>
      </c>
      <c r="E70" s="996">
        <v>2500</v>
      </c>
      <c r="F70" s="995"/>
      <c r="G70" s="994">
        <v>2500</v>
      </c>
      <c r="H70" s="993"/>
      <c r="I70" s="984">
        <v>0</v>
      </c>
      <c r="J70" s="983">
        <v>4409</v>
      </c>
      <c r="K70" s="982">
        <v>2500</v>
      </c>
      <c r="L70" s="981"/>
      <c r="M70" s="981"/>
    </row>
    <row r="71" spans="1:13" ht="16.5" customHeight="1" x14ac:dyDescent="0.25">
      <c r="A71" s="992" t="s">
        <v>681</v>
      </c>
      <c r="B71" s="925">
        <v>2000</v>
      </c>
      <c r="C71" s="991">
        <v>2000</v>
      </c>
      <c r="D71" s="990">
        <v>2000</v>
      </c>
      <c r="E71" s="996">
        <v>2000</v>
      </c>
      <c r="F71" s="995"/>
      <c r="G71" s="994">
        <v>2000</v>
      </c>
      <c r="H71" s="993"/>
      <c r="I71" s="984">
        <v>0</v>
      </c>
      <c r="J71" s="983"/>
      <c r="K71" s="982">
        <v>2000</v>
      </c>
      <c r="L71" s="981"/>
      <c r="M71" s="981"/>
    </row>
    <row r="72" spans="1:13" ht="15" x14ac:dyDescent="0.25">
      <c r="A72" s="992" t="s">
        <v>680</v>
      </c>
      <c r="B72" s="925">
        <v>2500</v>
      </c>
      <c r="C72" s="991">
        <v>2500</v>
      </c>
      <c r="D72" s="990">
        <v>2500</v>
      </c>
      <c r="E72" s="996">
        <v>2500</v>
      </c>
      <c r="F72" s="995"/>
      <c r="G72" s="994">
        <v>2500</v>
      </c>
      <c r="H72" s="993"/>
      <c r="I72" s="984">
        <v>0</v>
      </c>
      <c r="J72" s="983">
        <v>0</v>
      </c>
      <c r="K72" s="982">
        <v>2500</v>
      </c>
      <c r="L72" s="981"/>
      <c r="M72" s="981"/>
    </row>
    <row r="73" spans="1:13" ht="15" x14ac:dyDescent="0.25">
      <c r="A73" s="992" t="s">
        <v>679</v>
      </c>
      <c r="B73" s="925">
        <v>20000</v>
      </c>
      <c r="C73" s="991">
        <v>0</v>
      </c>
      <c r="D73" s="990">
        <v>0</v>
      </c>
      <c r="E73" s="989">
        <v>0</v>
      </c>
      <c r="F73" s="988"/>
      <c r="G73" s="986">
        <v>0</v>
      </c>
      <c r="H73" s="985"/>
      <c r="I73" s="984">
        <v>0</v>
      </c>
      <c r="J73" s="983">
        <v>0</v>
      </c>
      <c r="K73" s="982">
        <v>0</v>
      </c>
      <c r="L73" s="981"/>
      <c r="M73" s="981"/>
    </row>
    <row r="74" spans="1:13" ht="15" x14ac:dyDescent="0.25">
      <c r="A74" s="931"/>
      <c r="B74" s="925"/>
      <c r="C74" s="991"/>
      <c r="D74" s="990"/>
      <c r="E74" s="989"/>
      <c r="F74" s="988"/>
      <c r="G74" s="986"/>
      <c r="H74" s="985"/>
      <c r="I74" s="984"/>
      <c r="J74" s="983">
        <v>0</v>
      </c>
      <c r="K74" s="982"/>
      <c r="L74" s="981"/>
      <c r="M74" s="981"/>
    </row>
    <row r="75" spans="1:13" ht="15.75" thickBot="1" x14ac:dyDescent="0.3">
      <c r="A75" s="980" t="s">
        <v>98</v>
      </c>
      <c r="B75" s="979">
        <f>SUM(B6,B60,B64)</f>
        <v>578942</v>
      </c>
      <c r="C75" s="979">
        <f>SUM(C6,C60,C64)</f>
        <v>906513</v>
      </c>
      <c r="D75" s="975">
        <f>SUM(D6,D60,D64)</f>
        <v>347834</v>
      </c>
      <c r="E75" s="978">
        <f>SUM(E6,E60,E64)</f>
        <v>256799</v>
      </c>
      <c r="F75" s="977">
        <f>SUM(F6,F60,F64)</f>
        <v>-113529</v>
      </c>
      <c r="G75" s="976">
        <f>SUM(G6,J60,G64)</f>
        <v>327641</v>
      </c>
      <c r="H75" s="973"/>
      <c r="I75" s="975">
        <f>SUM(I6,'[11]8. sz. melléklet'!K58,I64)</f>
        <v>31316</v>
      </c>
      <c r="J75" s="974">
        <v>0</v>
      </c>
      <c r="K75" s="972">
        <f>SUM(K6,N60,K64)</f>
        <v>319622</v>
      </c>
      <c r="L75" s="973">
        <f>SUM(L6,O60,L64)</f>
        <v>52564</v>
      </c>
      <c r="M75" s="972">
        <f>SUM(M6,P60,M64)</f>
        <v>44136</v>
      </c>
    </row>
  </sheetData>
  <mergeCells count="2">
    <mergeCell ref="A1:I1"/>
    <mergeCell ref="A2:I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74" fitToHeight="0" orientation="portrait" r:id="rId1"/>
  <headerFooter>
    <oddHeader xml:space="preserve">&amp;L8. melléklet a 28/2017.(XII.21.)önkormányzati rendelethez
8. melléklet a 24/2016.(XII.16.)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18</vt:i4>
      </vt:variant>
    </vt:vector>
  </HeadingPairs>
  <TitlesOfParts>
    <vt:vector size="36" baseType="lpstr">
      <vt:lpstr>1. sz. melléklet</vt:lpstr>
      <vt:lpstr>2. sz. melléklet</vt:lpstr>
      <vt:lpstr>3. sz. melléklet</vt:lpstr>
      <vt:lpstr>4.sz. melléklet</vt:lpstr>
      <vt:lpstr>5.sz.melléklet Önkormányzat </vt:lpstr>
      <vt:lpstr>5.sz.melléklet Közös Hivata </vt:lpstr>
      <vt:lpstr>6__sz__melléklet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</vt:lpstr>
      <vt:lpstr>15. sz. melléklet</vt:lpstr>
      <vt:lpstr>16. sz. melléklet</vt:lpstr>
      <vt:lpstr>'10. sz. melléklet'!Nyomtatási_cím</vt:lpstr>
      <vt:lpstr>'5.sz.melléklet Közös Hivata '!Nyomtatási_cím</vt:lpstr>
      <vt:lpstr>'5.sz.melléklet Önkormányzat '!Nyomtatási_cím</vt:lpstr>
      <vt:lpstr>'7. sz. melléklet'!Nyomtatási_cím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 2. oldal'!Nyomtatási_terület</vt:lpstr>
      <vt:lpstr>'14. sz. melléklet'!Nyomtatási_terület</vt:lpstr>
      <vt:lpstr>'15. sz. melléklet'!Nyomtatási_terület</vt:lpstr>
      <vt:lpstr>'16. sz. melléklet'!Nyomtatási_terület</vt:lpstr>
      <vt:lpstr>'2. sz. melléklet'!Nyomtatási_terület</vt:lpstr>
      <vt:lpstr>'3. sz. melléklet'!Nyomtatási_terület</vt:lpstr>
      <vt:lpstr>'4.sz. melléklet'!Nyomtatási_terület</vt:lpstr>
      <vt:lpstr>'7. sz. melléklet'!Nyomtatási_terület</vt:lpstr>
      <vt:lpstr>'8.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sarkozyklara</cp:lastModifiedBy>
  <cp:lastPrinted>2017-12-07T13:19:49Z</cp:lastPrinted>
  <dcterms:created xsi:type="dcterms:W3CDTF">2016-03-22T13:59:53Z</dcterms:created>
  <dcterms:modified xsi:type="dcterms:W3CDTF">2017-12-21T13:56:19Z</dcterms:modified>
  <cp:contentStatus/>
</cp:coreProperties>
</file>