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95" activeTab="10"/>
  </bookViews>
  <sheets>
    <sheet name="1. bevételek" sheetId="1" r:id="rId1"/>
    <sheet name="2. kiadások" sheetId="2" r:id="rId2"/>
    <sheet name="3.műk.-felh." sheetId="3" r:id="rId3"/>
    <sheet name="4.önkorm.szakf. " sheetId="4" r:id="rId4"/>
    <sheet name="5. kiadások megbontása" sheetId="5" r:id="rId5"/>
    <sheet name="6. források sz. bontás" sheetId="6" r:id="rId6"/>
    <sheet name="7. létszámok" sheetId="7" r:id="rId7"/>
    <sheet name="8.felhki" sheetId="8" r:id="rId8"/>
    <sheet name="9.tart" sheetId="9" r:id="rId9"/>
    <sheet name="10. Stab.tv.saját bev" sheetId="10" r:id="rId10"/>
    <sheet name="11.normatívák" sheetId="11" r:id="rId11"/>
  </sheets>
  <definedNames>
    <definedName name="_xlnm.Print_Titles" localSheetId="0">'1. bevételek'!$5:$6</definedName>
    <definedName name="_xlnm.Print_Titles" localSheetId="10">'11.normatívák'!$5:$6</definedName>
    <definedName name="_xlnm.Print_Titles" localSheetId="1">'2. kiadások'!$5:$6</definedName>
    <definedName name="_xlnm.Print_Titles" localSheetId="2">'3.műk.-felh.'!$4:$5</definedName>
    <definedName name="_xlnm.Print_Titles" localSheetId="3">'4.önkorm.szakf. '!$4:$7</definedName>
    <definedName name="_xlnm.Print_Titles" localSheetId="4">'5. kiadások megbontása'!$5:$8</definedName>
    <definedName name="_xlnm.Print_Titles" localSheetId="8">'9.tart'!$7:$7</definedName>
    <definedName name="_xlnm.Print_Area" localSheetId="0">'1. bevételek'!$A$1:$I$198</definedName>
    <definedName name="_xlnm.Print_Area" localSheetId="9">'10. Stab.tv.saját bev'!$A$1:$I$15</definedName>
    <definedName name="_xlnm.Print_Area" localSheetId="10">'11.normatívák'!$A$1:$L$46</definedName>
    <definedName name="_xlnm.Print_Area" localSheetId="1">'2. kiadások'!$A$1:$I$152</definedName>
    <definedName name="_xlnm.Print_Area" localSheetId="3">'4.önkorm.szakf. '!$D$1:$W$46</definedName>
    <definedName name="_xlnm.Print_Area" localSheetId="4">'5. kiadások megbontása'!$A$1:$M$68</definedName>
    <definedName name="_xlnm.Print_Area" localSheetId="5">'6. források sz. bontás'!$A$1:$AC$52</definedName>
    <definedName name="_xlnm.Print_Area" localSheetId="7">'8.felhki'!$A$1:$D$54</definedName>
  </definedNames>
  <calcPr fullCalcOnLoad="1"/>
</workbook>
</file>

<file path=xl/sharedStrings.xml><?xml version="1.0" encoding="utf-8"?>
<sst xmlns="http://schemas.openxmlformats.org/spreadsheetml/2006/main" count="1580" uniqueCount="1062">
  <si>
    <t>Rovatok megnevezése</t>
  </si>
  <si>
    <t>K1</t>
  </si>
  <si>
    <t>K11</t>
  </si>
  <si>
    <t>Foglalkoztatottak személyi juttatásai</t>
  </si>
  <si>
    <t>K1101</t>
  </si>
  <si>
    <t>Törvény szerinti illetmények, munkabérek</t>
  </si>
  <si>
    <t>K1104</t>
  </si>
  <si>
    <t>Készenléti, ügyeleti, helyettesítési díj, túlóra, túlszolgálat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</si>
  <si>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</si>
  <si>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</si>
  <si>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</si>
  <si>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</si>
  <si>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</si>
  <si>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</si>
  <si>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</si>
  <si>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</si>
  <si>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</si>
  <si>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</si>
  <si>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ebből:</t>
  </si>
  <si>
    <t>biztosítási díjak</t>
  </si>
  <si>
    <t>K12</t>
  </si>
  <si>
    <t>Külső személyi juttatások</t>
  </si>
  <si>
    <t>K121</t>
  </si>
  <si>
    <t>Választott tisztségviselők juttatásai</t>
  </si>
  <si>
    <t>K122</t>
  </si>
  <si>
    <t>Munkavégzésre irányuló egyéb jogvisz-ban nem saját foglalkoztatottnak fizetett juttatások</t>
  </si>
  <si>
    <t>K123</t>
  </si>
  <si>
    <t>Egyéb külső személyi juttatások</t>
  </si>
  <si>
    <t>K2</t>
  </si>
  <si>
    <t>Munkaadókat terhelő járulékok és szoc. hozzájárulási adó</t>
  </si>
  <si>
    <t>szociális hozzájárulási adó</t>
  </si>
  <si>
    <t>rehabilitációs hozzájárulás</t>
  </si>
  <si>
    <t>korkedvezmény-biztosítási járulék</t>
  </si>
  <si>
    <t>egészségügyi hozzájárulás</t>
  </si>
  <si>
    <t>munkáltatót terhelő SZJA</t>
  </si>
  <si>
    <t>K3</t>
  </si>
  <si>
    <t>Dologi kiadások</t>
  </si>
  <si>
    <t>K31</t>
  </si>
  <si>
    <t>Készletbeszerzés</t>
  </si>
  <si>
    <t>K311</t>
  </si>
  <si>
    <t>Szakmai anyagok beszerzése</t>
  </si>
  <si>
    <t>K312</t>
  </si>
  <si>
    <t>Üzemeltetési anyagok beszerzése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</si>
  <si>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</si>
  <si>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</si>
  <si>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</si>
  <si>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</si>
  <si>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</si>
  <si>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</si>
  <si>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</si>
  <si>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</si>
  <si>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</si>
  <si>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</si>
  <si>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</si>
  <si>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</si>
  <si>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távhő- és melegvíz</t>
  </si>
  <si>
    <t>víz- és csatornadíjak</t>
  </si>
  <si>
    <t>K332</t>
  </si>
  <si>
    <t>Vásárolt élelmezés</t>
  </si>
  <si>
    <t>K333</t>
  </si>
  <si>
    <t>Bérleti és lízingdíjak</t>
  </si>
  <si>
    <t>K334</t>
  </si>
  <si>
    <t>Karbantartási, kisjavítási szolgáltatások</t>
  </si>
  <si>
    <t>K335</t>
  </si>
  <si>
    <t>Közvetített szolgáltatások</t>
  </si>
  <si>
    <t>államháztartáson belül</t>
  </si>
  <si>
    <t>K336</t>
  </si>
  <si>
    <t>Szakmai tevékenységet segítő szolgáltatások</t>
  </si>
  <si>
    <t>K337</t>
  </si>
  <si>
    <t>Egyéb szolgáltatások</t>
  </si>
  <si>
    <t>K34</t>
  </si>
  <si>
    <t>Kiküldetések, reklám- és propagandakiadások</t>
  </si>
  <si>
    <t>K341</t>
  </si>
  <si>
    <t>Kiküldetések kiadásai</t>
  </si>
  <si>
    <t>K342</t>
  </si>
  <si>
    <t>Reklám- és propagandakiadások</t>
  </si>
  <si>
    <t>K35</t>
  </si>
  <si>
    <t>Különféle befizetések és egyéb dologi kiadások</t>
  </si>
  <si>
    <t>K351</t>
  </si>
  <si>
    <t>Működési célú előzetesen felszámított áfa</t>
  </si>
  <si>
    <t>K352</t>
  </si>
  <si>
    <t>Fizetendő általános forgalmi adó</t>
  </si>
  <si>
    <t>K355</t>
  </si>
  <si>
    <t>Egyéb dologi kiadások</t>
  </si>
  <si>
    <t>K4</t>
  </si>
  <si>
    <t>Ellátottak pénzbeli juttatásai</t>
  </si>
  <si>
    <t>K41</t>
  </si>
  <si>
    <t>Társadalombiztosítási ellátások</t>
  </si>
  <si>
    <t>K42</t>
  </si>
  <si>
    <t>Családi támogatások</t>
  </si>
  <si>
    <t>Pénzbeli és természetbeni gyermekvédelmi támogatások</t>
  </si>
  <si>
    <t>kiegészítő gyermekvédelmi támogatás és a kieg. gyermekvédelmi tám. pótléka Gyvt. 20/B. §</t>
  </si>
  <si>
    <t>Intézményi ellátottak pénzbeli juttatásai</t>
  </si>
  <si>
    <t>1. Működési célú támogatások államháztartáson belülről</t>
  </si>
  <si>
    <t>1.1. Önkormányzatok működési támogatásai</t>
  </si>
  <si>
    <t>1.2. Műk. c. visszatérítendő tám., kölcsönök v.térülése állh-on bel.</t>
  </si>
  <si>
    <t>1.3. Egyéb műk. c. támogatások bevételei állh.-on belülről</t>
  </si>
  <si>
    <t>1.Felhalm. célú támogatások államháztartáson belülről</t>
  </si>
  <si>
    <t>1.1. Felhalmozási célú önkormányzati támogatások</t>
  </si>
  <si>
    <t>1.2. Egyéb felh. c. támogatások bevételei államházt.-on belülről</t>
  </si>
  <si>
    <t>2. Közhatalmi bevételek</t>
  </si>
  <si>
    <t>2.3. Egyéb közhatalmi bevételek</t>
  </si>
  <si>
    <t>3. Működési bevételek</t>
  </si>
  <si>
    <t>3.2. Szolgáltatások ellenértéke</t>
  </si>
  <si>
    <t>3.3. Közvetített szolgáltatások ellenértéke</t>
  </si>
  <si>
    <t>3.5. Ellátási díjak</t>
  </si>
  <si>
    <t>3.6. Kiszámlázott általános forgalmi adó</t>
  </si>
  <si>
    <t>3.7. Kamatbevételek</t>
  </si>
  <si>
    <t>3.8. Egyéb működési bevételek</t>
  </si>
  <si>
    <t>2. Felhalmozási bevételek</t>
  </si>
  <si>
    <t>2.1. Immateriális javak értékesítése</t>
  </si>
  <si>
    <t>2.2. Ingatlanok értékesítése</t>
  </si>
  <si>
    <t>2.3. Egyéb tárgyi eszközök értékesítése</t>
  </si>
  <si>
    <t>2.4. Részesedések értékesítése</t>
  </si>
  <si>
    <t>4. Működési célú átvett pénzeszközök</t>
  </si>
  <si>
    <t>4.1. Műk. c. vtérítendő támog., kölcsönök vtérülése állh.-on kív.</t>
  </si>
  <si>
    <t>4.2. Egyéb műk. c. átvett pénzeszközök</t>
  </si>
  <si>
    <t>3.  Felhalmozási célú átvett pénzeszközök</t>
  </si>
  <si>
    <t>ebből működési</t>
  </si>
  <si>
    <t>ebből felhalmozási</t>
  </si>
  <si>
    <t>3.1. Felh. c. vtérítendő támog., kölcsönök vtérülése állh.-on kív.</t>
  </si>
  <si>
    <t>3.2. Egyéb felh. c. átvett pénzeszközök</t>
  </si>
  <si>
    <t>VI. Hitel-, kölcsönfelvétel államháztartáson kívülről</t>
  </si>
  <si>
    <t>V.Belföldi értékpapírok bevételei</t>
  </si>
  <si>
    <t>2. Munkaadót terhelő járulékok és szoc. hozzájárulási adó</t>
  </si>
  <si>
    <t xml:space="preserve">3. Dologi kiadások </t>
  </si>
  <si>
    <t>4. Ellátottak pénzbeli juttatásai</t>
  </si>
  <si>
    <t>5.1. Egyéb műk. célú támogatások államh.-on belülre</t>
  </si>
  <si>
    <t>5.3. Egyéb műk. célú támogatások államh.-on kívülre</t>
  </si>
  <si>
    <t>5. Egyéb működési célú kiadások</t>
  </si>
  <si>
    <t>5.4. Tartalékok</t>
  </si>
  <si>
    <t>1. Beruházások</t>
  </si>
  <si>
    <t>2. Felújítások</t>
  </si>
  <si>
    <t>3. Egyéb felhalmozási célú kiadások</t>
  </si>
  <si>
    <t>3.1. Felh. c. v.tér. tám. kölcs. nyújt. állh.-on belülre</t>
  </si>
  <si>
    <t>3.2. Felh. c. v.tér. tám. kölcs. törl. állh.-on belülre</t>
  </si>
  <si>
    <t>3.3. Egyéb felh. c. támogatások állh-on belülre</t>
  </si>
  <si>
    <t>2.2. Belföldi gépjárművek adójának helyi önk-t megillető része</t>
  </si>
  <si>
    <t>3.4. Felh. c. v.tér. tám. kölcs. nyújt. állh.-on kívülre</t>
  </si>
  <si>
    <t>3.5. Egyéb felh. c. támogatások állh-on kívülre</t>
  </si>
  <si>
    <t>Viziközmű fejl. tartalék</t>
  </si>
  <si>
    <t>051030</t>
  </si>
  <si>
    <t>Nem veszélyes (települési) hulladék vegyes begyűjtése, szállítása, átrakása</t>
  </si>
  <si>
    <t>051060</t>
  </si>
  <si>
    <t>052080</t>
  </si>
  <si>
    <t>045160</t>
  </si>
  <si>
    <t>081071</t>
  </si>
  <si>
    <t>013350</t>
  </si>
  <si>
    <t>Önk-i vagyonnal való gazdálkodással kapcs. feladatok</t>
  </si>
  <si>
    <t>013360</t>
  </si>
  <si>
    <t>Más szerv részére végzett pü-i gazd-i, üzemeltetési, egyéb szolg.</t>
  </si>
  <si>
    <t>066010</t>
  </si>
  <si>
    <t>011130</t>
  </si>
  <si>
    <t>Önk-ok és önk-i hivatalok jogalkotói és ált. igazgatási tevékenysége</t>
  </si>
  <si>
    <t>016080</t>
  </si>
  <si>
    <t>064010</t>
  </si>
  <si>
    <t>066020</t>
  </si>
  <si>
    <t>900070</t>
  </si>
  <si>
    <t>032020</t>
  </si>
  <si>
    <t>Tűz- és katasztrófavédelmi tevékenységek</t>
  </si>
  <si>
    <t>047410</t>
  </si>
  <si>
    <t>Ár- és belvízvédelemmel összefüggő tevékenységek</t>
  </si>
  <si>
    <t>091140</t>
  </si>
  <si>
    <t>072111</t>
  </si>
  <si>
    <t>072112</t>
  </si>
  <si>
    <t>072311</t>
  </si>
  <si>
    <t>074031</t>
  </si>
  <si>
    <t>102021</t>
  </si>
  <si>
    <t>107013</t>
  </si>
  <si>
    <t>Hajléktalanok átmeneti ellátása</t>
  </si>
  <si>
    <t>102030</t>
  </si>
  <si>
    <t>Idősek, demens betegek nappali ellátása</t>
  </si>
  <si>
    <t>104042</t>
  </si>
  <si>
    <t>Gyermekjóléti szolgáltatások</t>
  </si>
  <si>
    <t>107015</t>
  </si>
  <si>
    <t>Hajléktalanok nappali ellátása</t>
  </si>
  <si>
    <t>107051</t>
  </si>
  <si>
    <t>107052</t>
  </si>
  <si>
    <t>107054</t>
  </si>
  <si>
    <t>104060</t>
  </si>
  <si>
    <t>107060</t>
  </si>
  <si>
    <t>082044</t>
  </si>
  <si>
    <t>082061</t>
  </si>
  <si>
    <t>082092</t>
  </si>
  <si>
    <t>Hagyományos közösségi kult. értékek gondozása - Közművelődés</t>
  </si>
  <si>
    <t>081030</t>
  </si>
  <si>
    <t>Sportlétesítmények, edzőtáborok működtetése és fejlesztése</t>
  </si>
  <si>
    <t>Város-,  községgazdálkodási egyéb szolg.</t>
  </si>
  <si>
    <t>Időskorúak, demens betegek  tartós bentlakásos ellátása</t>
  </si>
  <si>
    <t xml:space="preserve">Hajléktalanok átmeneti ellátása </t>
  </si>
  <si>
    <t>Múzeumi, gyűjteményi tevékenység</t>
  </si>
  <si>
    <t xml:space="preserve">működési </t>
  </si>
  <si>
    <t>felhalmozási</t>
  </si>
  <si>
    <t>össz.</t>
  </si>
  <si>
    <t>Mötv. 13.§(1)2.11. 9.12.5</t>
  </si>
  <si>
    <t>Mötv. 13.§(1)13</t>
  </si>
  <si>
    <t>Ttv. 2.§(2) Mötv. 13.§(1)12</t>
  </si>
  <si>
    <t>Mötv. 13.§(1) 10</t>
  </si>
  <si>
    <t>Mötv. 13.§(1) 7</t>
  </si>
  <si>
    <t>Lakásfenntartással, lakhatással összefüggő ellátások</t>
  </si>
  <si>
    <t>Jánoshalma Városi Önkormányzat</t>
  </si>
  <si>
    <t>Költségvetési egyenleg</t>
  </si>
  <si>
    <t>működési</t>
  </si>
  <si>
    <t>összesen</t>
  </si>
  <si>
    <t>Lakott külterülettel kapcsolatos feladatok támogatása</t>
  </si>
  <si>
    <t>Homokértékesítés bevétele</t>
  </si>
  <si>
    <t xml:space="preserve"> </t>
  </si>
  <si>
    <t>Ingatlan, termőföld értékesítés</t>
  </si>
  <si>
    <t>Állami feladat kiadása</t>
  </si>
  <si>
    <t>Önkormányzat kiadásai összesen:</t>
  </si>
  <si>
    <t>Központi ktgv.-i támogatás össz.:</t>
  </si>
  <si>
    <t>Átvett pénzeszköz összesen:</t>
  </si>
  <si>
    <t>Saját bevétel összesen:</t>
  </si>
  <si>
    <t>Jh.-i Polgármesteri Hivatal</t>
  </si>
  <si>
    <t>Jh.-i Polgárm. Hiv. kiadásai össz.:</t>
  </si>
  <si>
    <t>Gyermeklánc Óvoda és Egységes Óvoda-Bölcsőde kiadásai összesen:</t>
  </si>
  <si>
    <t>Központi ktgv.-i támog. mindössz.:</t>
  </si>
  <si>
    <t>Átvett pénzeszköz mindösszesen:</t>
  </si>
  <si>
    <t>Saját bevétel mindösszesen:</t>
  </si>
  <si>
    <t>BEVÉTELEK</t>
  </si>
  <si>
    <t>felhalm.</t>
  </si>
  <si>
    <t>Kötelező feladatok</t>
  </si>
  <si>
    <t>Önkormányzat</t>
  </si>
  <si>
    <t>Gyermeklánc Óvoda és Bölcsőde</t>
  </si>
  <si>
    <t>Önként vállalt feladatok</t>
  </si>
  <si>
    <t>Állami feladatok</t>
  </si>
  <si>
    <t>MINDÖSSZESEN:</t>
  </si>
  <si>
    <t>Földalapú támogatás</t>
  </si>
  <si>
    <t>Bérleti díj bevételek</t>
  </si>
  <si>
    <t>Továbbszámlázott közüzemi díjak és vagyonbizt. díjak bevételei</t>
  </si>
  <si>
    <t>Gyermekétkeztetés tám. - fin. szempontjából elismert dolgozók bértámogatása (óvoda)</t>
  </si>
  <si>
    <t>Kieg. RGYVK címén kifizetett összeg és kapcsolódó pótlék megtérítése</t>
  </si>
  <si>
    <t>RGYVK-hoz kapcs. természetb. j. (Erzsébet utalvány) megtérítése</t>
  </si>
  <si>
    <t>Takarítási szolgáltatás díjbevétele</t>
  </si>
  <si>
    <t>Felhalmozás célú támogatás államháztartáson kívülre</t>
  </si>
  <si>
    <t>2.1. Helyi adók és adójellegű bevételek</t>
  </si>
  <si>
    <t>Település-üzemeltetéshez kapcsolódó feladatellátás támogatása</t>
  </si>
  <si>
    <t>Egyéb önkormányzati feladatok támogatása</t>
  </si>
  <si>
    <t>A települési önkormányzatok egyes köznevelési feladatainak támogatása</t>
  </si>
  <si>
    <t>Óvodapedagógusok, és az óvodapedagógusok nevelő munkáját közvetlenül segítők bértámogatása</t>
  </si>
  <si>
    <t>II.1 (3)</t>
  </si>
  <si>
    <t>A települési önkormányzatok szociális, gyermekjóléti és gyermekétkeztetési feladatainak támogatása</t>
  </si>
  <si>
    <t>III.5</t>
  </si>
  <si>
    <t>Gyermekétkeztetés támogatása</t>
  </si>
  <si>
    <t>III.5.b</t>
  </si>
  <si>
    <t>Gyermekétkeztetés üzemeltetési támogatása</t>
  </si>
  <si>
    <t>Települési önkormányzatok nyilvános könyvtári és közművelődési feladatainak támogatása</t>
  </si>
  <si>
    <t>Központi költségvetési támogatások mindösszesen:</t>
  </si>
  <si>
    <t>Műk. célú tám. ÁH-on belülre</t>
  </si>
  <si>
    <t>Műk. célú tám. ÁH-on kívülre</t>
  </si>
  <si>
    <t>Felh. célú tám. ÁH-on kívülre</t>
  </si>
  <si>
    <t>K6</t>
  </si>
  <si>
    <t>Felújítások</t>
  </si>
  <si>
    <t>K7</t>
  </si>
  <si>
    <t>Egyéb felhalmozási célú kiadások</t>
  </si>
  <si>
    <t>K8</t>
  </si>
  <si>
    <t>Finanszírozási kiadások</t>
  </si>
  <si>
    <t>K9</t>
  </si>
  <si>
    <t>353/2011. (XII. 30.) Korm. rendelet 2.§ (1) bek. szerinti saját bevétel összege az adósságot keletkeztető ügyletek (viziközmű-társulati hitel kapcsán vállalt készfizető kezesség)  futamidejének végéig</t>
  </si>
  <si>
    <t>K43</t>
  </si>
  <si>
    <t>Pénzbeli kárpótlások, kártérítések</t>
  </si>
  <si>
    <t>K44</t>
  </si>
  <si>
    <t>Betegséggel kapcsolatos (nem TB) ellátások</t>
  </si>
  <si>
    <t>megváltozott munkaképességűek, ill. egészségkárosodottak kereset-kiegészítése</t>
  </si>
  <si>
    <t>helyi megállapítású közgyógyellátás (Szoctv. 50.§ (3) bek.)</t>
  </si>
  <si>
    <t>K45</t>
  </si>
  <si>
    <t>Foglalkoztatással, munkanélküliséggel kapcs. ellátások</t>
  </si>
  <si>
    <t>foglalkoztatást helyettesítő támogatás (Szoctv. 35.§ (1) bek.)</t>
  </si>
  <si>
    <t>K46</t>
  </si>
  <si>
    <t>Lakhatással kapcsolatos ellátások</t>
  </si>
  <si>
    <t>lakásfenntartási támogatás (Szoctv. 38.§(1) a, b, pontok)</t>
  </si>
  <si>
    <t>K47</t>
  </si>
  <si>
    <t>K48</t>
  </si>
  <si>
    <t>Egyéb nem intézményi ellátások</t>
  </si>
  <si>
    <t>K5</t>
  </si>
  <si>
    <t>Egyéb működési célú kiadások</t>
  </si>
  <si>
    <t>K501</t>
  </si>
  <si>
    <t>Nemzetközi kötelezettségek</t>
  </si>
  <si>
    <t>K502</t>
  </si>
  <si>
    <t>Elvonások és befizetések</t>
  </si>
  <si>
    <t>K503</t>
  </si>
  <si>
    <t>Műk. célú garancia- és kezességvállalásból szárm. Kif. Államháztartáson belülre</t>
  </si>
  <si>
    <t>K504</t>
  </si>
  <si>
    <t>Műk. c. visszatérítendő támogatások, kölcsönök nyújtása államháztartáson belülre</t>
  </si>
  <si>
    <t>a,</t>
  </si>
  <si>
    <t>központi költségvetési szervek</t>
  </si>
  <si>
    <t>b,</t>
  </si>
  <si>
    <t>központi kezelésű előirányzatok</t>
  </si>
  <si>
    <t>c,</t>
  </si>
  <si>
    <t>fejezeti kezelésű ei EU-s pr. és azok hazai társfin.</t>
  </si>
  <si>
    <t>d,</t>
  </si>
  <si>
    <t>egyéb fejezeti kezelésű előirányzatok</t>
  </si>
  <si>
    <t>e,</t>
  </si>
  <si>
    <t>TB pénzügyi alapjai</t>
  </si>
  <si>
    <t xml:space="preserve">f, </t>
  </si>
  <si>
    <t>elkülönített állami pénzalapok</t>
  </si>
  <si>
    <t>g,</t>
  </si>
  <si>
    <t>helyi önkormányzatok és költségvetési szerveik</t>
  </si>
  <si>
    <t xml:space="preserve">h, </t>
  </si>
  <si>
    <t>társulások és költségvetési szerveik</t>
  </si>
  <si>
    <t xml:space="preserve">i, </t>
  </si>
  <si>
    <t>nemzetiségi önk-ok és költségvetési szerveik</t>
  </si>
  <si>
    <t>j,</t>
  </si>
  <si>
    <t>térségi fejleszt. tanácsok és költségvetési szerveik</t>
  </si>
  <si>
    <t>K505</t>
  </si>
  <si>
    <t>Műk. c. visszatérítendő támogatások, kölcsönök törtlesztése államháztartáson belülre</t>
  </si>
  <si>
    <t>K506</t>
  </si>
  <si>
    <t>Egyéb működési célú támogatások államháztartáson belülre</t>
  </si>
  <si>
    <t>K507</t>
  </si>
  <si>
    <t>Műk. c. garancia- és kezességv-ból származó kifizetés államháztartáson kívülre</t>
  </si>
  <si>
    <t>K508</t>
  </si>
  <si>
    <t>egyházi jogi személyek</t>
  </si>
  <si>
    <t>egyéb civil szervezetek</t>
  </si>
  <si>
    <t>háztartások</t>
  </si>
  <si>
    <t>pénzügyi vállalkozások</t>
  </si>
  <si>
    <t>állami többségi tul. -ú nem pénzügyi vállalkozások</t>
  </si>
  <si>
    <t>önk-i többségi tul.-ú nem pénzügyi vállalkozások</t>
  </si>
  <si>
    <t>egyéb vállalkozások</t>
  </si>
  <si>
    <t>Európai Unió</t>
  </si>
  <si>
    <t>kormányok és nemzetközi szervezetek</t>
  </si>
  <si>
    <t>egyéb külföldiek</t>
  </si>
  <si>
    <t>K509</t>
  </si>
  <si>
    <t>Árkiegészítések, átrtámogatások</t>
  </si>
  <si>
    <t>K510</t>
  </si>
  <si>
    <t>Kamattámogatások</t>
  </si>
  <si>
    <t>K511</t>
  </si>
  <si>
    <t>Egyéb műk. c. támogatások államháztartáson kívülre</t>
  </si>
  <si>
    <t>K512</t>
  </si>
  <si>
    <t>Tartalékok</t>
  </si>
  <si>
    <t>Céltartalék - Környezetvédelmi alap</t>
  </si>
  <si>
    <t>Fejlesztési c. tartalék- viziközművek fejlesztésére</t>
  </si>
  <si>
    <t>K61</t>
  </si>
  <si>
    <t>Immateriális javak beszerzése, létesítése</t>
  </si>
  <si>
    <t>K62</t>
  </si>
  <si>
    <t>Ingatlanok beszerzése, létesítése</t>
  </si>
  <si>
    <t xml:space="preserve">   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</si>
  <si>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</si>
  <si>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</si>
  <si>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</si>
  <si>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</si>
  <si>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</si>
  <si>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</si>
  <si>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</si>
  <si>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</si>
  <si>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</si>
  <si>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áfa</t>
  </si>
  <si>
    <t>K71</t>
  </si>
  <si>
    <t>Ingatlanok felújítása</t>
  </si>
  <si>
    <t>K72</t>
  </si>
  <si>
    <t>Infrormatikai eszközök felújítása</t>
  </si>
  <si>
    <t xml:space="preserve">K73 </t>
  </si>
  <si>
    <t>Egyéb tárgyi eszközök felújítása</t>
  </si>
  <si>
    <t>K74</t>
  </si>
  <si>
    <t>Felújítási célú előzetesen felszámított áfa</t>
  </si>
  <si>
    <t>K81</t>
  </si>
  <si>
    <t>Felhalm. c. garancia- és kez.váll-ból szárm. kif. állh-on belülre</t>
  </si>
  <si>
    <t>K82</t>
  </si>
  <si>
    <t>Felh. c. visszatér. tám, kölcsönök nyújt. állh-on belülre</t>
  </si>
  <si>
    <t>K83</t>
  </si>
  <si>
    <t>Felh. c. visszatér. tám, kölcsönök törl. állh-on belülre</t>
  </si>
  <si>
    <t>K84</t>
  </si>
  <si>
    <t>Egyéb felhalmozási c. támogatások állh-on belülre</t>
  </si>
  <si>
    <t>K85</t>
  </si>
  <si>
    <t>Felhalm. c. garancia- és kez.váll-ból szárm. kif. állh-on kívülre</t>
  </si>
  <si>
    <t>K86</t>
  </si>
  <si>
    <t>Felh. c. visszatér. tám, kölcsönök nyújt. állh-on kívülre</t>
  </si>
  <si>
    <t>K87</t>
  </si>
  <si>
    <t>Lakástámogatás</t>
  </si>
  <si>
    <t>K88</t>
  </si>
  <si>
    <t>Egyéb felhalmozási c. támogatások állh-on kívülre</t>
  </si>
  <si>
    <t>K91</t>
  </si>
  <si>
    <t>Belföldi finanszírozás kiadásai</t>
  </si>
  <si>
    <t>K92</t>
  </si>
  <si>
    <t>Külföldi finanszírozás kiadásai</t>
  </si>
  <si>
    <t>K93</t>
  </si>
  <si>
    <t>Adóssághoz nem kapcsolódó származékos ügyletek kiadásai</t>
  </si>
  <si>
    <t>Kiadások mindösszesen</t>
  </si>
  <si>
    <t>B1</t>
  </si>
  <si>
    <t>Működési célú támogatások államháztartáson belülről</t>
  </si>
  <si>
    <t>B11</t>
  </si>
  <si>
    <t>Önkormányzatok működési támogatásai</t>
  </si>
  <si>
    <t>B111</t>
  </si>
  <si>
    <t>B112</t>
  </si>
  <si>
    <t>Telep. önk-ok egyes köznevelési feladatainak támogatása</t>
  </si>
  <si>
    <t>B113</t>
  </si>
  <si>
    <t>B114</t>
  </si>
  <si>
    <t>Telep. önk-ok kulturális feladatainak támogatása</t>
  </si>
  <si>
    <t>B115</t>
  </si>
  <si>
    <t>B116</t>
  </si>
  <si>
    <t>B12</t>
  </si>
  <si>
    <t>Elvonások és befizetések bevételei</t>
  </si>
  <si>
    <t>B13</t>
  </si>
  <si>
    <t>Működési c. garancia- és kez.váll-ból szárm. megt. állh-on belülről</t>
  </si>
  <si>
    <t>B14</t>
  </si>
  <si>
    <t>Műk. c. visszatérítendő támogatások, kölcsönök vtérülése állh. bel.</t>
  </si>
  <si>
    <t>fejezeti kezelésű ei EU-s pr. és azok hazai társfinanszírozása</t>
  </si>
  <si>
    <t>B15</t>
  </si>
  <si>
    <t>Műk. c. visszatérítendő támogatások, kölcsönök igénybev. állh. bel.</t>
  </si>
  <si>
    <t>B16</t>
  </si>
  <si>
    <t>Egyéb műk. c. támogatások bevételei államházt.-on belülről</t>
  </si>
  <si>
    <t>B2</t>
  </si>
  <si>
    <t>Felhalm. célú támogatások államháztartáson belülről</t>
  </si>
  <si>
    <t>B21</t>
  </si>
  <si>
    <t>Felhalmozási c. önkormányzati támogatások</t>
  </si>
  <si>
    <t>B22</t>
  </si>
  <si>
    <t>Felhalm. c. garancia- és kez.váll-ból szárm. megt. állh-on belülről</t>
  </si>
  <si>
    <t>B23</t>
  </si>
  <si>
    <t>Felh. c. visszatérítendő támogatások, kölcsönök vtérülése állh. bel.</t>
  </si>
  <si>
    <t>B24</t>
  </si>
  <si>
    <t>Felh. c. visszatérítendő támogatások, kölcsönök igénybev. állh. bel.</t>
  </si>
  <si>
    <t>B25</t>
  </si>
  <si>
    <t>Egyéb felh. c. támogatások bevételei államházt.-on belülről</t>
  </si>
  <si>
    <t>B3</t>
  </si>
  <si>
    <t>Közhatalmi bevételek</t>
  </si>
  <si>
    <t>B31</t>
  </si>
  <si>
    <t>Jövedelemadók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</si>
  <si>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</si>
  <si>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</si>
  <si>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</si>
  <si>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</si>
  <si>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</si>
  <si>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típusú adók </t>
  </si>
  <si>
    <t>magánszemélyek kommunális adója</t>
  </si>
  <si>
    <t>telekadó</t>
  </si>
  <si>
    <t>B35</t>
  </si>
  <si>
    <t>Termékek és szolgáltatások adói</t>
  </si>
  <si>
    <t>B351</t>
  </si>
  <si>
    <t>Értékesítési és forgalmi adók</t>
  </si>
  <si>
    <t>állandó jelleggel végz. iparűz. tev. utáni helyi iparűzési adó</t>
  </si>
  <si>
    <t>ideigl. jell. végz. tev. utáni helyi iparűzési adó</t>
  </si>
  <si>
    <t>B352</t>
  </si>
  <si>
    <t>B353</t>
  </si>
  <si>
    <t>Pü-i monopóliumok nyereségét terhelő adók</t>
  </si>
  <si>
    <t>B354</t>
  </si>
  <si>
    <t>Gépjárműadók</t>
  </si>
  <si>
    <t>belföldi gépjárművek adójának helyi önk-t megillető része</t>
  </si>
  <si>
    <t>B355</t>
  </si>
  <si>
    <t>Egyéb áruhasználati és szolgáltatási adók</t>
  </si>
  <si>
    <t>talajterhelési díj</t>
  </si>
  <si>
    <t>korábbi évek megszűnt adónemei áthúzódó bevételei</t>
  </si>
  <si>
    <t>B36</t>
  </si>
  <si>
    <t>Egyéb közhatalmi bevételek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</si>
  <si>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</si>
  <si>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</si>
  <si>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</si>
  <si>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</si>
  <si>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</si>
  <si>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építésügyi bírság</t>
  </si>
  <si>
    <t>szabálysértési pénz- és helyszíni bírság és a közlekedési szabályszegések után kiszabott közig. bírság önkormányzatot megillető része</t>
  </si>
  <si>
    <t>egyéb bírságok</t>
  </si>
  <si>
    <t>késedelmi és önellenőrzési pótlék</t>
  </si>
  <si>
    <t>B4</t>
  </si>
  <si>
    <t>Működési bevételek</t>
  </si>
  <si>
    <t>B401</t>
  </si>
  <si>
    <t>B402</t>
  </si>
  <si>
    <t>tárgyi eszközök bérbe adásából származó bevétel</t>
  </si>
  <si>
    <t>B403</t>
  </si>
  <si>
    <t>Közvetített szolgáltatások ellenértéke</t>
  </si>
  <si>
    <t>B404</t>
  </si>
  <si>
    <t>Tulajdonosi bevételek</t>
  </si>
  <si>
    <t>vadászati jog bérbeadásából származó bevétel</t>
  </si>
  <si>
    <t>önk-i vagyon vagyonkezelésbe adásából szárm. bevétel</t>
  </si>
  <si>
    <t>B405</t>
  </si>
  <si>
    <t>Ellátási díjak (pl. szociális és ellátotti étkeztetés díja)</t>
  </si>
  <si>
    <t>B406</t>
  </si>
  <si>
    <t>Kiszámlázott általános forgalmi adó</t>
  </si>
  <si>
    <t>B407</t>
  </si>
  <si>
    <t>Általános forgalmi adó visszatérítése</t>
  </si>
  <si>
    <t>B408</t>
  </si>
  <si>
    <t>B409</t>
  </si>
  <si>
    <t>B410</t>
  </si>
  <si>
    <t>B5</t>
  </si>
  <si>
    <t>Felhalmozási bevételek</t>
  </si>
  <si>
    <t>B51</t>
  </si>
  <si>
    <t>B52</t>
  </si>
  <si>
    <t>Ingatlanok értékesítése</t>
  </si>
  <si>
    <t>termőföld-eladás bevételei</t>
  </si>
  <si>
    <t>B53</t>
  </si>
  <si>
    <t>Egyéb tárgyi eszközök értékesítése</t>
  </si>
  <si>
    <t>B54</t>
  </si>
  <si>
    <t>Részesedések értékesítése</t>
  </si>
  <si>
    <t>B55</t>
  </si>
  <si>
    <t>Részesedések megszűnéséhez kapcsolódó bevételek</t>
  </si>
  <si>
    <t>B6</t>
  </si>
  <si>
    <t>Működési célú átvett pénzeszközök</t>
  </si>
  <si>
    <t>B61</t>
  </si>
  <si>
    <t>Működési c. garancia- és kez.váll-ból szárm. megt. állh-on kívülről</t>
  </si>
  <si>
    <t>B62</t>
  </si>
  <si>
    <t>Gyermekétkeztetés üzemeltetési támogatása (ált. isk. gimn.)</t>
  </si>
  <si>
    <t>Gyermekétkeztetés üzemeltetési tám.  (óvoda)</t>
  </si>
  <si>
    <t>3.7. Általános forgalmi adó visszatérítése</t>
  </si>
  <si>
    <t>Műk. c. visszatérítendő támogatások, kölcsönök vtérülése állh. kív.</t>
  </si>
  <si>
    <t>B63</t>
  </si>
  <si>
    <t>Egyéb műk. c. átvett pénzeszközök</t>
  </si>
  <si>
    <t>B7</t>
  </si>
  <si>
    <t>Felhalmozási célú átvett pénzeszközök</t>
  </si>
  <si>
    <t>B71</t>
  </si>
  <si>
    <t>Felhalm. c. garancia- és kez.váll-ból szárm. megt. állh-on kívülről</t>
  </si>
  <si>
    <t>B72</t>
  </si>
  <si>
    <t>Felhalm. c. v.térítendő támogatások, kölcsönök vtérülése állh. kív.</t>
  </si>
  <si>
    <t>B73</t>
  </si>
  <si>
    <t>Egyéb felhalm. c. átvett pénzeszközök</t>
  </si>
  <si>
    <t>B8</t>
  </si>
  <si>
    <t>Finanszírozási bevételek</t>
  </si>
  <si>
    <t>B81</t>
  </si>
  <si>
    <t>Belföldi finanszírozás bevételei</t>
  </si>
  <si>
    <t>B811</t>
  </si>
  <si>
    <t>B8111</t>
  </si>
  <si>
    <t>B8112</t>
  </si>
  <si>
    <t>Likviditási célú hitelek, kölcsönök felvétele pü-i vállalkozástól</t>
  </si>
  <si>
    <t>B8113</t>
  </si>
  <si>
    <t>B812</t>
  </si>
  <si>
    <t>Belföldi értékpapírok bevételei</t>
  </si>
  <si>
    <t>B813</t>
  </si>
  <si>
    <t>Maradvány igénybevétele</t>
  </si>
  <si>
    <t>B8131</t>
  </si>
  <si>
    <t>Előző év költségvetési maradványának igénybevétele</t>
  </si>
  <si>
    <t>B8132</t>
  </si>
  <si>
    <t>Előző év vállalkozási maradványának igénybevétele</t>
  </si>
  <si>
    <t>B814</t>
  </si>
  <si>
    <t>B815</t>
  </si>
  <si>
    <t>B816</t>
  </si>
  <si>
    <t>Központi, irányító szervi támogatás</t>
  </si>
  <si>
    <t>B817</t>
  </si>
  <si>
    <t>B818</t>
  </si>
  <si>
    <t>Központi költségvetés sajátos finanszírozási bevételei</t>
  </si>
  <si>
    <t>B82</t>
  </si>
  <si>
    <t>Külföldi finanszírozás bevételei</t>
  </si>
  <si>
    <t>B83</t>
  </si>
  <si>
    <t>Adóssághoz nem kapcsolódó származékos ügyletek bevételei</t>
  </si>
  <si>
    <t>V. Értékpapírok vásárlásának kiadása</t>
  </si>
  <si>
    <t>VI. Hitelek törlesztése és kötvénykibocsátás kiadásai</t>
  </si>
  <si>
    <t>II. Felhalmozási kiadások</t>
  </si>
  <si>
    <t>C. Költségvetési hiány belső finanszírozására szolgáló pénzforgalom nélküli bevételek</t>
  </si>
  <si>
    <t>D. Költségvetési hiány belső finanszírozását meghaladó összegének külső finanszírozására szolgáló bevételek</t>
  </si>
  <si>
    <t>E. Finanszírozási kiadások</t>
  </si>
  <si>
    <t>Össz.</t>
  </si>
  <si>
    <t>Felh. célú</t>
  </si>
  <si>
    <t>Műk. célú</t>
  </si>
  <si>
    <t>Szolgáltatások ellenértéke</t>
  </si>
  <si>
    <t>Immateriális javak értékesítése</t>
  </si>
  <si>
    <t>Beruházás</t>
  </si>
  <si>
    <t>Építményüzemeltetés</t>
  </si>
  <si>
    <t>- Gazdasági ügyintéző</t>
  </si>
  <si>
    <t>Közutak, alagutak üzemeltetése, fenntartása</t>
  </si>
  <si>
    <t>Munka-adót terh. jár.</t>
  </si>
  <si>
    <t>Személyi juttatások</t>
  </si>
  <si>
    <t>Kiadások mindösszesen: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</si>
  <si>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</si>
  <si>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</si>
  <si>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</si>
  <si>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</si>
  <si>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</si>
  <si>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</si>
  <si>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</si>
  <si>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</si>
  <si>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</si>
  <si>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</si>
  <si>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</si>
  <si>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</si>
  <si>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Kéleshalmi tagintézmény</t>
  </si>
  <si>
    <t>Diákélelmezési Konyha</t>
  </si>
  <si>
    <t>- Konyhavezető</t>
  </si>
  <si>
    <t>- Szakács</t>
  </si>
  <si>
    <t>- Konyhai kisegítő</t>
  </si>
  <si>
    <t>- Gépkocsi vezető</t>
  </si>
  <si>
    <t>- Takarítónő</t>
  </si>
  <si>
    <t>- Fűtő, karbantartó</t>
  </si>
  <si>
    <t>- Technikus</t>
  </si>
  <si>
    <t>- Tűzoltók (közalkalmazottak)</t>
  </si>
  <si>
    <t xml:space="preserve">Közfoglalkoztatás </t>
  </si>
  <si>
    <t>Ügyeleti Szolgálat</t>
  </si>
  <si>
    <t>- Ápolók</t>
  </si>
  <si>
    <t>- Gépkocsivezető</t>
  </si>
  <si>
    <t>Védőnői Szolgálat</t>
  </si>
  <si>
    <t>- Védőnők</t>
  </si>
  <si>
    <t>Megnevezés</t>
  </si>
  <si>
    <t>Kiadások</t>
  </si>
  <si>
    <t>Dologi kiadás</t>
  </si>
  <si>
    <t>Összesen:</t>
  </si>
  <si>
    <t>Mindösszesen:</t>
  </si>
  <si>
    <t>Mindösszesen</t>
  </si>
  <si>
    <t>E Ft-ban</t>
  </si>
  <si>
    <t>Beruházások</t>
  </si>
  <si>
    <t>Bevé-        telek</t>
  </si>
  <si>
    <t>K i a d á s b ó l</t>
  </si>
  <si>
    <t>Kiadások összesen</t>
  </si>
  <si>
    <t>Felú-  jítás</t>
  </si>
  <si>
    <t>Céltartalék (felhalmozási)</t>
  </si>
  <si>
    <t>adatok E Ft-ban</t>
  </si>
  <si>
    <t>Polgármesteri Hivatal</t>
  </si>
  <si>
    <t>Felújítás</t>
  </si>
  <si>
    <t>Összeg</t>
  </si>
  <si>
    <t>–</t>
  </si>
  <si>
    <t>Tervezett tartalékok</t>
  </si>
  <si>
    <t>Veszélyes hulladék kezelése, ártalmatlanítása</t>
  </si>
  <si>
    <t>Üdülői szálláshely-szolgáltatás</t>
  </si>
  <si>
    <t>Zöldterület kezelés</t>
  </si>
  <si>
    <t>Kiemelt állami és önkormányzati rendezvények</t>
  </si>
  <si>
    <t>Közvilágítás</t>
  </si>
  <si>
    <t>Fejezeti és általános tartalékok elszámolása</t>
  </si>
  <si>
    <t>Háziorvosi alapellátás</t>
  </si>
  <si>
    <t>Háziorvosi ügyeleti ellátás</t>
  </si>
  <si>
    <t>Fogorvosi alapellátás</t>
  </si>
  <si>
    <t>Könyvtári szolgáltatások</t>
  </si>
  <si>
    <t>Céltartalék (működési)</t>
  </si>
  <si>
    <t>Vis maior tartalék (működési)</t>
  </si>
  <si>
    <t>Tartalékok mindösszesen (I.+II.)</t>
  </si>
  <si>
    <t>Működési tartalékok összesen (I.):</t>
  </si>
  <si>
    <t>Felhalmozási tartalékok összesen (II.):</t>
  </si>
  <si>
    <t>Helyi önkormányzat összesen:</t>
  </si>
  <si>
    <t>I</t>
  </si>
  <si>
    <t>J</t>
  </si>
  <si>
    <t>K</t>
  </si>
  <si>
    <t>L</t>
  </si>
  <si>
    <t>M</t>
  </si>
  <si>
    <t>N</t>
  </si>
  <si>
    <t>O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</si>
  <si>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</si>
  <si>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</si>
  <si>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</si>
  <si>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</si>
  <si>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</si>
  <si>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</si>
  <si>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</si>
  <si>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</si>
  <si>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</si>
  <si>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</si>
  <si>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</si>
  <si>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</si>
  <si>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</si>
  <si>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</si>
  <si>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</si>
  <si>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</si>
  <si>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</si>
  <si>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</si>
  <si>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</si>
  <si>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</si>
  <si>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</si>
  <si>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</si>
  <si>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</si>
  <si>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28</t>
  </si>
  <si>
    <t>29</t>
  </si>
  <si>
    <t>30</t>
  </si>
  <si>
    <t>32</t>
  </si>
  <si>
    <t>Időszak</t>
  </si>
  <si>
    <t>5. bírság-, pótlék- és díjbevétel</t>
  </si>
  <si>
    <t>1. helyi adóból származó bevétel</t>
  </si>
  <si>
    <t>R</t>
  </si>
  <si>
    <t>2. önkormányzati  vagyon és az önkormányzatot megillető vagyoni értékű jog értékesítéséből és hasznosításából származó bevétel</t>
  </si>
  <si>
    <t>4. tárgyi eszköz és az immateriális jószág, részvény, részesedés, vállalat értékesítéséből vagy privatizációból származó bevétel</t>
  </si>
  <si>
    <t>6. kezességvállalással kapcsolatos megtérülés</t>
  </si>
  <si>
    <t>Az önkormányzat saját bevételének típusa</t>
  </si>
  <si>
    <t>Helyi önkorm. összesen:</t>
  </si>
  <si>
    <t xml:space="preserve">- Köztisztviselők                      </t>
  </si>
  <si>
    <t>Polgárm. Hiv. összesen:</t>
  </si>
  <si>
    <t>HELYI ÖNKORMÁNYZAT ÉS INTÉZMÉNYEI ÖSSZESEN:</t>
  </si>
  <si>
    <t>Összesen</t>
  </si>
  <si>
    <t>3. osztalék, koncessziós díj és hozambevétel</t>
  </si>
  <si>
    <t>Felújítási alap befizetési kötelezettség (vegyes tulajdonú társasházak)</t>
  </si>
  <si>
    <t>Fejlesztési célú támogatásértékű kiadások</t>
  </si>
  <si>
    <t>Fejlesztési célú tartalék</t>
  </si>
  <si>
    <t>Vis maior tartalék</t>
  </si>
  <si>
    <t>A</t>
  </si>
  <si>
    <t>B</t>
  </si>
  <si>
    <t>C</t>
  </si>
  <si>
    <t>D</t>
  </si>
  <si>
    <t>E</t>
  </si>
  <si>
    <t>F</t>
  </si>
  <si>
    <t>Ssz.</t>
  </si>
  <si>
    <t>Vis maior tartalék képzése</t>
  </si>
  <si>
    <t>G</t>
  </si>
  <si>
    <t>H</t>
  </si>
  <si>
    <t>33</t>
  </si>
  <si>
    <t>Család- és nővédelmi egészségügyi gondozás</t>
  </si>
  <si>
    <t>Körny. véd. alap</t>
  </si>
  <si>
    <t>Bevételek</t>
  </si>
  <si>
    <t>Bevételek mindösszesen:</t>
  </si>
  <si>
    <t>-</t>
  </si>
  <si>
    <t>Helyi önkormányzat</t>
  </si>
  <si>
    <t>2016. év</t>
  </si>
  <si>
    <t>2017. év</t>
  </si>
  <si>
    <t>2018. év</t>
  </si>
  <si>
    <t>2019. év</t>
  </si>
  <si>
    <t>2020. év</t>
  </si>
  <si>
    <t>2021. év</t>
  </si>
  <si>
    <t>2022. év</t>
  </si>
  <si>
    <t>Jogcím</t>
  </si>
  <si>
    <t>száma</t>
  </si>
  <si>
    <t>megnevezése</t>
  </si>
  <si>
    <t>mutató</t>
  </si>
  <si>
    <t>fajlagos Ft</t>
  </si>
  <si>
    <t>összeg         Ft</t>
  </si>
  <si>
    <t>mutató    (8 hó)</t>
  </si>
  <si>
    <t>mutató   (4 hó)</t>
  </si>
  <si>
    <t>xxx</t>
  </si>
  <si>
    <t>I. Működési bevételek</t>
  </si>
  <si>
    <t>Gyermekjóléti szolgáltatás</t>
  </si>
  <si>
    <t>Szociális étkeztetés</t>
  </si>
  <si>
    <t>Házi segítségnyújtás</t>
  </si>
  <si>
    <t>II. Felhalmozási bevételek</t>
  </si>
  <si>
    <t>I. Működési kiadások</t>
  </si>
  <si>
    <t>1. Személyi juttatások</t>
  </si>
  <si>
    <t>26</t>
  </si>
  <si>
    <t>Általános tartalék</t>
  </si>
  <si>
    <t>Általános tartalék képzése</t>
  </si>
  <si>
    <t>A települési önkormányzatok kulturális feladatainak támogatása</t>
  </si>
  <si>
    <t>Helyi Önkormányzat</t>
  </si>
  <si>
    <t xml:space="preserve">fajlagos Ft 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</si>
  <si>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</si>
  <si>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</si>
  <si>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</si>
  <si>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</si>
  <si>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</si>
  <si>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II.</t>
  </si>
  <si>
    <t>I.</t>
  </si>
  <si>
    <t>II.1</t>
  </si>
  <si>
    <t>Óvodapedagógusok bértámogatása</t>
  </si>
  <si>
    <t>II.1 (1)</t>
  </si>
  <si>
    <t>II.1 (2)</t>
  </si>
  <si>
    <t>II.2</t>
  </si>
  <si>
    <t>Óvodaműködtetési támogatás</t>
  </si>
  <si>
    <t>III.</t>
  </si>
  <si>
    <t>III.1</t>
  </si>
  <si>
    <t>III.2</t>
  </si>
  <si>
    <t>III.3</t>
  </si>
  <si>
    <t>Egyes szociális és gyermekjóléti feladatok támogatása</t>
  </si>
  <si>
    <t xml:space="preserve">Helyi önkormányzatok működésének általános támogatása </t>
  </si>
  <si>
    <t>IV.</t>
  </si>
  <si>
    <t>összeg Ft</t>
  </si>
  <si>
    <t>Ell.szám</t>
  </si>
  <si>
    <t>2. melléklet jogcímei mindösszesen:</t>
  </si>
  <si>
    <t>- Fizikai alkalmazottak                              (1 gk. vezető, 1 takarítónő)</t>
  </si>
  <si>
    <t>- Hentes</t>
  </si>
  <si>
    <t>KIADÁSOK</t>
  </si>
  <si>
    <t>Feladatellátás jogszabályi alapja</t>
  </si>
  <si>
    <t>Kötelező feladatok kiadása</t>
  </si>
  <si>
    <t>Önként vállalt feladatok kiadása</t>
  </si>
  <si>
    <t>Állami (államigazgatási) feladatok kiadása</t>
  </si>
  <si>
    <t>Mötv. 13.§(1) 19.</t>
  </si>
  <si>
    <t>Mötv. 13.§(1) 2.</t>
  </si>
  <si>
    <t>Mötv. 13.§(1) 9.</t>
  </si>
  <si>
    <t>Mötv. 13.§(1) 13.</t>
  </si>
  <si>
    <t>Mötv. 13.§(1) 11.</t>
  </si>
  <si>
    <t>23</t>
  </si>
  <si>
    <t>24</t>
  </si>
  <si>
    <t>25</t>
  </si>
  <si>
    <t>27</t>
  </si>
  <si>
    <t>Mötv. 13.§(1) 8., Gyvt.40.§ (1), Gyvt. 94.§(2a)</t>
  </si>
  <si>
    <t>31</t>
  </si>
  <si>
    <t>Szoc. tv. 86.§(1) d,</t>
  </si>
  <si>
    <t>Szoc. tv. 86.§(1) b,</t>
  </si>
  <si>
    <t>Szoc. tv. 86.§(1) c,</t>
  </si>
  <si>
    <t>34</t>
  </si>
  <si>
    <t>35</t>
  </si>
  <si>
    <t>36</t>
  </si>
  <si>
    <t>37</t>
  </si>
  <si>
    <t>38</t>
  </si>
  <si>
    <t>Mötv. 13.§(1) 7., Közműv. tv. 64.§(1)</t>
  </si>
  <si>
    <t>Mötv. 13.§(1) 7., Közműv. tv. 73.§(2)</t>
  </si>
  <si>
    <t>Mötv. 13.§(1) 15.</t>
  </si>
  <si>
    <t>Polgármesteri Hivatal összesen:</t>
  </si>
  <si>
    <t>Óvodai intézményi étkeztetés</t>
  </si>
  <si>
    <t>Óvodai nevelés, ellátás Jh.</t>
  </si>
  <si>
    <t>Mötv. 13.§(1) 6.</t>
  </si>
  <si>
    <t>Óvodai nevelés, ellátás Kéleshalom</t>
  </si>
  <si>
    <t>Önkormányzat mindösszesen:</t>
  </si>
  <si>
    <t>Mötv.</t>
  </si>
  <si>
    <t>2011. évi CLXXXIX. tv. Magyarország helyi önkormányzatairól</t>
  </si>
  <si>
    <t xml:space="preserve">Szoc. tv. </t>
  </si>
  <si>
    <t>1993. évi III. törvény a szociális igazgatásról és szociális ellátásokról</t>
  </si>
  <si>
    <t>Ttv.</t>
  </si>
  <si>
    <t xml:space="preserve">1996. évi XXXI. törvény a tűz elleni védekezésről, a műszaki mentésről és tűzoltóságról </t>
  </si>
  <si>
    <t xml:space="preserve">Gyvt. </t>
  </si>
  <si>
    <t>1997. évi XXXI. törvény a gyermekek védelméről és a gyámügyi igazgatásról</t>
  </si>
  <si>
    <t xml:space="preserve">Közműv. tv. </t>
  </si>
  <si>
    <t>1997. évi CXL. törvény a muzeális intézményekről, a nyilvános könyvtári ellátásról és a közművelődésről</t>
  </si>
  <si>
    <t>Központi költségvetési támogatás</t>
  </si>
  <si>
    <t>Átvett pénzeszközök</t>
  </si>
  <si>
    <t>Saját bevételek</t>
  </si>
  <si>
    <t>Bevételek összesen</t>
  </si>
  <si>
    <t>Helyi önkormányzatok működésének ált. támogatása</t>
  </si>
  <si>
    <t>Vizi-, szennyvízközművek bérleti díj bev.</t>
  </si>
  <si>
    <t>Ügyeleti ellátáshoz önkormányzatoktól átvett pénzeszk.</t>
  </si>
  <si>
    <t>Állati hullák ártalmatlanítás költségeiből továbbszámlázott bev.</t>
  </si>
  <si>
    <t>Ügyeleti ellátáshoz OEP-finanszírozás</t>
  </si>
  <si>
    <t>Étkeztetési, szállítási tevék. bevétele</t>
  </si>
  <si>
    <t>Család- és nővédelmi eü. gondozáshoz OEP-finanszírozás</t>
  </si>
  <si>
    <t>Lakbér bevételek</t>
  </si>
  <si>
    <t>Helyi adók, átengedett központi adók, talajterhelési díj, közigazgatási bírság bevétele</t>
  </si>
  <si>
    <t>Köztemetés kiadásának megtérítése</t>
  </si>
  <si>
    <t>Állami feladatok kiadása</t>
  </si>
  <si>
    <t>Tűzoltóság BM támogatása</t>
  </si>
  <si>
    <t>Építéshatósági eljárási díj</t>
  </si>
  <si>
    <t>Lakásfenntartási támogatás állami támogatása</t>
  </si>
  <si>
    <t>Anyakönyvi szolg. díjbevétele</t>
  </si>
  <si>
    <t>Továbbszámlázott szolg. bevételei</t>
  </si>
  <si>
    <t>Kamatbevételek</t>
  </si>
  <si>
    <t>Hadigondozotti ellátás állami támogatása</t>
  </si>
  <si>
    <t>Étkeztetéssel kapcsolatos térítési díj bevétel</t>
  </si>
  <si>
    <t>KÖZFOGLALKOZTATOTTAK LÉTSZÁMA ÖSSZESEN:</t>
  </si>
  <si>
    <t xml:space="preserve">A helyi önkormányzat és költségvetési szervei engedélyezett létszáma és a közfoglalkoztatottak létszáma </t>
  </si>
  <si>
    <t>IV. Előző évek pénzmaradványának (és váll. mar.) igénybevétele</t>
  </si>
  <si>
    <t>B. Költségvetési bevételek (I.+...+IV.)</t>
  </si>
  <si>
    <t>A. Költségvetési kiadások (I.+...+IV.)</t>
  </si>
  <si>
    <t>B. Költségvetési bevételek és A. költségvetési kiadások összesítésének egyenlege (hiány/többlet):</t>
  </si>
  <si>
    <t>I.1.a</t>
  </si>
  <si>
    <t>I.1.b</t>
  </si>
  <si>
    <t>I.1.ba</t>
  </si>
  <si>
    <t>I.1.bb</t>
  </si>
  <si>
    <t>I.1.bc</t>
  </si>
  <si>
    <t>I.1.bd</t>
  </si>
  <si>
    <t>I.1.c</t>
  </si>
  <si>
    <t>I.1.d</t>
  </si>
  <si>
    <t>I.6.</t>
  </si>
  <si>
    <t>II.4</t>
  </si>
  <si>
    <t>A köznevelési intézmények működtetéséhez kapcsolódó támogatás</t>
  </si>
  <si>
    <t>II.5</t>
  </si>
  <si>
    <t>Kiegészítő támogatás az óvodapedagógusok minősítéséből adódó többletkiadásokhoz</t>
  </si>
  <si>
    <t>Mesterpedagógus kategória</t>
  </si>
  <si>
    <t>Pénzbeli szociális ellátások kiegészítése</t>
  </si>
  <si>
    <t>A települési önkorm.-k szociális feladatainak egyéb támogatása</t>
  </si>
  <si>
    <t xml:space="preserve">A finanszírozás szempontjából elismert dolgozók bértámogatása                </t>
  </si>
  <si>
    <t xml:space="preserve">III.5.a </t>
  </si>
  <si>
    <t>IV.1.d</t>
  </si>
  <si>
    <t>IV.1</t>
  </si>
  <si>
    <t>Könyvtári, közművelődési és múzeumi feladatok támogatása</t>
  </si>
  <si>
    <t>önk-i többségi tulajdonú nem pénzügyi vállalkozások</t>
  </si>
  <si>
    <t>állami többségi tulajdonú nem pénzügyi vállalkozások</t>
  </si>
  <si>
    <t>K1103</t>
  </si>
  <si>
    <t xml:space="preserve"> Céljuttatás, projektprémium</t>
  </si>
  <si>
    <t>Műk. c. visszatérítendő támogatások, kölcsönök nyújtása államháztartáson kívülre g, egyéb vállalkoz</t>
  </si>
  <si>
    <t>3.4. Tulajdonosi bevételek</t>
  </si>
  <si>
    <t>082030</t>
  </si>
  <si>
    <t>082042</t>
  </si>
  <si>
    <t>Konyha</t>
  </si>
  <si>
    <t>Más szerv részére végzett pü-i, gazd-i, üzemeltetési, egyéb szolg. - Építményüzemeltetés</t>
  </si>
  <si>
    <t>Közutak, hidak, alagutak üzemeltetése, fenntartása</t>
  </si>
  <si>
    <t>Zöldterület -kezelés</t>
  </si>
  <si>
    <t>Város-, községgazdálkodási egyéb szolgáltatások</t>
  </si>
  <si>
    <t>Üdülői szálláshely-szolgáltatás és étkeztetés</t>
  </si>
  <si>
    <t>Könyvtári állomány gyarapítása, nyilvántartása</t>
  </si>
  <si>
    <t>Közművelődés- hagyományos közösségi kulturális értékek gondozása</t>
  </si>
  <si>
    <t>Időskorúak, demens betegek tartós bentlakásos ellátása</t>
  </si>
  <si>
    <t>Egyéb szociális pénzbeli ellátások, támogatások</t>
  </si>
  <si>
    <t>Eü Közp. kölcs. vfiz. -fejl. tartalék</t>
  </si>
  <si>
    <t>Nyitnikék Gyerekház</t>
  </si>
  <si>
    <t>Fejlesztési c. tartalék - Eü-i Közp. kölcsön visszafiz.</t>
  </si>
  <si>
    <t>Szociális feladatok egyéb támogatása</t>
  </si>
  <si>
    <t>Gyermekétk. - fin. szempontjából elismert dolgozók bértámogatása (ált. isk, gimn.)</t>
  </si>
  <si>
    <t>Kölcsön visszatérülés- Ivóvízmin. jav. Társulás</t>
  </si>
  <si>
    <t>Kölcsön visszatérülés- Viziközmű Társulat</t>
  </si>
  <si>
    <t>Kölcsön visszatérülés- Eü-i Központ</t>
  </si>
  <si>
    <t>Nyitnikék Gyerekház fejezeti támogatása</t>
  </si>
  <si>
    <t>Rövid időtartamú közfoglalkoztatás támogatása</t>
  </si>
  <si>
    <t>Ingatlan értékesítés áfa-ja</t>
  </si>
  <si>
    <t>Terményértékesítés (búza, kukorica stb.)</t>
  </si>
  <si>
    <t>Műk. c. pm. igénybevétel</t>
  </si>
  <si>
    <t>Fejlesztési c. céltartalék - Egészségügyi Központ kölcsön visszafizetéséből</t>
  </si>
  <si>
    <t>5.2. Műk. c. v.térítendő támogatások, kölcs. nyújt. állh-on kívül</t>
  </si>
  <si>
    <t>Telep. önk-ok szoc. és gyermekjóléti és gyermekétk. feladatainak tám.</t>
  </si>
  <si>
    <t>Műk. célú költségvetési tám. és kiegészítő tám.</t>
  </si>
  <si>
    <t>Elszámolásból származó bevételek</t>
  </si>
  <si>
    <t>Készletértékesítés ellenértéke</t>
  </si>
  <si>
    <t>önk-i vagyon üzemeltetéséből, koncesszióból származó bevétel</t>
  </si>
  <si>
    <t>önk-i többségi tulaljdonú vállalkozástól kapott osztalék</t>
  </si>
  <si>
    <t>áll-i többségi tulajdonú vállalkozástól kapott osztalék</t>
  </si>
  <si>
    <t>egyéb részesedések után kapott osztalék</t>
  </si>
  <si>
    <t>fedezeti ügyletek kamatbevételei</t>
  </si>
  <si>
    <t>Biztosító által fizetett kártérítés</t>
  </si>
  <si>
    <t>B411</t>
  </si>
  <si>
    <t>Egyéb működési bevételek (pl. közbesz. ajánlati biztosíték, pályázati díjak, kötbér, késedelmi kamat, kerekítési különbözet stb.)</t>
  </si>
  <si>
    <t>B64</t>
  </si>
  <si>
    <t>Műk. c. visszatérítendő támogatások, kölcsönök vtérülése EU-tól</t>
  </si>
  <si>
    <t>Műk. c. visszatérítendő támogatások, kölcsönök vtérülése kormányoktól és más nemzetközi szervezetektől</t>
  </si>
  <si>
    <t>B65</t>
  </si>
  <si>
    <t>Felh. c. visszatérítendő támogatások, kölcsönök vtérülése EU-tól</t>
  </si>
  <si>
    <t>Felh. c. visszatérítendő támogatások, kölcsönök vtérülése kormányoktól és más nemzetközi szervezetektől</t>
  </si>
  <si>
    <t>B74</t>
  </si>
  <si>
    <t>B75</t>
  </si>
  <si>
    <t>Hosszú lejáratú hitelek, kölcsönök felvétele pü-i vállalkozástól</t>
  </si>
  <si>
    <t>Rövid lejáratú hitelek, kölcsönök felvétele pü-i vállalkozástól</t>
  </si>
  <si>
    <t>B8121</t>
  </si>
  <si>
    <t>Forgatási c.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</si>
  <si>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</si>
  <si>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</si>
  <si>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</si>
  <si>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</si>
  <si>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</si>
  <si>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</si>
  <si>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Lekötött bankbetétek megszüntetése</t>
  </si>
  <si>
    <t>B819</t>
  </si>
  <si>
    <t>Tulajdonosi kölcsönök bevételei</t>
  </si>
  <si>
    <t>B8191</t>
  </si>
  <si>
    <t>Hosszú lejáratú tulajdonosi kölcsönök bevételei</t>
  </si>
  <si>
    <t>B8192</t>
  </si>
  <si>
    <t>Rövid lejáratú tulajdonosi kölcsönök bevételei</t>
  </si>
  <si>
    <t>B84</t>
  </si>
  <si>
    <t>Váltóbevételek</t>
  </si>
  <si>
    <t>utak használata ellenében beszedett használati díj, pótd. elektr.útd.</t>
  </si>
  <si>
    <t>szerződés megerősítésével, a szerződésszegéssel kapcsolatos véglegesen járó bevételek, a szerződésen kívüli károkozásért, személyiségi, dologi vagy más jog megsértéséért, jogalap nélküli gazdagodásért kapott összegek</t>
  </si>
  <si>
    <t>nonprofit gazdasági társaságok</t>
  </si>
  <si>
    <t>külföldi szervezetek, személyek</t>
  </si>
  <si>
    <t xml:space="preserve">k, </t>
  </si>
  <si>
    <t>Egyéb műk. c. támogatások EU-nak</t>
  </si>
  <si>
    <t>K513</t>
  </si>
  <si>
    <t>K89</t>
  </si>
  <si>
    <t>Egyéb felhalmozási c. támogatások EU-nak</t>
  </si>
  <si>
    <t>3.1. Készletértékesítés ellenértéke</t>
  </si>
  <si>
    <t>Gyermeklánc Óvoda és Egységes Óvoda-Bölcsőde, Család- és Gyermekjóléti Központ</t>
  </si>
  <si>
    <t>Jánoshalma Városi Önkormányzat és költségvetési szervei 2016. évi költségvetésének bevételi előirányzatai</t>
  </si>
  <si>
    <t>Jánoshalma Városi Önkormányzat és költségvetési szervei 2016. évi költségvetésének kiadási előirányzatai</t>
  </si>
  <si>
    <t>Jánoshalma Város Önkormányzat 2016. évi költségvetése működési és felhalmozási célú bontásban</t>
  </si>
  <si>
    <t>Jánoshalma Városi Önkormányzat  2016. évi költségvetési kiadásai feladatonként</t>
  </si>
  <si>
    <t>Jánoshalma Városi Önkormányzat és költségvetési szerveinek 2016. évi költségvetési kiadásai kötelező-, önként vállalt-, és állami (államigazgatási) feladatok szerinti bontásban</t>
  </si>
  <si>
    <t>Család- és Gyermekjóléti Központ</t>
  </si>
  <si>
    <t>Gyermeklánc Óvoda és Egységes Óvoda-Bölcsőde, Család- és Gyermekjóléti Központ összesen:</t>
  </si>
  <si>
    <t>Jh. Városi Önkormányzat összesen:</t>
  </si>
  <si>
    <t>Jánoshalma Városi Önkormányzata</t>
  </si>
  <si>
    <t>Jánoshalma Városi Önkormányzat  és költségvetési szerveinek 2016. évi költségvetési bevételei és  kiadásai kötelező-, önként vállalt-, és állami (államigazgatási) feladatok szerinti bontásban</t>
  </si>
  <si>
    <t>Gyermeklánc Óvoda és Egységes Óvoda-Bölcsőde, Család- és Gyermekjóléti Közp.</t>
  </si>
  <si>
    <t>2016. évi felhalmozási kiadások feladatonként, felújítási kiadások célonként</t>
  </si>
  <si>
    <t xml:space="preserve">Céltartalék - viziközművek 2016. évi bérleti díj bevételéből (szerződés szerint viziközművek fejlesztésére fordítandó a szolgáltatóval történő egyeztetés alapján) </t>
  </si>
  <si>
    <t>Védőnők 2016. évi OEP-finanszírozásának maradványa</t>
  </si>
  <si>
    <t>Környezetvédelmi alap képzése a 2016. évre tervezett talajterhelési díj bevételből</t>
  </si>
  <si>
    <t>Jánoshalma Városi Önkormányzat 2016. évi költségvetésében tervezett központi költségvetési támogatások</t>
  </si>
  <si>
    <t>a Magyarország 2016. évi központi költségvetéséről szóló 2015. évi C. törvény 2. sz. mellékletének jogcímei szerint</t>
  </si>
  <si>
    <t>A 2015. évről áthúzódó bérkompenzáció támogatása</t>
  </si>
  <si>
    <t>II.1 (4)</t>
  </si>
  <si>
    <t>Óvodapedagógusok pótlólagos bértámogatása</t>
  </si>
  <si>
    <t>Pedagógus szakképzettséggel rendelkező, óvodapedagógusok nevelő munkáját közvetlenül segítők pótlólagos bértámogatása</t>
  </si>
  <si>
    <t>Pedagógus szakképzettséggel rendelkező, óvodapedagógusok nevelő munkáját közvetlenül segítők bértámogatása</t>
  </si>
  <si>
    <t>Pedagógus szakképzettséggel nem rendelkező, óvodapedagógusok nevelő munkáját közvetlenül segítők bértámogatása</t>
  </si>
  <si>
    <t xml:space="preserve">III.3.a </t>
  </si>
  <si>
    <t>Család- és gyermekjóléti szolgálat</t>
  </si>
  <si>
    <t>Család- és gyermekjóléti központ</t>
  </si>
  <si>
    <t>III.3.b</t>
  </si>
  <si>
    <t>III.5.c</t>
  </si>
  <si>
    <t>A rászoruló gyermekek intézményen kívüli szünidei étkeztetésének támog.</t>
  </si>
  <si>
    <t xml:space="preserve">Fogyasztási adók </t>
  </si>
  <si>
    <t>jövedéki adó</t>
  </si>
  <si>
    <t>Kamatbevételek és más nyereségjellegű bevételek</t>
  </si>
  <si>
    <t>hitelviszonyt megtest. értékpapírok értékesítési nyeresége</t>
  </si>
  <si>
    <t>Egyéb kapott (járó) kamatok és kamatjellegű bevételek</t>
  </si>
  <si>
    <t>Befektetett pü-i eszk-ből származó bevételek</t>
  </si>
  <si>
    <t>Részesedésekből származó pénzügyi műveletek bevételei</t>
  </si>
  <si>
    <t>Más egyéb pénzügyi műveletek bevételei</t>
  </si>
  <si>
    <t xml:space="preserve">Egyéb pénzügyi műveletek bevételei </t>
  </si>
  <si>
    <t>részesedések értékesítéséhez kapcs. realizált nyereség</t>
  </si>
  <si>
    <t>befektetési jegyek bevételei</t>
  </si>
  <si>
    <t>hitelviszonyt megtest. értékpapírok kibocsátási nyeresége</t>
  </si>
  <si>
    <t>valuta és deviza eszközök realizált árfolyamnyeresége</t>
  </si>
  <si>
    <t>kiadások visszatérítései</t>
  </si>
  <si>
    <t>kiotói egységek és kibocsátási egységek elad-ból befolyt eladási ár</t>
  </si>
  <si>
    <t>Hitel-, kölcsönfelvétel pénzügyi vállalkozástól</t>
  </si>
  <si>
    <t>Államháztartáson belüli megelőlegezések (Áht. 78.§ (4) és 83.§(3) bek.)</t>
  </si>
  <si>
    <t>Államháztartáson belüli megelől. törleszt. (Áht. 78.§ (4) és 83.§ (3) bek.)</t>
  </si>
  <si>
    <t>Köztemetés (Szoc. tv. 48.§)</t>
  </si>
  <si>
    <t>települési támogatás (Szoc. tv. 45.§)</t>
  </si>
  <si>
    <t>Céltartalék - Védőnők 2015. évi OEP fin. maradv.</t>
  </si>
  <si>
    <t>Nyugdíjazások évközi kiadásaira</t>
  </si>
  <si>
    <t>Pedagógus II. kategória - (teljes összeg, minősítés megszerzése 2014.12.31.-ig)</t>
  </si>
  <si>
    <t xml:space="preserve">II.5 a (1) </t>
  </si>
  <si>
    <t xml:space="preserve">II.5 b (1) </t>
  </si>
  <si>
    <t>Pedagógus II. kategória - (11 havi összeg, minősítést 2015. évben szerezték meg)</t>
  </si>
  <si>
    <t xml:space="preserve">II.5 a (2) </t>
  </si>
  <si>
    <t>Borpince u. 32. vízbekötés</t>
  </si>
  <si>
    <t>Polgármesteri Hivatal átalakítása, hozzáépítés- Sándorfi Tervezőiroda kiviteli terv</t>
  </si>
  <si>
    <t>Önkormányzati bérlakások felújítása</t>
  </si>
  <si>
    <t>Általános Iskola labdafogó háló beszerzés</t>
  </si>
  <si>
    <t>Téglagyár utcai csapadék és belvíz elvezető kialakítása</t>
  </si>
  <si>
    <t>Háziorvosi ügyeleti ellátás - üzenetrögzítős telefonkészülék beszerzése</t>
  </si>
  <si>
    <t>Család- és nővédelmi eü. gondozás - tárgyi eszköz beszerzései (hűtő, vércukormérő, fonendoszkópok, vérnyomásmérők, kisértékű eszközök az új védőnői szűrésekhez)</t>
  </si>
  <si>
    <t>Jánoshalmi Művésztelep működtetéséhez eszközbeszerzések (gázpalack, gázégő, bogrács, három láb, edények, konyhai eszközök, székek, törölközők, ágyneműk, plédek)</t>
  </si>
  <si>
    <t>Pedagógiai Szakszolgálat részére wifi router, egyéb informatikai eszközök és kis értékű eszközök beszerzése</t>
  </si>
  <si>
    <t>Diákélelmezési konyha tárgyi eszköz beszerzései (zsúrkocsi, rozsdamentes fazekak fedővel, kosarak mosogatógéphez, robotgép, felmosó kocsi)</t>
  </si>
  <si>
    <t>Tárgyi eszköz beszerzések (porszívó, számítástechnikai eszközök, távmérő, létra-fellépő, telefonkészülék, telefon alközpont)</t>
  </si>
  <si>
    <t>Gyermeklánc Óvoda és Egységes Óvoda- Bölcsőde, Család- és Gyermekjóléti Központ</t>
  </si>
  <si>
    <t>Gyermeklánc Óvoda és Egységes Óvoda- Bölcsőde, Család- és Gyermekjóléti Központ  összesen:</t>
  </si>
  <si>
    <t>Ügyeleti szolgálatnál várható nyugdíjazások évközi kiadásaira (felmentési illetmény és közterhei)</t>
  </si>
  <si>
    <t>091250</t>
  </si>
  <si>
    <t>Alapfokú művészetoktatással összefüggő működtetési feladatok</t>
  </si>
  <si>
    <t>098022</t>
  </si>
  <si>
    <t>Pedagógiai szakszolgáltató tevékenység működtetési feladatai</t>
  </si>
  <si>
    <t>104043</t>
  </si>
  <si>
    <t>Család és gyerekjóléti központ</t>
  </si>
  <si>
    <t>104044</t>
  </si>
  <si>
    <t>Biztos Kezdet Gyerekház</t>
  </si>
  <si>
    <t>Vállalk. tev. - Növénytermesztés és kapcsolódó szolgáltatások</t>
  </si>
  <si>
    <t>13. Eü. ellátás</t>
  </si>
  <si>
    <t>23. Pelikán Kft. feladatell. tám.</t>
  </si>
  <si>
    <t>Művészeti tevékenységek -Jánoshalmi Művésztelep működtetése</t>
  </si>
  <si>
    <t>Védőnők 2016.évi OEP tart.</t>
  </si>
  <si>
    <t>Ügyelet -nyugdíjazások évközi kiad.-ra tart.</t>
  </si>
  <si>
    <t>Q</t>
  </si>
  <si>
    <t>Művészeti tevékenységek - Jánoshalmi Művésztelep működtetése</t>
  </si>
  <si>
    <t>Család és gyermekjóléti központ</t>
  </si>
  <si>
    <t xml:space="preserve">Egyéb szoc. pénzbeli ellátások, támogatások </t>
  </si>
  <si>
    <t xml:space="preserve">Mötv. 13.§(1) 4.,  Eü tv. 5.§ (1) </t>
  </si>
  <si>
    <t>2015. évi  CXXIII. törvény az egészségügyi alapellátásról</t>
  </si>
  <si>
    <t>Eü a. tv.</t>
  </si>
  <si>
    <t>Gyermekvédelmi pénzbeli és természetbeni ell. -(Erzsébet ut., kieg. gyerm.véd. tám. és pótléka)</t>
  </si>
  <si>
    <t>Mötv. 13.§(1) 19. 5.</t>
  </si>
  <si>
    <t xml:space="preserve">Mötv. 13.§(1) 8a, Szoc. tv.  45.§, . 48.§ </t>
  </si>
  <si>
    <t>Mötv. 13.§(1)6.  9.</t>
  </si>
  <si>
    <t>Szoc.tv. 38.§ (1)</t>
  </si>
  <si>
    <t>Gyvt. 40/A. §</t>
  </si>
  <si>
    <t>Gyvt. 21/A.§ (3) a,</t>
  </si>
  <si>
    <t>Gyvt. 21.§ (1) b</t>
  </si>
  <si>
    <t xml:space="preserve">Gyvt. tv. 14.§ (3), 18.§ (1a), 20/A.§,20/B.§, </t>
  </si>
  <si>
    <t>Óvodapedagógusok és a munkájukat közvetlen segítők bértámogatása</t>
  </si>
  <si>
    <t>Család- és gyermekjóléti szolgálat, Család- és gyermekjóléti központ</t>
  </si>
  <si>
    <t>A rászoruló gyermekek intézményen kívüli szünidei étkeztetésének támogatása</t>
  </si>
  <si>
    <t>Felh. c. pm. igénybevétel</t>
  </si>
  <si>
    <t>Tűzoltóság települési támogatása</t>
  </si>
  <si>
    <t>Szennyvíz beruházás EU-s és hazai támogatás</t>
  </si>
  <si>
    <t>Ügyeleti szolgáltatások ellenértéke (pl. vérvétel)</t>
  </si>
  <si>
    <t>Építményüzemeltetés bevétele</t>
  </si>
  <si>
    <t>Panda vírusirtó beszerzése 10 db - Óvodai nevelés (Jh-i óvodák)</t>
  </si>
  <si>
    <t>Panda vírusirtó beszerzése 2 db - Nyitnikék Gyerekház</t>
  </si>
  <si>
    <t>Panda vírusirtó beszerzése 8 db - Család- és Gyermekjóléti Központ</t>
  </si>
  <si>
    <t>Fénymásoló beszerzése  - Család- és Gyermekjóléti Központ</t>
  </si>
  <si>
    <t>Szt. Anna Kat. Iskola hozzájárulása a műfüves labdarúgó pálya önrészéhez</t>
  </si>
  <si>
    <t>Naperőmű által termelt energia értékesítés bevétele</t>
  </si>
  <si>
    <t>Jánoshalmi tagóvodák                           (Radnóti u., Batthyány u.)</t>
  </si>
  <si>
    <t xml:space="preserve">- Vezető </t>
  </si>
  <si>
    <t xml:space="preserve">- Óvónő </t>
  </si>
  <si>
    <t>- Pedagógiai asszisztens</t>
  </si>
  <si>
    <t xml:space="preserve">- Óvodai dajka </t>
  </si>
  <si>
    <t>- Óvodatitkár</t>
  </si>
  <si>
    <t>- Technikai dolgozó (udvaros)</t>
  </si>
  <si>
    <t>Egységes óvoda-bölcsődei csoport (Petőfi utca)</t>
  </si>
  <si>
    <t>- Óvónő</t>
  </si>
  <si>
    <t>- Kisgyermeknevelő</t>
  </si>
  <si>
    <t>- Bölcsődei gondozónő dajka</t>
  </si>
  <si>
    <t>- Óvodai dajka</t>
  </si>
  <si>
    <t>- Szakmai vezető</t>
  </si>
  <si>
    <t>- Családsegítő</t>
  </si>
  <si>
    <t>- Esetmenedzser / Tanácsadó</t>
  </si>
  <si>
    <t xml:space="preserve">Nyitnikék Gyerekház </t>
  </si>
  <si>
    <t>- Gyerekház vezető</t>
  </si>
  <si>
    <t>- Munkatárs</t>
  </si>
  <si>
    <t>- Polgármester</t>
  </si>
  <si>
    <t>- Főállású alpolgármester</t>
  </si>
  <si>
    <t>Önkormányzati Tűzoltóság</t>
  </si>
  <si>
    <t>Műfüves labdarúgópálya kialakítása (Radnóti u. 13. sz. alatt) - pályázati önerő</t>
  </si>
  <si>
    <t>Projektor + vászon beszerzése (2015. évi közművelődési érdekeltségnövelő támogatás és a 13/2015.(I.29) Kt. határozattal biztosított önerő felhasználása)</t>
  </si>
  <si>
    <t xml:space="preserve">Batthyány u. és Radnóti u.-i óvodákba mozgásérzékelő lámpák beszerzése </t>
  </si>
  <si>
    <t>Egyéb eszközbeszerzés  - Család- és Gyermekjóléti Központ</t>
  </si>
  <si>
    <t>Petőfi utcai óvoda - kémény bélelése</t>
  </si>
  <si>
    <t xml:space="preserve">Céltartalék - Jánoshalmi kistérségi Egészségügyi Központ Kft tagi kölcsön visszafizetéséből </t>
  </si>
  <si>
    <t>1. melléklet a 3/2016.(II.15.) önkormányzati rendelethez</t>
  </si>
  <si>
    <t>2. melléklet a 3/2016.(II.15.) önkormányzati rendelethez</t>
  </si>
  <si>
    <t>3. melléklet a 3/2016.(II.15.) önkormányzati rendelethez</t>
  </si>
  <si>
    <t>4. melléklet a 3/2016.(II.15.) önkormányzati rendelethez</t>
  </si>
  <si>
    <t>5. melléklet a 3/2016.(II.15.) önkormányzati rendelethez</t>
  </si>
  <si>
    <t>6. melléklet a 3/2016.(II.15.) önkormányzati rendelethez</t>
  </si>
  <si>
    <t>7. melléklet a 3/2016. (II.15.) önkormányzati rendelethez</t>
  </si>
  <si>
    <t>8. melléklet a 3/2016.(II.15.) önkormányzati rendelethez</t>
  </si>
  <si>
    <t>9. melléklet a 3/2016.(II.15.) önkormányzati rendelethez</t>
  </si>
  <si>
    <t>10. melléklet a 3/2016. (II.15.) önkormányzati rendelethez</t>
  </si>
  <si>
    <t>11. melléklet a 3/2016. (II.15.)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</si>
</sst>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0"/>
    <numFmt numFmtId="166" formatCode="#,##0.0\ &quot;Ft&quot;"/>
    <numFmt numFmtId="167" formatCode="#,##0.0\ _F_t"/>
    <numFmt numFmtId="168" formatCode="#,##0\ _F_t"/>
    <numFmt numFmtId="169" formatCode="#,##0.0"/>
    <numFmt numFmtId="170" formatCode="yyyy/\ mmmm\ d\."/>
    <numFmt numFmtId="171" formatCode="mmm/yyyy"/>
    <numFmt numFmtId="172" formatCode="[$-40E]yyyy\.\ mmmm\ d\."/>
    <numFmt numFmtId="173" formatCode="&quot;H-&quot;0000"/>
    <numFmt numFmtId="174" formatCode="0.0000"/>
    <numFmt numFmtId="175" formatCode="#,##0.0000"/>
    <numFmt numFmtId="176" formatCode="#,##0.00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#,##0.00\ [$CHF]"/>
    <numFmt numFmtId="181" formatCode="#,##0.00\ &quot;Ft&quot;"/>
    <numFmt numFmtId="182" formatCode="#,##0_ ;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[$€-2]\ #\ ##,000_);[Red]\([$€-2]\ #\ ##,000\)"/>
    <numFmt numFmtId="187" formatCode="#,##0\ [$CHF]"/>
    <numFmt numFmtId="188" formatCode="0.0000000%"/>
    <numFmt numFmtId="189" formatCode="0.000000%"/>
    <numFmt numFmtId="190" formatCode="[$¥€-2]\ #\ ##,000_);[Red]\([$€-2]\ #\ ##,000\)"/>
  </numFmts>
  <fonts count="11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12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0"/>
      <name val="Times New Roman CE"/>
      <family val="1"/>
    </font>
    <font>
      <b/>
      <sz val="11"/>
      <color indexed="60"/>
      <name val="Times New Roman"/>
      <family val="1"/>
    </font>
    <font>
      <b/>
      <i/>
      <sz val="11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56"/>
      <name val="Times New Roman"/>
      <family val="1"/>
    </font>
    <font>
      <b/>
      <i/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b/>
      <sz val="10"/>
      <color indexed="60"/>
      <name val="Times New Roman"/>
      <family val="1"/>
    </font>
    <font>
      <b/>
      <sz val="9"/>
      <name val="Arial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0"/>
    </font>
    <font>
      <b/>
      <i/>
      <sz val="9"/>
      <name val="Arial CE"/>
      <family val="0"/>
    </font>
    <font>
      <sz val="8"/>
      <color indexed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sz val="12"/>
      <name val="Arial"/>
      <family val="2"/>
    </font>
    <font>
      <b/>
      <sz val="13"/>
      <name val="Arial CE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7"/>
      <name val="Arial CE"/>
      <family val="2"/>
    </font>
    <font>
      <b/>
      <sz val="14"/>
      <name val="Times New Roman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i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b/>
      <sz val="7"/>
      <name val="Arial CE"/>
      <family val="0"/>
    </font>
    <font>
      <b/>
      <sz val="12"/>
      <name val="Times New Roman CE"/>
      <family val="0"/>
    </font>
    <font>
      <sz val="9"/>
      <name val="Arial"/>
      <family val="2"/>
    </font>
    <font>
      <b/>
      <sz val="13"/>
      <name val="Arial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0"/>
    </font>
    <font>
      <b/>
      <sz val="10"/>
      <color indexed="30"/>
      <name val="Arial CE"/>
      <family val="0"/>
    </font>
    <font>
      <sz val="10"/>
      <color indexed="30"/>
      <name val="Arial CE"/>
      <family val="0"/>
    </font>
    <font>
      <sz val="8"/>
      <color indexed="30"/>
      <name val="Arial CE"/>
      <family val="0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14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9" fillId="25" borderId="1" applyNumberFormat="0" applyAlignment="0" applyProtection="0"/>
    <xf numFmtId="0" fontId="100" fillId="0" borderId="0" applyNumberFormat="0" applyFill="0" applyBorder="0" applyAlignment="0" applyProtection="0"/>
    <xf numFmtId="0" fontId="101" fillId="0" borderId="2" applyNumberFormat="0" applyFill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0" fillId="27" borderId="7" applyNumberFormat="0" applyFont="0" applyAlignment="0" applyProtection="0"/>
    <xf numFmtId="0" fontId="107" fillId="28" borderId="0" applyNumberFormat="0" applyBorder="0" applyAlignment="0" applyProtection="0"/>
    <xf numFmtId="0" fontId="108" fillId="29" borderId="8" applyNumberFormat="0" applyAlignment="0" applyProtection="0"/>
    <xf numFmtId="0" fontId="1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1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0" borderId="0" applyNumberFormat="0" applyBorder="0" applyAlignment="0" applyProtection="0"/>
    <xf numFmtId="0" fontId="112" fillId="31" borderId="0" applyNumberFormat="0" applyBorder="0" applyAlignment="0" applyProtection="0"/>
    <xf numFmtId="0" fontId="113" fillId="29" borderId="1" applyNumberFormat="0" applyAlignment="0" applyProtection="0"/>
    <xf numFmtId="9" fontId="0" fillId="0" borderId="0" applyFont="0" applyFill="0" applyBorder="0" applyAlignment="0" applyProtection="0"/>
  </cellStyleXfs>
  <cellXfs count="1081">
    <xf numFmtId="0" fontId="0" fillId="0" borderId="0" xfId="0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3" fillId="0" borderId="15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3" fontId="3" fillId="0" borderId="27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16" fillId="0" borderId="0" xfId="61" applyFont="1">
      <alignment/>
      <protection/>
    </xf>
    <xf numFmtId="0" fontId="16" fillId="0" borderId="0" xfId="61" applyFont="1" applyAlignment="1">
      <alignment horizont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29" xfId="61" applyFont="1" applyBorder="1" applyAlignment="1">
      <alignment horizontal="center" vertical="center" wrapText="1"/>
      <protection/>
    </xf>
    <xf numFmtId="0" fontId="1" fillId="0" borderId="21" xfId="61" applyFont="1" applyBorder="1" applyAlignment="1">
      <alignment horizontal="center" vertical="center" wrapText="1"/>
      <protection/>
    </xf>
    <xf numFmtId="0" fontId="1" fillId="0" borderId="26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0" xfId="61" applyFont="1" applyAlignment="1">
      <alignment horizontal="center" vertical="center"/>
      <protection/>
    </xf>
    <xf numFmtId="49" fontId="19" fillId="0" borderId="26" xfId="61" applyNumberFormat="1" applyBorder="1" applyAlignment="1">
      <alignment vertical="center"/>
      <protection/>
    </xf>
    <xf numFmtId="3" fontId="19" fillId="0" borderId="29" xfId="61" applyNumberFormat="1" applyBorder="1">
      <alignment/>
      <protection/>
    </xf>
    <xf numFmtId="3" fontId="19" fillId="0" borderId="26" xfId="61" applyNumberFormat="1" applyBorder="1">
      <alignment/>
      <protection/>
    </xf>
    <xf numFmtId="3" fontId="19" fillId="0" borderId="13" xfId="61" applyNumberFormat="1" applyBorder="1">
      <alignment/>
      <protection/>
    </xf>
    <xf numFmtId="3" fontId="19" fillId="0" borderId="21" xfId="61" applyNumberFormat="1" applyBorder="1">
      <alignment/>
      <protection/>
    </xf>
    <xf numFmtId="3" fontId="19" fillId="0" borderId="0" xfId="61" applyNumberFormat="1">
      <alignment/>
      <protection/>
    </xf>
    <xf numFmtId="0" fontId="19" fillId="0" borderId="0" xfId="61">
      <alignment/>
      <protection/>
    </xf>
    <xf numFmtId="3" fontId="19" fillId="0" borderId="26" xfId="61" applyNumberFormat="1" applyFill="1" applyBorder="1">
      <alignment/>
      <protection/>
    </xf>
    <xf numFmtId="2" fontId="19" fillId="0" borderId="21" xfId="61" applyNumberFormat="1" applyBorder="1">
      <alignment/>
      <protection/>
    </xf>
    <xf numFmtId="2" fontId="19" fillId="0" borderId="29" xfId="61" applyNumberFormat="1" applyBorder="1">
      <alignment/>
      <protection/>
    </xf>
    <xf numFmtId="3" fontId="19" fillId="0" borderId="21" xfId="61" applyNumberFormat="1" applyFill="1" applyBorder="1">
      <alignment/>
      <protection/>
    </xf>
    <xf numFmtId="4" fontId="19" fillId="0" borderId="29" xfId="61" applyNumberFormat="1" applyFill="1" applyBorder="1">
      <alignment/>
      <protection/>
    </xf>
    <xf numFmtId="0" fontId="19" fillId="0" borderId="26" xfId="61" applyFont="1" applyBorder="1">
      <alignment/>
      <protection/>
    </xf>
    <xf numFmtId="3" fontId="2" fillId="0" borderId="0" xfId="61" applyNumberFormat="1" applyFont="1">
      <alignment/>
      <protection/>
    </xf>
    <xf numFmtId="3" fontId="1" fillId="0" borderId="0" xfId="61" applyNumberFormat="1" applyFont="1">
      <alignment/>
      <protection/>
    </xf>
    <xf numFmtId="0" fontId="2" fillId="0" borderId="0" xfId="61" applyFont="1">
      <alignment/>
      <protection/>
    </xf>
    <xf numFmtId="49" fontId="19" fillId="0" borderId="0" xfId="61" applyNumberFormat="1">
      <alignment/>
      <protection/>
    </xf>
    <xf numFmtId="0" fontId="34" fillId="0" borderId="0" xfId="0" applyFont="1" applyFill="1" applyAlignment="1">
      <alignment vertical="center"/>
    </xf>
    <xf numFmtId="0" fontId="22" fillId="0" borderId="0" xfId="57" applyFont="1">
      <alignment/>
      <protection/>
    </xf>
    <xf numFmtId="0" fontId="21" fillId="0" borderId="0" xfId="57" applyFont="1" applyAlignment="1">
      <alignment vertical="center"/>
      <protection/>
    </xf>
    <xf numFmtId="0" fontId="23" fillId="0" borderId="26" xfId="57" applyFont="1" applyBorder="1" applyAlignment="1">
      <alignment horizontal="center" vertical="center" wrapText="1"/>
      <protection/>
    </xf>
    <xf numFmtId="0" fontId="25" fillId="0" borderId="26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5" fillId="0" borderId="0" xfId="57" applyFont="1">
      <alignment/>
      <protection/>
    </xf>
    <xf numFmtId="0" fontId="24" fillId="0" borderId="26" xfId="57" applyFont="1" applyBorder="1">
      <alignment/>
      <protection/>
    </xf>
    <xf numFmtId="0" fontId="24" fillId="0" borderId="0" xfId="57" applyFont="1">
      <alignment/>
      <protection/>
    </xf>
    <xf numFmtId="0" fontId="28" fillId="0" borderId="0" xfId="57" applyFont="1">
      <alignment/>
      <protection/>
    </xf>
    <xf numFmtId="0" fontId="29" fillId="0" borderId="0" xfId="57" applyFont="1">
      <alignment/>
      <protection/>
    </xf>
    <xf numFmtId="0" fontId="28" fillId="0" borderId="26" xfId="57" applyFont="1" applyBorder="1">
      <alignment/>
      <protection/>
    </xf>
    <xf numFmtId="0" fontId="30" fillId="0" borderId="0" xfId="57" applyFont="1">
      <alignment/>
      <protection/>
    </xf>
    <xf numFmtId="0" fontId="24" fillId="0" borderId="0" xfId="57" applyFont="1" applyBorder="1">
      <alignment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8" fillId="0" borderId="26" xfId="57" applyFont="1" applyBorder="1" applyAlignment="1">
      <alignment horizontal="left" vertical="center" indent="2"/>
      <protection/>
    </xf>
    <xf numFmtId="16" fontId="28" fillId="0" borderId="26" xfId="57" applyNumberFormat="1" applyFont="1" applyBorder="1" applyAlignment="1">
      <alignment horizontal="left" vertical="center" indent="2"/>
      <protection/>
    </xf>
    <xf numFmtId="0" fontId="28" fillId="0" borderId="26" xfId="57" applyFont="1" applyBorder="1" applyAlignment="1">
      <alignment horizontal="left" indent="2"/>
      <protection/>
    </xf>
    <xf numFmtId="3" fontId="25" fillId="0" borderId="26" xfId="48" applyNumberFormat="1" applyFont="1" applyBorder="1" applyAlignment="1">
      <alignment horizontal="right"/>
    </xf>
    <xf numFmtId="3" fontId="24" fillId="0" borderId="26" xfId="48" applyNumberFormat="1" applyFont="1" applyBorder="1" applyAlignment="1">
      <alignment horizontal="right"/>
    </xf>
    <xf numFmtId="3" fontId="28" fillId="0" borderId="26" xfId="48" applyNumberFormat="1" applyFont="1" applyBorder="1" applyAlignment="1">
      <alignment horizontal="right"/>
    </xf>
    <xf numFmtId="0" fontId="35" fillId="0" borderId="26" xfId="57" applyFont="1" applyBorder="1" applyAlignment="1">
      <alignment horizontal="left" vertical="center" wrapText="1"/>
      <protection/>
    </xf>
    <xf numFmtId="0" fontId="35" fillId="0" borderId="0" xfId="57" applyFont="1" applyAlignment="1">
      <alignment horizontal="center" vertical="center" wrapText="1"/>
      <protection/>
    </xf>
    <xf numFmtId="3" fontId="35" fillId="0" borderId="26" xfId="48" applyNumberFormat="1" applyFont="1" applyBorder="1" applyAlignment="1">
      <alignment horizontal="right"/>
    </xf>
    <xf numFmtId="0" fontId="35" fillId="0" borderId="26" xfId="57" applyFont="1" applyBorder="1">
      <alignment/>
      <protection/>
    </xf>
    <xf numFmtId="0" fontId="36" fillId="0" borderId="0" xfId="57" applyFont="1">
      <alignment/>
      <protection/>
    </xf>
    <xf numFmtId="0" fontId="37" fillId="0" borderId="26" xfId="57" applyFont="1" applyBorder="1" applyAlignment="1">
      <alignment horizontal="right"/>
      <protection/>
    </xf>
    <xf numFmtId="0" fontId="38" fillId="0" borderId="0" xfId="57" applyFont="1">
      <alignment/>
      <protection/>
    </xf>
    <xf numFmtId="0" fontId="39" fillId="0" borderId="26" xfId="57" applyFont="1" applyBorder="1" applyAlignment="1">
      <alignment vertical="center"/>
      <protection/>
    </xf>
    <xf numFmtId="3" fontId="39" fillId="0" borderId="26" xfId="48" applyNumberFormat="1" applyFont="1" applyBorder="1" applyAlignment="1">
      <alignment horizontal="right"/>
    </xf>
    <xf numFmtId="0" fontId="39" fillId="0" borderId="26" xfId="57" applyFont="1" applyBorder="1">
      <alignment/>
      <protection/>
    </xf>
    <xf numFmtId="0" fontId="39" fillId="0" borderId="0" xfId="57" applyFont="1">
      <alignment/>
      <protection/>
    </xf>
    <xf numFmtId="0" fontId="39" fillId="0" borderId="26" xfId="57" applyFont="1" applyBorder="1" applyAlignment="1">
      <alignment vertical="center" wrapText="1"/>
      <protection/>
    </xf>
    <xf numFmtId="0" fontId="39" fillId="0" borderId="26" xfId="57" applyFont="1" applyBorder="1" applyAlignment="1">
      <alignment horizontal="left" vertical="center"/>
      <protection/>
    </xf>
    <xf numFmtId="0" fontId="40" fillId="0" borderId="0" xfId="57" applyFont="1">
      <alignment/>
      <protection/>
    </xf>
    <xf numFmtId="0" fontId="39" fillId="0" borderId="26" xfId="57" applyFont="1" applyBorder="1" applyAlignment="1">
      <alignment horizontal="left" vertical="center" wrapText="1"/>
      <protection/>
    </xf>
    <xf numFmtId="0" fontId="41" fillId="0" borderId="0" xfId="57" applyFont="1">
      <alignment/>
      <protection/>
    </xf>
    <xf numFmtId="0" fontId="25" fillId="0" borderId="26" xfId="57" applyFont="1" applyBorder="1" applyAlignment="1">
      <alignment horizontal="left" vertical="center" indent="1"/>
      <protection/>
    </xf>
    <xf numFmtId="0" fontId="25" fillId="0" borderId="26" xfId="57" applyFont="1" applyBorder="1" applyAlignment="1">
      <alignment horizontal="left" indent="1"/>
      <protection/>
    </xf>
    <xf numFmtId="3" fontId="42" fillId="0" borderId="26" xfId="57" applyNumberFormat="1" applyFont="1" applyBorder="1" applyAlignment="1">
      <alignment horizontal="right" vertical="center"/>
      <protection/>
    </xf>
    <xf numFmtId="0" fontId="35" fillId="0" borderId="26" xfId="57" applyFont="1" applyBorder="1" applyAlignment="1">
      <alignment vertical="top"/>
      <protection/>
    </xf>
    <xf numFmtId="3" fontId="42" fillId="0" borderId="26" xfId="48" applyNumberFormat="1" applyFont="1" applyBorder="1" applyAlignment="1">
      <alignment horizontal="right"/>
    </xf>
    <xf numFmtId="0" fontId="25" fillId="0" borderId="26" xfId="57" applyFont="1" applyBorder="1" applyAlignment="1">
      <alignment horizontal="left" vertical="top" indent="1"/>
      <protection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right" vertical="center"/>
    </xf>
    <xf numFmtId="3" fontId="22" fillId="0" borderId="26" xfId="0" applyNumberFormat="1" applyFont="1" applyBorder="1" applyAlignment="1">
      <alignment vertical="center"/>
    </xf>
    <xf numFmtId="3" fontId="23" fillId="0" borderId="26" xfId="0" applyNumberFormat="1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6" fillId="0" borderId="26" xfId="57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horizontal="center"/>
      <protection/>
    </xf>
    <xf numFmtId="0" fontId="26" fillId="0" borderId="26" xfId="57" applyFont="1" applyBorder="1" applyAlignment="1">
      <alignment horizontal="center"/>
      <protection/>
    </xf>
    <xf numFmtId="0" fontId="12" fillId="0" borderId="30" xfId="0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" fontId="44" fillId="0" borderId="30" xfId="0" applyNumberFormat="1" applyFont="1" applyFill="1" applyBorder="1" applyAlignment="1">
      <alignment vertical="center"/>
    </xf>
    <xf numFmtId="3" fontId="44" fillId="0" borderId="11" xfId="0" applyNumberFormat="1" applyFont="1" applyFill="1" applyBorder="1" applyAlignment="1">
      <alignment vertical="center"/>
    </xf>
    <xf numFmtId="3" fontId="4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4" fillId="0" borderId="18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 wrapText="1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21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vertical="center" wrapText="1"/>
      <protection/>
    </xf>
    <xf numFmtId="0" fontId="25" fillId="0" borderId="26" xfId="62" applyFont="1" applyBorder="1" applyAlignment="1">
      <alignment horizontal="center" vertical="center" wrapText="1"/>
      <protection/>
    </xf>
    <xf numFmtId="3" fontId="21" fillId="0" borderId="13" xfId="62" applyNumberFormat="1" applyFont="1" applyBorder="1" applyAlignment="1">
      <alignment horizontal="right" vertical="center" wrapText="1"/>
      <protection/>
    </xf>
    <xf numFmtId="0" fontId="26" fillId="0" borderId="29" xfId="62" applyFont="1" applyBorder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3" fontId="26" fillId="0" borderId="26" xfId="62" applyNumberFormat="1" applyFont="1" applyBorder="1" applyAlignment="1">
      <alignment horizontal="center" vertical="center" wrapText="1"/>
      <protection/>
    </xf>
    <xf numFmtId="0" fontId="26" fillId="0" borderId="26" xfId="62" applyFont="1" applyBorder="1" applyAlignment="1">
      <alignment horizontal="center" vertical="center"/>
      <protection/>
    </xf>
    <xf numFmtId="0" fontId="21" fillId="0" borderId="26" xfId="62" applyFont="1" applyBorder="1" applyAlignment="1">
      <alignment horizontal="center" vertical="center"/>
      <protection/>
    </xf>
    <xf numFmtId="3" fontId="26" fillId="0" borderId="13" xfId="62" applyNumberFormat="1" applyFont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3" fontId="44" fillId="0" borderId="2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3" fontId="46" fillId="0" borderId="36" xfId="0" applyNumberFormat="1" applyFont="1" applyFill="1" applyBorder="1" applyAlignment="1">
      <alignment vertical="center"/>
    </xf>
    <xf numFmtId="3" fontId="1" fillId="0" borderId="24" xfId="0" applyNumberFormat="1" applyFont="1" applyFill="1" applyBorder="1" applyAlignment="1">
      <alignment vertical="center"/>
    </xf>
    <xf numFmtId="3" fontId="1" fillId="0" borderId="36" xfId="0" applyNumberFormat="1" applyFont="1" applyFill="1" applyBorder="1" applyAlignment="1">
      <alignment vertical="center"/>
    </xf>
    <xf numFmtId="0" fontId="27" fillId="0" borderId="26" xfId="0" applyFont="1" applyBorder="1" applyAlignment="1">
      <alignment horizontal="center"/>
    </xf>
    <xf numFmtId="0" fontId="27" fillId="32" borderId="26" xfId="0" applyFont="1" applyFill="1" applyBorder="1" applyAlignment="1">
      <alignment/>
    </xf>
    <xf numFmtId="0" fontId="32" fillId="0" borderId="26" xfId="0" applyFont="1" applyBorder="1" applyAlignment="1">
      <alignment/>
    </xf>
    <xf numFmtId="0" fontId="27" fillId="0" borderId="26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7" borderId="26" xfId="0" applyFont="1" applyFill="1" applyBorder="1" applyAlignment="1">
      <alignment/>
    </xf>
    <xf numFmtId="3" fontId="3" fillId="0" borderId="26" xfId="0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left" vertical="center"/>
    </xf>
    <xf numFmtId="0" fontId="19" fillId="0" borderId="26" xfId="61" applyFont="1" applyBorder="1">
      <alignment/>
      <protection/>
    </xf>
    <xf numFmtId="0" fontId="19" fillId="0" borderId="18" xfId="61" applyFont="1" applyBorder="1">
      <alignment/>
      <protection/>
    </xf>
    <xf numFmtId="49" fontId="27" fillId="0" borderId="26" xfId="61" applyNumberFormat="1" applyFont="1" applyBorder="1" applyAlignment="1">
      <alignment vertical="center"/>
      <protection/>
    </xf>
    <xf numFmtId="0" fontId="27" fillId="0" borderId="26" xfId="61" applyFont="1" applyBorder="1">
      <alignment/>
      <protection/>
    </xf>
    <xf numFmtId="0" fontId="27" fillId="0" borderId="18" xfId="61" applyFont="1" applyBorder="1" applyAlignment="1">
      <alignment wrapText="1"/>
      <protection/>
    </xf>
    <xf numFmtId="3" fontId="27" fillId="0" borderId="29" xfId="61" applyNumberFormat="1" applyFont="1" applyBorder="1">
      <alignment/>
      <protection/>
    </xf>
    <xf numFmtId="3" fontId="27" fillId="0" borderId="26" xfId="61" applyNumberFormat="1" applyFont="1" applyBorder="1">
      <alignment/>
      <protection/>
    </xf>
    <xf numFmtId="3" fontId="27" fillId="0" borderId="13" xfId="61" applyNumberFormat="1" applyFont="1" applyBorder="1">
      <alignment/>
      <protection/>
    </xf>
    <xf numFmtId="3" fontId="27" fillId="0" borderId="21" xfId="61" applyNumberFormat="1" applyFont="1" applyBorder="1">
      <alignment/>
      <protection/>
    </xf>
    <xf numFmtId="3" fontId="27" fillId="0" borderId="0" xfId="61" applyNumberFormat="1" applyFont="1">
      <alignment/>
      <protection/>
    </xf>
    <xf numFmtId="0" fontId="27" fillId="0" borderId="0" xfId="61" applyFont="1">
      <alignment/>
      <protection/>
    </xf>
    <xf numFmtId="0" fontId="27" fillId="0" borderId="18" xfId="61" applyFont="1" applyBorder="1">
      <alignment/>
      <protection/>
    </xf>
    <xf numFmtId="3" fontId="27" fillId="0" borderId="26" xfId="61" applyNumberFormat="1" applyFont="1" applyFill="1" applyBorder="1">
      <alignment/>
      <protection/>
    </xf>
    <xf numFmtId="3" fontId="27" fillId="0" borderId="0" xfId="61" applyNumberFormat="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49" fontId="27" fillId="0" borderId="26" xfId="61" applyNumberFormat="1" applyFont="1" applyBorder="1" applyAlignment="1">
      <alignment horizontal="center" vertical="center"/>
      <protection/>
    </xf>
    <xf numFmtId="3" fontId="19" fillId="0" borderId="0" xfId="61" applyNumberFormat="1" applyFont="1">
      <alignment/>
      <protection/>
    </xf>
    <xf numFmtId="3" fontId="27" fillId="0" borderId="29" xfId="61" applyNumberFormat="1" applyFont="1" applyFill="1" applyBorder="1">
      <alignment/>
      <protection/>
    </xf>
    <xf numFmtId="49" fontId="27" fillId="33" borderId="26" xfId="61" applyNumberFormat="1" applyFont="1" applyFill="1" applyBorder="1" applyAlignment="1">
      <alignment horizontal="center" vertical="center"/>
      <protection/>
    </xf>
    <xf numFmtId="0" fontId="27" fillId="33" borderId="26" xfId="61" applyFont="1" applyFill="1" applyBorder="1" applyAlignment="1">
      <alignment vertical="center"/>
      <protection/>
    </xf>
    <xf numFmtId="0" fontId="27" fillId="33" borderId="18" xfId="61" applyFont="1" applyFill="1" applyBorder="1" applyAlignment="1">
      <alignment vertical="center" wrapText="1"/>
      <protection/>
    </xf>
    <xf numFmtId="3" fontId="27" fillId="33" borderId="29" xfId="61" applyNumberFormat="1" applyFont="1" applyFill="1" applyBorder="1" applyAlignment="1">
      <alignment vertical="center"/>
      <protection/>
    </xf>
    <xf numFmtId="3" fontId="27" fillId="33" borderId="26" xfId="61" applyNumberFormat="1" applyFont="1" applyFill="1" applyBorder="1" applyAlignment="1">
      <alignment vertical="center"/>
      <protection/>
    </xf>
    <xf numFmtId="3" fontId="27" fillId="33" borderId="13" xfId="61" applyNumberFormat="1" applyFont="1" applyFill="1" applyBorder="1" applyAlignment="1">
      <alignment vertical="center"/>
      <protection/>
    </xf>
    <xf numFmtId="3" fontId="27" fillId="33" borderId="21" xfId="61" applyNumberFormat="1" applyFont="1" applyFill="1" applyBorder="1" applyAlignment="1">
      <alignment vertical="center"/>
      <protection/>
    </xf>
    <xf numFmtId="0" fontId="19" fillId="33" borderId="26" xfId="61" applyFill="1" applyBorder="1">
      <alignment/>
      <protection/>
    </xf>
    <xf numFmtId="3" fontId="19" fillId="33" borderId="29" xfId="61" applyNumberFormat="1" applyFill="1" applyBorder="1">
      <alignment/>
      <protection/>
    </xf>
    <xf numFmtId="3" fontId="19" fillId="33" borderId="26" xfId="61" applyNumberFormat="1" applyFill="1" applyBorder="1">
      <alignment/>
      <protection/>
    </xf>
    <xf numFmtId="3" fontId="27" fillId="33" borderId="13" xfId="61" applyNumberFormat="1" applyFont="1" applyFill="1" applyBorder="1">
      <alignment/>
      <protection/>
    </xf>
    <xf numFmtId="3" fontId="19" fillId="33" borderId="21" xfId="61" applyNumberFormat="1" applyFill="1" applyBorder="1">
      <alignment/>
      <protection/>
    </xf>
    <xf numFmtId="3" fontId="27" fillId="33" borderId="21" xfId="61" applyNumberFormat="1" applyFont="1" applyFill="1" applyBorder="1">
      <alignment/>
      <protection/>
    </xf>
    <xf numFmtId="0" fontId="27" fillId="33" borderId="26" xfId="61" applyFont="1" applyFill="1" applyBorder="1">
      <alignment/>
      <protection/>
    </xf>
    <xf numFmtId="3" fontId="27" fillId="33" borderId="29" xfId="61" applyNumberFormat="1" applyFont="1" applyFill="1" applyBorder="1">
      <alignment/>
      <protection/>
    </xf>
    <xf numFmtId="3" fontId="27" fillId="33" borderId="26" xfId="61" applyNumberFormat="1" applyFont="1" applyFill="1" applyBorder="1">
      <alignment/>
      <protection/>
    </xf>
    <xf numFmtId="4" fontId="27" fillId="33" borderId="29" xfId="61" applyNumberFormat="1" applyFont="1" applyFill="1" applyBorder="1">
      <alignment/>
      <protection/>
    </xf>
    <xf numFmtId="4" fontId="27" fillId="33" borderId="21" xfId="61" applyNumberFormat="1" applyFont="1" applyFill="1" applyBorder="1">
      <alignment/>
      <protection/>
    </xf>
    <xf numFmtId="3" fontId="2" fillId="33" borderId="29" xfId="61" applyNumberFormat="1" applyFont="1" applyFill="1" applyBorder="1" applyAlignment="1">
      <alignment horizontal="center"/>
      <protection/>
    </xf>
    <xf numFmtId="3" fontId="2" fillId="33" borderId="26" xfId="61" applyNumberFormat="1" applyFont="1" applyFill="1" applyBorder="1" applyAlignment="1">
      <alignment horizontal="center"/>
      <protection/>
    </xf>
    <xf numFmtId="3" fontId="1" fillId="33" borderId="13" xfId="61" applyNumberFormat="1" applyFont="1" applyFill="1" applyBorder="1">
      <alignment/>
      <protection/>
    </xf>
    <xf numFmtId="3" fontId="2" fillId="33" borderId="21" xfId="61" applyNumberFormat="1" applyFont="1" applyFill="1" applyBorder="1" applyAlignment="1">
      <alignment horizontal="center"/>
      <protection/>
    </xf>
    <xf numFmtId="49" fontId="5" fillId="0" borderId="0" xfId="60" applyNumberFormat="1" applyFont="1" applyFill="1" applyAlignment="1">
      <alignment horizontal="center" vertical="center"/>
      <protection/>
    </xf>
    <xf numFmtId="0" fontId="5" fillId="0" borderId="0" xfId="60" applyFont="1" applyFill="1" applyAlignment="1">
      <alignment vertical="center"/>
      <protection/>
    </xf>
    <xf numFmtId="0" fontId="44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0" fontId="0" fillId="0" borderId="0" xfId="60" applyAlignment="1">
      <alignment horizontal="left"/>
      <protection/>
    </xf>
    <xf numFmtId="0" fontId="0" fillId="0" borderId="0" xfId="60" applyFill="1" applyAlignment="1">
      <alignment vertical="center"/>
      <protection/>
    </xf>
    <xf numFmtId="0" fontId="1" fillId="0" borderId="0" xfId="60" applyFont="1" applyFill="1" applyAlignment="1">
      <alignment vertical="center"/>
      <protection/>
    </xf>
    <xf numFmtId="0" fontId="1" fillId="0" borderId="0" xfId="60" applyFont="1" applyFill="1" applyAlignment="1">
      <alignment horizontal="left" vertical="center"/>
      <protection/>
    </xf>
    <xf numFmtId="0" fontId="3" fillId="0" borderId="25" xfId="60" applyFont="1" applyFill="1" applyBorder="1" applyAlignment="1">
      <alignment horizontal="center" vertical="center"/>
      <protection/>
    </xf>
    <xf numFmtId="49" fontId="5" fillId="0" borderId="29" xfId="60" applyNumberFormat="1" applyFont="1" applyFill="1" applyBorder="1" applyAlignment="1">
      <alignment horizontal="center" vertical="center"/>
      <protection/>
    </xf>
    <xf numFmtId="3" fontId="3" fillId="0" borderId="30" xfId="60" applyNumberFormat="1" applyFont="1" applyFill="1" applyBorder="1" applyAlignment="1">
      <alignment vertical="center" wrapText="1"/>
      <protection/>
    </xf>
    <xf numFmtId="3" fontId="5" fillId="0" borderId="21" xfId="60" applyNumberFormat="1" applyFont="1" applyFill="1" applyBorder="1" applyAlignment="1">
      <alignment vertical="center"/>
      <protection/>
    </xf>
    <xf numFmtId="3" fontId="5" fillId="0" borderId="26" xfId="60" applyNumberFormat="1" applyFont="1" applyFill="1" applyBorder="1" applyAlignment="1">
      <alignment vertical="center"/>
      <protection/>
    </xf>
    <xf numFmtId="0" fontId="4" fillId="0" borderId="26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/>
      <protection/>
    </xf>
    <xf numFmtId="3" fontId="49" fillId="0" borderId="21" xfId="60" applyNumberFormat="1" applyFont="1" applyFill="1" applyBorder="1" applyAlignment="1">
      <alignment vertical="center"/>
      <protection/>
    </xf>
    <xf numFmtId="0" fontId="4" fillId="0" borderId="37" xfId="60" applyFont="1" applyFill="1" applyBorder="1" applyAlignment="1">
      <alignment vertical="center" wrapText="1"/>
      <protection/>
    </xf>
    <xf numFmtId="3" fontId="3" fillId="0" borderId="11" xfId="60" applyNumberFormat="1" applyFont="1" applyFill="1" applyBorder="1" applyAlignment="1">
      <alignment vertical="center" wrapText="1"/>
      <protection/>
    </xf>
    <xf numFmtId="3" fontId="23" fillId="0" borderId="26" xfId="57" applyNumberFormat="1" applyFont="1" applyBorder="1" applyAlignment="1">
      <alignment vertical="center"/>
      <protection/>
    </xf>
    <xf numFmtId="0" fontId="32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39" xfId="0" applyBorder="1" applyAlignment="1">
      <alignment/>
    </xf>
    <xf numFmtId="0" fontId="27" fillId="32" borderId="26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0" fillId="0" borderId="26" xfId="0" applyNumberFormat="1" applyBorder="1" applyAlignment="1">
      <alignment/>
    </xf>
    <xf numFmtId="3" fontId="1" fillId="0" borderId="26" xfId="0" applyNumberFormat="1" applyFont="1" applyBorder="1" applyAlignment="1">
      <alignment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59" fillId="0" borderId="26" xfId="0" applyFont="1" applyBorder="1" applyAlignment="1">
      <alignment/>
    </xf>
    <xf numFmtId="3" fontId="59" fillId="0" borderId="26" xfId="0" applyNumberFormat="1" applyFont="1" applyBorder="1" applyAlignment="1">
      <alignment/>
    </xf>
    <xf numFmtId="0" fontId="61" fillId="0" borderId="26" xfId="0" applyFont="1" applyBorder="1" applyAlignment="1">
      <alignment/>
    </xf>
    <xf numFmtId="3" fontId="61" fillId="0" borderId="26" xfId="0" applyNumberFormat="1" applyFont="1" applyBorder="1" applyAlignment="1">
      <alignment/>
    </xf>
    <xf numFmtId="3" fontId="62" fillId="0" borderId="26" xfId="0" applyNumberFormat="1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50" fillId="0" borderId="26" xfId="0" applyFont="1" applyBorder="1" applyAlignment="1">
      <alignment horizontal="left"/>
    </xf>
    <xf numFmtId="0" fontId="50" fillId="0" borderId="26" xfId="0" applyFont="1" applyBorder="1" applyAlignment="1">
      <alignment/>
    </xf>
    <xf numFmtId="3" fontId="50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3" fontId="63" fillId="0" borderId="26" xfId="0" applyNumberFormat="1" applyFont="1" applyBorder="1" applyAlignment="1">
      <alignment/>
    </xf>
    <xf numFmtId="0" fontId="50" fillId="0" borderId="26" xfId="0" applyFont="1" applyFill="1" applyBorder="1" applyAlignment="1">
      <alignment/>
    </xf>
    <xf numFmtId="0" fontId="50" fillId="0" borderId="26" xfId="0" applyFont="1" applyFill="1" applyBorder="1" applyAlignment="1">
      <alignment horizontal="left"/>
    </xf>
    <xf numFmtId="0" fontId="64" fillId="0" borderId="26" xfId="0" applyFont="1" applyBorder="1" applyAlignment="1">
      <alignment/>
    </xf>
    <xf numFmtId="0" fontId="50" fillId="0" borderId="26" xfId="0" applyFont="1" applyBorder="1" applyAlignment="1">
      <alignment horizontal="left" wrapText="1"/>
    </xf>
    <xf numFmtId="0" fontId="71" fillId="0" borderId="0" xfId="0" applyFont="1" applyAlignment="1">
      <alignment/>
    </xf>
    <xf numFmtId="3" fontId="16" fillId="0" borderId="26" xfId="0" applyNumberFormat="1" applyFont="1" applyBorder="1" applyAlignment="1">
      <alignment/>
    </xf>
    <xf numFmtId="0" fontId="65" fillId="0" borderId="0" xfId="0" applyFont="1" applyAlignment="1">
      <alignment/>
    </xf>
    <xf numFmtId="3" fontId="6" fillId="0" borderId="26" xfId="0" applyNumberFormat="1" applyFont="1" applyBorder="1" applyAlignment="1">
      <alignment/>
    </xf>
    <xf numFmtId="3" fontId="66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72" fillId="0" borderId="26" xfId="0" applyFont="1" applyBorder="1" applyAlignment="1">
      <alignment/>
    </xf>
    <xf numFmtId="3" fontId="72" fillId="0" borderId="26" xfId="0" applyNumberFormat="1" applyFont="1" applyBorder="1" applyAlignment="1">
      <alignment/>
    </xf>
    <xf numFmtId="0" fontId="73" fillId="0" borderId="0" xfId="0" applyFont="1" applyAlignment="1">
      <alignment/>
    </xf>
    <xf numFmtId="0" fontId="74" fillId="0" borderId="26" xfId="0" applyFont="1" applyBorder="1" applyAlignment="1">
      <alignment/>
    </xf>
    <xf numFmtId="3" fontId="44" fillId="0" borderId="26" xfId="0" applyNumberFormat="1" applyFont="1" applyFill="1" applyBorder="1" applyAlignment="1">
      <alignment vertical="center"/>
    </xf>
    <xf numFmtId="3" fontId="44" fillId="0" borderId="26" xfId="0" applyNumberFormat="1" applyFont="1" applyFill="1" applyBorder="1" applyAlignment="1">
      <alignment horizontal="right" vertical="center" wrapText="1"/>
    </xf>
    <xf numFmtId="49" fontId="5" fillId="0" borderId="29" xfId="60" applyNumberFormat="1" applyFont="1" applyFill="1" applyBorder="1" applyAlignment="1">
      <alignment horizontal="center" vertical="center"/>
      <protection/>
    </xf>
    <xf numFmtId="3" fontId="3" fillId="0" borderId="40" xfId="60" applyNumberFormat="1" applyFont="1" applyFill="1" applyBorder="1" applyAlignment="1">
      <alignment vertical="center" wrapText="1"/>
      <protection/>
    </xf>
    <xf numFmtId="3" fontId="3" fillId="0" borderId="41" xfId="60" applyNumberFormat="1" applyFont="1" applyFill="1" applyBorder="1" applyAlignment="1">
      <alignment vertical="center" wrapText="1"/>
      <protection/>
    </xf>
    <xf numFmtId="3" fontId="3" fillId="0" borderId="10" xfId="60" applyNumberFormat="1" applyFont="1" applyFill="1" applyBorder="1" applyAlignment="1">
      <alignment vertical="center" wrapText="1"/>
      <protection/>
    </xf>
    <xf numFmtId="3" fontId="3" fillId="0" borderId="29" xfId="60" applyNumberFormat="1" applyFont="1" applyFill="1" applyBorder="1" applyAlignment="1">
      <alignment vertical="center" wrapText="1"/>
      <protection/>
    </xf>
    <xf numFmtId="3" fontId="3" fillId="0" borderId="26" xfId="60" applyNumberFormat="1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 wrapText="1"/>
      <protection/>
    </xf>
    <xf numFmtId="3" fontId="3" fillId="0" borderId="29" xfId="60" applyNumberFormat="1" applyFont="1" applyFill="1" applyBorder="1" applyAlignment="1">
      <alignment vertical="center"/>
      <protection/>
    </xf>
    <xf numFmtId="3" fontId="3" fillId="0" borderId="26" xfId="60" applyNumberFormat="1" applyFont="1" applyFill="1" applyBorder="1" applyAlignment="1">
      <alignment vertical="center"/>
      <protection/>
    </xf>
    <xf numFmtId="3" fontId="59" fillId="0" borderId="29" xfId="60" applyNumberFormat="1" applyFont="1" applyFill="1" applyBorder="1" applyAlignment="1">
      <alignment vertical="center"/>
      <protection/>
    </xf>
    <xf numFmtId="3" fontId="59" fillId="0" borderId="26" xfId="60" applyNumberFormat="1" applyFont="1" applyFill="1" applyBorder="1" applyAlignment="1">
      <alignment vertical="center"/>
      <protection/>
    </xf>
    <xf numFmtId="3" fontId="48" fillId="0" borderId="26" xfId="60" applyNumberFormat="1" applyFont="1" applyFill="1" applyBorder="1" applyAlignment="1">
      <alignment vertical="center"/>
      <protection/>
    </xf>
    <xf numFmtId="3" fontId="50" fillId="0" borderId="26" xfId="60" applyNumberFormat="1" applyFont="1" applyFill="1" applyBorder="1" applyAlignment="1">
      <alignment vertical="center" wrapText="1"/>
      <protection/>
    </xf>
    <xf numFmtId="3" fontId="3" fillId="0" borderId="21" xfId="60" applyNumberFormat="1" applyFont="1" applyFill="1" applyBorder="1" applyAlignment="1">
      <alignment vertical="center" wrapText="1"/>
      <protection/>
    </xf>
    <xf numFmtId="3" fontId="3" fillId="0" borderId="21" xfId="60" applyNumberFormat="1" applyFont="1" applyFill="1" applyBorder="1" applyAlignment="1">
      <alignment vertical="center"/>
      <protection/>
    </xf>
    <xf numFmtId="3" fontId="59" fillId="0" borderId="21" xfId="60" applyNumberFormat="1" applyFont="1" applyFill="1" applyBorder="1" applyAlignment="1">
      <alignment vertical="center"/>
      <protection/>
    </xf>
    <xf numFmtId="3" fontId="48" fillId="0" borderId="21" xfId="60" applyNumberFormat="1" applyFont="1" applyFill="1" applyBorder="1" applyAlignment="1">
      <alignment vertical="center"/>
      <protection/>
    </xf>
    <xf numFmtId="3" fontId="50" fillId="0" borderId="21" xfId="60" applyNumberFormat="1" applyFont="1" applyFill="1" applyBorder="1" applyAlignment="1">
      <alignment vertical="center" wrapText="1"/>
      <protection/>
    </xf>
    <xf numFmtId="3" fontId="3" fillId="0" borderId="36" xfId="60" applyNumberFormat="1" applyFont="1" applyFill="1" applyBorder="1" applyAlignment="1">
      <alignment vertical="center" wrapText="1"/>
      <protection/>
    </xf>
    <xf numFmtId="3" fontId="3" fillId="0" borderId="42" xfId="60" applyNumberFormat="1" applyFont="1" applyFill="1" applyBorder="1" applyAlignment="1">
      <alignment vertical="center" wrapText="1"/>
      <protection/>
    </xf>
    <xf numFmtId="3" fontId="3" fillId="0" borderId="29" xfId="60" applyNumberFormat="1" applyFont="1" applyFill="1" applyBorder="1" applyAlignment="1">
      <alignment vertical="center" wrapText="1"/>
      <protection/>
    </xf>
    <xf numFmtId="3" fontId="3" fillId="0" borderId="26" xfId="60" applyNumberFormat="1" applyFont="1" applyFill="1" applyBorder="1" applyAlignment="1">
      <alignment vertical="center" wrapText="1"/>
      <protection/>
    </xf>
    <xf numFmtId="3" fontId="51" fillId="0" borderId="32" xfId="60" applyNumberFormat="1" applyFont="1" applyFill="1" applyBorder="1" applyAlignment="1">
      <alignment vertical="center"/>
      <protection/>
    </xf>
    <xf numFmtId="3" fontId="3" fillId="0" borderId="12" xfId="60" applyNumberFormat="1" applyFont="1" applyFill="1" applyBorder="1" applyAlignment="1">
      <alignment vertical="center" wrapText="1"/>
      <protection/>
    </xf>
    <xf numFmtId="0" fontId="4" fillId="0" borderId="36" xfId="60" applyFont="1" applyFill="1" applyBorder="1" applyAlignment="1">
      <alignment horizontal="center" vertical="center" wrapText="1"/>
      <protection/>
    </xf>
    <xf numFmtId="49" fontId="5" fillId="0" borderId="43" xfId="60" applyNumberFormat="1" applyFont="1" applyFill="1" applyBorder="1" applyAlignment="1">
      <alignment horizontal="center" vertical="center"/>
      <protection/>
    </xf>
    <xf numFmtId="3" fontId="3" fillId="0" borderId="43" xfId="60" applyNumberFormat="1" applyFont="1" applyFill="1" applyBorder="1" applyAlignment="1">
      <alignment vertical="center" wrapText="1"/>
      <protection/>
    </xf>
    <xf numFmtId="3" fontId="3" fillId="0" borderId="37" xfId="60" applyNumberFormat="1" applyFont="1" applyFill="1" applyBorder="1" applyAlignment="1">
      <alignment vertical="center" wrapText="1"/>
      <protection/>
    </xf>
    <xf numFmtId="3" fontId="3" fillId="0" borderId="44" xfId="60" applyNumberFormat="1" applyFont="1" applyFill="1" applyBorder="1" applyAlignment="1">
      <alignment vertical="center" wrapText="1"/>
      <protection/>
    </xf>
    <xf numFmtId="3" fontId="51" fillId="0" borderId="45" xfId="60" applyNumberFormat="1" applyFont="1" applyFill="1" applyBorder="1" applyAlignment="1">
      <alignment vertical="center"/>
      <protection/>
    </xf>
    <xf numFmtId="3" fontId="3" fillId="0" borderId="40" xfId="60" applyNumberFormat="1" applyFont="1" applyFill="1" applyBorder="1" applyAlignment="1">
      <alignment vertical="center"/>
      <protection/>
    </xf>
    <xf numFmtId="3" fontId="3" fillId="0" borderId="41" xfId="60" applyNumberFormat="1" applyFont="1" applyFill="1" applyBorder="1" applyAlignment="1">
      <alignment vertical="center"/>
      <protection/>
    </xf>
    <xf numFmtId="3" fontId="52" fillId="0" borderId="32" xfId="60" applyNumberFormat="1" applyFont="1" applyFill="1" applyBorder="1" applyAlignment="1">
      <alignment vertical="center"/>
      <protection/>
    </xf>
    <xf numFmtId="3" fontId="51" fillId="0" borderId="46" xfId="6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27" fillId="0" borderId="47" xfId="59" applyFont="1" applyBorder="1" applyAlignment="1">
      <alignment horizontal="center"/>
      <protection/>
    </xf>
    <xf numFmtId="0" fontId="27" fillId="0" borderId="25" xfId="59" applyFont="1" applyBorder="1">
      <alignment/>
      <protection/>
    </xf>
    <xf numFmtId="0" fontId="1" fillId="0" borderId="48" xfId="60" applyFont="1" applyFill="1" applyBorder="1" applyAlignment="1">
      <alignment horizontal="center" vertical="center" wrapText="1"/>
      <protection/>
    </xf>
    <xf numFmtId="0" fontId="27" fillId="0" borderId="49" xfId="59" applyFont="1" applyBorder="1" applyAlignment="1">
      <alignment horizontal="center"/>
      <protection/>
    </xf>
    <xf numFmtId="0" fontId="27" fillId="0" borderId="22" xfId="59" applyFont="1" applyBorder="1">
      <alignment/>
      <protection/>
    </xf>
    <xf numFmtId="0" fontId="1" fillId="0" borderId="25" xfId="60" applyFont="1" applyFill="1" applyBorder="1" applyAlignment="1">
      <alignment horizontal="center" vertical="center" wrapText="1"/>
      <protection/>
    </xf>
    <xf numFmtId="0" fontId="27" fillId="0" borderId="50" xfId="59" applyFont="1" applyBorder="1" applyAlignment="1">
      <alignment horizontal="center"/>
      <protection/>
    </xf>
    <xf numFmtId="0" fontId="27" fillId="0" borderId="51" xfId="59" applyFont="1" applyBorder="1">
      <alignment/>
      <protection/>
    </xf>
    <xf numFmtId="0" fontId="1" fillId="0" borderId="52" xfId="60" applyFont="1" applyFill="1" applyBorder="1" applyAlignment="1">
      <alignment horizontal="center" vertical="center" wrapText="1"/>
      <protection/>
    </xf>
    <xf numFmtId="0" fontId="32" fillId="0" borderId="53" xfId="59" applyFont="1" applyBorder="1">
      <alignment/>
      <protection/>
    </xf>
    <xf numFmtId="0" fontId="32" fillId="0" borderId="0" xfId="59" applyFont="1" applyBorder="1">
      <alignment/>
      <protection/>
    </xf>
    <xf numFmtId="0" fontId="32" fillId="0" borderId="54" xfId="59" applyFont="1" applyBorder="1">
      <alignment/>
      <protection/>
    </xf>
    <xf numFmtId="0" fontId="32" fillId="0" borderId="55" xfId="59" applyFont="1" applyBorder="1">
      <alignment/>
      <protection/>
    </xf>
    <xf numFmtId="0" fontId="32" fillId="0" borderId="56" xfId="59" applyFont="1" applyBorder="1">
      <alignment/>
      <protection/>
    </xf>
    <xf numFmtId="3" fontId="32" fillId="0" borderId="57" xfId="59" applyNumberFormat="1" applyFont="1" applyBorder="1">
      <alignment/>
      <protection/>
    </xf>
    <xf numFmtId="0" fontId="32" fillId="0" borderId="58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3" fontId="32" fillId="0" borderId="0" xfId="59" applyNumberFormat="1" applyFont="1" applyBorder="1">
      <alignment/>
      <protection/>
    </xf>
    <xf numFmtId="3" fontId="31" fillId="0" borderId="59" xfId="59" applyNumberFormat="1" applyFont="1" applyBorder="1" applyAlignment="1">
      <alignment horizontal="right" vertical="center"/>
      <protection/>
    </xf>
    <xf numFmtId="3" fontId="31" fillId="0" borderId="60" xfId="59" applyNumberFormat="1" applyFont="1" applyBorder="1" applyAlignment="1">
      <alignment horizontal="right" vertical="center"/>
      <protection/>
    </xf>
    <xf numFmtId="3" fontId="31" fillId="0" borderId="0" xfId="59" applyNumberFormat="1" applyFont="1" applyBorder="1" applyAlignment="1">
      <alignment horizontal="right" vertical="center"/>
      <protection/>
    </xf>
    <xf numFmtId="0" fontId="16" fillId="0" borderId="59" xfId="60" applyFont="1" applyFill="1" applyBorder="1" applyAlignment="1">
      <alignment horizontal="center" vertical="center" wrapText="1"/>
      <protection/>
    </xf>
    <xf numFmtId="0" fontId="16" fillId="0" borderId="60" xfId="60" applyFont="1" applyFill="1" applyBorder="1" applyAlignment="1">
      <alignment horizontal="center" vertical="center" wrapText="1"/>
      <protection/>
    </xf>
    <xf numFmtId="0" fontId="16" fillId="0" borderId="61" xfId="60" applyFont="1" applyFill="1" applyBorder="1" applyAlignment="1">
      <alignment horizontal="center" vertical="center" wrapText="1"/>
      <protection/>
    </xf>
    <xf numFmtId="3" fontId="31" fillId="0" borderId="53" xfId="59" applyNumberFormat="1" applyFont="1" applyBorder="1" applyAlignment="1">
      <alignment horizontal="right" vertical="center"/>
      <protection/>
    </xf>
    <xf numFmtId="3" fontId="32" fillId="0" borderId="62" xfId="59" applyNumberFormat="1" applyFont="1" applyBorder="1">
      <alignment/>
      <protection/>
    </xf>
    <xf numFmtId="0" fontId="32" fillId="0" borderId="60" xfId="59" applyFont="1" applyBorder="1">
      <alignment/>
      <protection/>
    </xf>
    <xf numFmtId="0" fontId="55" fillId="0" borderId="56" xfId="59" applyFont="1" applyBorder="1" applyAlignment="1">
      <alignment horizontal="right" vertical="center"/>
      <protection/>
    </xf>
    <xf numFmtId="0" fontId="56" fillId="0" borderId="53" xfId="59" applyFont="1" applyBorder="1" applyAlignment="1">
      <alignment horizontal="right"/>
      <protection/>
    </xf>
    <xf numFmtId="0" fontId="56" fillId="0" borderId="0" xfId="59" applyFont="1" applyBorder="1" applyAlignment="1">
      <alignment horizontal="right"/>
      <protection/>
    </xf>
    <xf numFmtId="0" fontId="56" fillId="0" borderId="55" xfId="59" applyFont="1" applyBorder="1" applyAlignment="1">
      <alignment horizontal="right"/>
      <protection/>
    </xf>
    <xf numFmtId="3" fontId="27" fillId="0" borderId="55" xfId="59" applyNumberFormat="1" applyFont="1" applyBorder="1" applyAlignment="1">
      <alignment horizontal="right"/>
      <protection/>
    </xf>
    <xf numFmtId="3" fontId="27" fillId="0" borderId="0" xfId="59" applyNumberFormat="1" applyFont="1" applyBorder="1">
      <alignment/>
      <protection/>
    </xf>
    <xf numFmtId="3" fontId="27" fillId="0" borderId="56" xfId="59" applyNumberFormat="1" applyFont="1" applyBorder="1">
      <alignment/>
      <protection/>
    </xf>
    <xf numFmtId="3" fontId="55" fillId="0" borderId="53" xfId="59" applyNumberFormat="1" applyFont="1" applyBorder="1" applyAlignment="1">
      <alignment horizontal="right" vertical="center"/>
      <protection/>
    </xf>
    <xf numFmtId="3" fontId="55" fillId="0" borderId="60" xfId="59" applyNumberFormat="1" applyFont="1" applyBorder="1" applyAlignment="1">
      <alignment horizontal="right" vertical="center"/>
      <protection/>
    </xf>
    <xf numFmtId="3" fontId="32" fillId="0" borderId="53" xfId="59" applyNumberFormat="1" applyFont="1" applyBorder="1">
      <alignment/>
      <protection/>
    </xf>
    <xf numFmtId="3" fontId="32" fillId="0" borderId="60" xfId="59" applyNumberFormat="1" applyFont="1" applyBorder="1">
      <alignment/>
      <protection/>
    </xf>
    <xf numFmtId="3" fontId="55" fillId="0" borderId="56" xfId="59" applyNumberFormat="1" applyFont="1" applyBorder="1" applyAlignment="1">
      <alignment horizontal="right" vertical="center"/>
      <protection/>
    </xf>
    <xf numFmtId="0" fontId="32" fillId="0" borderId="53" xfId="59" applyFont="1" applyBorder="1" applyAlignment="1">
      <alignment horizontal="right"/>
      <protection/>
    </xf>
    <xf numFmtId="0" fontId="32" fillId="0" borderId="0" xfId="59" applyFont="1" applyBorder="1" applyAlignment="1">
      <alignment horizontal="right"/>
      <protection/>
    </xf>
    <xf numFmtId="0" fontId="32" fillId="0" borderId="55" xfId="59" applyFont="1" applyBorder="1" applyAlignment="1">
      <alignment horizontal="right"/>
      <protection/>
    </xf>
    <xf numFmtId="0" fontId="32" fillId="0" borderId="53" xfId="59" applyFont="1" applyBorder="1" applyAlignment="1">
      <alignment horizontal="left"/>
      <protection/>
    </xf>
    <xf numFmtId="0" fontId="55" fillId="0" borderId="56" xfId="59" applyFont="1" applyBorder="1">
      <alignment/>
      <protection/>
    </xf>
    <xf numFmtId="3" fontId="55" fillId="0" borderId="53" xfId="59" applyNumberFormat="1" applyFont="1" applyBorder="1">
      <alignment/>
      <protection/>
    </xf>
    <xf numFmtId="3" fontId="55" fillId="0" borderId="60" xfId="59" applyNumberFormat="1" applyFont="1" applyBorder="1">
      <alignment/>
      <protection/>
    </xf>
    <xf numFmtId="3" fontId="55" fillId="0" borderId="62" xfId="59" applyNumberFormat="1" applyFont="1" applyBorder="1">
      <alignment/>
      <protection/>
    </xf>
    <xf numFmtId="3" fontId="55" fillId="0" borderId="56" xfId="59" applyNumberFormat="1" applyFont="1" applyBorder="1">
      <alignment/>
      <protection/>
    </xf>
    <xf numFmtId="0" fontId="19" fillId="0" borderId="53" xfId="59" applyBorder="1" applyAlignment="1">
      <alignment horizontal="right"/>
      <protection/>
    </xf>
    <xf numFmtId="0" fontId="19" fillId="0" borderId="0" xfId="59" applyBorder="1" applyAlignment="1">
      <alignment horizontal="right"/>
      <protection/>
    </xf>
    <xf numFmtId="0" fontId="19" fillId="0" borderId="55" xfId="59" applyBorder="1" applyAlignment="1">
      <alignment horizontal="right"/>
      <protection/>
    </xf>
    <xf numFmtId="0" fontId="19" fillId="0" borderId="0" xfId="59" applyBorder="1">
      <alignment/>
      <protection/>
    </xf>
    <xf numFmtId="0" fontId="19" fillId="0" borderId="56" xfId="59" applyBorder="1">
      <alignment/>
      <protection/>
    </xf>
    <xf numFmtId="3" fontId="32" fillId="0" borderId="0" xfId="59" applyNumberFormat="1" applyFont="1" applyFill="1" applyBorder="1">
      <alignment/>
      <protection/>
    </xf>
    <xf numFmtId="3" fontId="32" fillId="0" borderId="63" xfId="59" applyNumberFormat="1" applyFont="1" applyFill="1" applyBorder="1">
      <alignment/>
      <protection/>
    </xf>
    <xf numFmtId="0" fontId="19" fillId="0" borderId="0" xfId="59" applyFont="1" applyBorder="1">
      <alignment/>
      <protection/>
    </xf>
    <xf numFmtId="3" fontId="32" fillId="0" borderId="64" xfId="59" applyNumberFormat="1" applyFont="1" applyBorder="1">
      <alignment/>
      <protection/>
    </xf>
    <xf numFmtId="3" fontId="32" fillId="0" borderId="64" xfId="59" applyNumberFormat="1" applyFont="1" applyFill="1" applyBorder="1">
      <alignment/>
      <protection/>
    </xf>
    <xf numFmtId="0" fontId="19" fillId="0" borderId="53" xfId="59" applyBorder="1">
      <alignment/>
      <protection/>
    </xf>
    <xf numFmtId="3" fontId="31" fillId="0" borderId="65" xfId="59" applyNumberFormat="1" applyFont="1" applyBorder="1">
      <alignment/>
      <protection/>
    </xf>
    <xf numFmtId="0" fontId="32" fillId="0" borderId="66" xfId="59" applyFont="1" applyBorder="1" applyAlignment="1">
      <alignment horizontal="left"/>
      <protection/>
    </xf>
    <xf numFmtId="3" fontId="31" fillId="0" borderId="66" xfId="59" applyNumberFormat="1" applyFont="1" applyBorder="1">
      <alignment/>
      <protection/>
    </xf>
    <xf numFmtId="0" fontId="19" fillId="0" borderId="58" xfId="59" applyBorder="1">
      <alignment/>
      <protection/>
    </xf>
    <xf numFmtId="0" fontId="19" fillId="0" borderId="55" xfId="59" applyBorder="1">
      <alignment/>
      <protection/>
    </xf>
    <xf numFmtId="0" fontId="19" fillId="0" borderId="60" xfId="59" applyBorder="1">
      <alignment/>
      <protection/>
    </xf>
    <xf numFmtId="3" fontId="32" fillId="0" borderId="63" xfId="59" applyNumberFormat="1" applyFont="1" applyBorder="1">
      <alignment/>
      <protection/>
    </xf>
    <xf numFmtId="0" fontId="19" fillId="0" borderId="67" xfId="59" applyBorder="1">
      <alignment/>
      <protection/>
    </xf>
    <xf numFmtId="0" fontId="19" fillId="0" borderId="68" xfId="59" applyBorder="1">
      <alignment/>
      <protection/>
    </xf>
    <xf numFmtId="0" fontId="19" fillId="0" borderId="69" xfId="59" applyBorder="1">
      <alignment/>
      <protection/>
    </xf>
    <xf numFmtId="3" fontId="55" fillId="0" borderId="70" xfId="59" applyNumberFormat="1" applyFont="1" applyBorder="1" applyAlignment="1">
      <alignment horizontal="right"/>
      <protection/>
    </xf>
    <xf numFmtId="3" fontId="55" fillId="0" borderId="60" xfId="59" applyNumberFormat="1" applyFont="1" applyBorder="1" applyAlignment="1">
      <alignment horizontal="right"/>
      <protection/>
    </xf>
    <xf numFmtId="3" fontId="27" fillId="0" borderId="60" xfId="59" applyNumberFormat="1" applyFont="1" applyBorder="1" applyAlignment="1">
      <alignment horizontal="right"/>
      <protection/>
    </xf>
    <xf numFmtId="3" fontId="55" fillId="0" borderId="53" xfId="59" applyNumberFormat="1" applyFont="1" applyBorder="1" applyAlignment="1">
      <alignment horizontal="right"/>
      <protection/>
    </xf>
    <xf numFmtId="3" fontId="55" fillId="0" borderId="48" xfId="59" applyNumberFormat="1" applyFont="1" applyBorder="1" applyAlignment="1">
      <alignment horizontal="right" vertical="center"/>
      <protection/>
    </xf>
    <xf numFmtId="3" fontId="27" fillId="34" borderId="71" xfId="59" applyNumberFormat="1" applyFont="1" applyFill="1" applyBorder="1" applyAlignment="1">
      <alignment horizontal="right"/>
      <protection/>
    </xf>
    <xf numFmtId="3" fontId="27" fillId="34" borderId="72" xfId="59" applyNumberFormat="1" applyFont="1" applyFill="1" applyBorder="1">
      <alignment/>
      <protection/>
    </xf>
    <xf numFmtId="3" fontId="27" fillId="34" borderId="73" xfId="59" applyNumberFormat="1" applyFont="1" applyFill="1" applyBorder="1">
      <alignment/>
      <protection/>
    </xf>
    <xf numFmtId="0" fontId="19" fillId="34" borderId="72" xfId="59" applyFill="1" applyBorder="1">
      <alignment/>
      <protection/>
    </xf>
    <xf numFmtId="3" fontId="27" fillId="34" borderId="74" xfId="59" applyNumberFormat="1" applyFont="1" applyFill="1" applyBorder="1" applyAlignment="1">
      <alignment horizontal="right"/>
      <protection/>
    </xf>
    <xf numFmtId="0" fontId="19" fillId="34" borderId="75" xfId="59" applyFill="1" applyBorder="1">
      <alignment/>
      <protection/>
    </xf>
    <xf numFmtId="3" fontId="31" fillId="34" borderId="76" xfId="59" applyNumberFormat="1" applyFont="1" applyFill="1" applyBorder="1" applyAlignment="1">
      <alignment horizontal="right"/>
      <protection/>
    </xf>
    <xf numFmtId="0" fontId="19" fillId="34" borderId="77" xfId="59" applyFill="1" applyBorder="1">
      <alignment/>
      <protection/>
    </xf>
    <xf numFmtId="3" fontId="55" fillId="34" borderId="78" xfId="59" applyNumberFormat="1" applyFont="1" applyFill="1" applyBorder="1" applyAlignment="1">
      <alignment horizontal="right"/>
      <protection/>
    </xf>
    <xf numFmtId="3" fontId="55" fillId="34" borderId="79" xfId="59" applyNumberFormat="1" applyFont="1" applyFill="1" applyBorder="1" applyAlignment="1">
      <alignment horizontal="right"/>
      <protection/>
    </xf>
    <xf numFmtId="3" fontId="55" fillId="34" borderId="80" xfId="59" applyNumberFormat="1" applyFont="1" applyFill="1" applyBorder="1">
      <alignment/>
      <protection/>
    </xf>
    <xf numFmtId="3" fontId="55" fillId="34" borderId="78" xfId="59" applyNumberFormat="1" applyFont="1" applyFill="1" applyBorder="1">
      <alignment/>
      <protection/>
    </xf>
    <xf numFmtId="3" fontId="55" fillId="34" borderId="79" xfId="59" applyNumberFormat="1" applyFont="1" applyFill="1" applyBorder="1">
      <alignment/>
      <protection/>
    </xf>
    <xf numFmtId="0" fontId="27" fillId="0" borderId="81" xfId="59" applyFont="1" applyBorder="1" applyAlignment="1">
      <alignment horizontal="center"/>
      <protection/>
    </xf>
    <xf numFmtId="0" fontId="27" fillId="0" borderId="82" xfId="59" applyFont="1" applyBorder="1">
      <alignment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27" fillId="0" borderId="25" xfId="59" applyFont="1" applyBorder="1" applyAlignment="1">
      <alignment horizontal="center"/>
      <protection/>
    </xf>
    <xf numFmtId="0" fontId="31" fillId="0" borderId="0" xfId="59" applyFont="1" applyBorder="1" applyAlignment="1">
      <alignment horizontal="right" vertical="center"/>
      <protection/>
    </xf>
    <xf numFmtId="0" fontId="31" fillId="0" borderId="83" xfId="59" applyFont="1" applyBorder="1" applyAlignment="1">
      <alignment horizontal="right" vertical="center"/>
      <protection/>
    </xf>
    <xf numFmtId="0" fontId="32" fillId="0" borderId="62" xfId="59" applyFont="1" applyBorder="1">
      <alignment/>
      <protection/>
    </xf>
    <xf numFmtId="0" fontId="19" fillId="0" borderId="60" xfId="59" applyBorder="1" applyAlignment="1">
      <alignment horizontal="right"/>
      <protection/>
    </xf>
    <xf numFmtId="3" fontId="55" fillId="0" borderId="0" xfId="59" applyNumberFormat="1" applyFont="1" applyBorder="1" applyAlignment="1">
      <alignment horizontal="right" vertical="center"/>
      <protection/>
    </xf>
    <xf numFmtId="3" fontId="19" fillId="0" borderId="60" xfId="59" applyNumberFormat="1" applyFont="1" applyBorder="1" applyAlignment="1">
      <alignment horizontal="right"/>
      <protection/>
    </xf>
    <xf numFmtId="3" fontId="19" fillId="0" borderId="0" xfId="59" applyNumberFormat="1" applyFont="1" applyBorder="1">
      <alignment/>
      <protection/>
    </xf>
    <xf numFmtId="3" fontId="19" fillId="0" borderId="56" xfId="59" applyNumberFormat="1" applyFont="1" applyBorder="1">
      <alignment/>
      <protection/>
    </xf>
    <xf numFmtId="0" fontId="19" fillId="0" borderId="50" xfId="59" applyBorder="1">
      <alignment/>
      <protection/>
    </xf>
    <xf numFmtId="3" fontId="27" fillId="0" borderId="51" xfId="59" applyNumberFormat="1" applyFont="1" applyBorder="1" applyAlignment="1">
      <alignment horizontal="right"/>
      <protection/>
    </xf>
    <xf numFmtId="3" fontId="27" fillId="0" borderId="84" xfId="59" applyNumberFormat="1" applyFont="1" applyBorder="1">
      <alignment/>
      <protection/>
    </xf>
    <xf numFmtId="3" fontId="27" fillId="0" borderId="52" xfId="59" applyNumberFormat="1" applyFont="1" applyBorder="1">
      <alignment/>
      <protection/>
    </xf>
    <xf numFmtId="3" fontId="32" fillId="35" borderId="85" xfId="59" applyNumberFormat="1" applyFont="1" applyFill="1" applyBorder="1" applyAlignment="1">
      <alignment/>
      <protection/>
    </xf>
    <xf numFmtId="3" fontId="31" fillId="0" borderId="86" xfId="59" applyNumberFormat="1" applyFont="1" applyBorder="1" applyAlignment="1">
      <alignment horizontal="right"/>
      <protection/>
    </xf>
    <xf numFmtId="0" fontId="19" fillId="0" borderId="46" xfId="59" applyBorder="1">
      <alignment/>
      <protection/>
    </xf>
    <xf numFmtId="0" fontId="19" fillId="0" borderId="84" xfId="59" applyBorder="1">
      <alignment/>
      <protection/>
    </xf>
    <xf numFmtId="3" fontId="19" fillId="0" borderId="85" xfId="59" applyNumberFormat="1" applyBorder="1">
      <alignment/>
      <protection/>
    </xf>
    <xf numFmtId="0" fontId="19" fillId="0" borderId="85" xfId="59" applyBorder="1">
      <alignment/>
      <protection/>
    </xf>
    <xf numFmtId="3" fontId="31" fillId="0" borderId="87" xfId="59" applyNumberFormat="1" applyFont="1" applyBorder="1" applyAlignment="1">
      <alignment horizontal="right"/>
      <protection/>
    </xf>
    <xf numFmtId="3" fontId="55" fillId="0" borderId="25" xfId="59" applyNumberFormat="1" applyFont="1" applyBorder="1" applyAlignment="1">
      <alignment horizontal="right"/>
      <protection/>
    </xf>
    <xf numFmtId="3" fontId="55" fillId="0" borderId="47" xfId="59" applyNumberFormat="1" applyFont="1" applyBorder="1" applyAlignment="1">
      <alignment horizontal="right"/>
      <protection/>
    </xf>
    <xf numFmtId="3" fontId="55" fillId="0" borderId="88" xfId="59" applyNumberFormat="1" applyFont="1" applyBorder="1">
      <alignment/>
      <protection/>
    </xf>
    <xf numFmtId="3" fontId="55" fillId="0" borderId="50" xfId="59" applyNumberFormat="1" applyFont="1" applyBorder="1">
      <alignment/>
      <protection/>
    </xf>
    <xf numFmtId="3" fontId="55" fillId="0" borderId="51" xfId="59" applyNumberFormat="1" applyFont="1" applyBorder="1">
      <alignment/>
      <protection/>
    </xf>
    <xf numFmtId="3" fontId="55" fillId="0" borderId="52" xfId="59" applyNumberFormat="1" applyFont="1" applyBorder="1" applyAlignment="1">
      <alignment horizontal="right" vertical="center"/>
      <protection/>
    </xf>
    <xf numFmtId="3" fontId="19" fillId="0" borderId="0" xfId="59" applyNumberFormat="1" applyBorder="1">
      <alignment/>
      <protection/>
    </xf>
    <xf numFmtId="0" fontId="32" fillId="34" borderId="89" xfId="59" applyFont="1" applyFill="1" applyBorder="1" applyAlignment="1">
      <alignment horizontal="left"/>
      <protection/>
    </xf>
    <xf numFmtId="3" fontId="31" fillId="34" borderId="90" xfId="59" applyNumberFormat="1" applyFont="1" applyFill="1" applyBorder="1" applyAlignment="1">
      <alignment horizontal="right"/>
      <protection/>
    </xf>
    <xf numFmtId="3" fontId="55" fillId="34" borderId="72" xfId="59" applyNumberFormat="1" applyFont="1" applyFill="1" applyBorder="1" applyAlignment="1">
      <alignment horizontal="right"/>
      <protection/>
    </xf>
    <xf numFmtId="3" fontId="55" fillId="34" borderId="71" xfId="59" applyNumberFormat="1" applyFont="1" applyFill="1" applyBorder="1" applyAlignment="1">
      <alignment horizontal="right"/>
      <protection/>
    </xf>
    <xf numFmtId="3" fontId="55" fillId="34" borderId="91" xfId="59" applyNumberFormat="1" applyFont="1" applyFill="1" applyBorder="1">
      <alignment/>
      <protection/>
    </xf>
    <xf numFmtId="3" fontId="55" fillId="34" borderId="89" xfId="59" applyNumberFormat="1" applyFont="1" applyFill="1" applyBorder="1">
      <alignment/>
      <protection/>
    </xf>
    <xf numFmtId="3" fontId="55" fillId="34" borderId="71" xfId="59" applyNumberFormat="1" applyFont="1" applyFill="1" applyBorder="1">
      <alignment/>
      <protection/>
    </xf>
    <xf numFmtId="3" fontId="55" fillId="34" borderId="73" xfId="59" applyNumberFormat="1" applyFont="1" applyFill="1" applyBorder="1" applyAlignment="1">
      <alignment horizontal="right" vertical="center"/>
      <protection/>
    </xf>
    <xf numFmtId="0" fontId="19" fillId="0" borderId="89" xfId="59" applyBorder="1">
      <alignment/>
      <protection/>
    </xf>
    <xf numFmtId="0" fontId="19" fillId="0" borderId="72" xfId="59" applyBorder="1" applyAlignment="1">
      <alignment horizontal="right"/>
      <protection/>
    </xf>
    <xf numFmtId="0" fontId="19" fillId="0" borderId="71" xfId="59" applyBorder="1" applyAlignment="1">
      <alignment horizontal="right"/>
      <protection/>
    </xf>
    <xf numFmtId="0" fontId="19" fillId="0" borderId="72" xfId="59" applyBorder="1">
      <alignment/>
      <protection/>
    </xf>
    <xf numFmtId="0" fontId="19" fillId="0" borderId="73" xfId="59" applyBorder="1">
      <alignment/>
      <protection/>
    </xf>
    <xf numFmtId="0" fontId="19" fillId="0" borderId="72" xfId="59" applyBorder="1" applyAlignment="1">
      <alignment/>
      <protection/>
    </xf>
    <xf numFmtId="0" fontId="31" fillId="0" borderId="76" xfId="59" applyFont="1" applyBorder="1" applyAlignment="1">
      <alignment horizontal="right"/>
      <protection/>
    </xf>
    <xf numFmtId="0" fontId="19" fillId="0" borderId="75" xfId="59" applyBorder="1">
      <alignment/>
      <protection/>
    </xf>
    <xf numFmtId="3" fontId="31" fillId="0" borderId="90" xfId="59" applyNumberFormat="1" applyFont="1" applyBorder="1" applyAlignment="1">
      <alignment horizontal="right"/>
      <protection/>
    </xf>
    <xf numFmtId="0" fontId="31" fillId="0" borderId="72" xfId="59" applyFont="1" applyBorder="1" applyAlignment="1">
      <alignment horizontal="right"/>
      <protection/>
    </xf>
    <xf numFmtId="0" fontId="31" fillId="0" borderId="71" xfId="59" applyFont="1" applyBorder="1" applyAlignment="1">
      <alignment horizontal="right"/>
      <protection/>
    </xf>
    <xf numFmtId="0" fontId="19" fillId="0" borderId="91" xfId="59" applyBorder="1">
      <alignment/>
      <protection/>
    </xf>
    <xf numFmtId="0" fontId="19" fillId="0" borderId="71" xfId="59" applyBorder="1">
      <alignment/>
      <protection/>
    </xf>
    <xf numFmtId="0" fontId="55" fillId="0" borderId="92" xfId="59" applyFont="1" applyBorder="1" applyAlignment="1">
      <alignment horizontal="right" vertical="center"/>
      <protection/>
    </xf>
    <xf numFmtId="0" fontId="19" fillId="0" borderId="0" xfId="59">
      <alignment/>
      <protection/>
    </xf>
    <xf numFmtId="0" fontId="19" fillId="0" borderId="93" xfId="59" applyBorder="1">
      <alignment/>
      <protection/>
    </xf>
    <xf numFmtId="0" fontId="19" fillId="0" borderId="94" xfId="59" applyBorder="1">
      <alignment/>
      <protection/>
    </xf>
    <xf numFmtId="0" fontId="19" fillId="0" borderId="62" xfId="59" applyBorder="1">
      <alignment/>
      <protection/>
    </xf>
    <xf numFmtId="3" fontId="19" fillId="0" borderId="0" xfId="59" applyNumberFormat="1">
      <alignment/>
      <protection/>
    </xf>
    <xf numFmtId="3" fontId="55" fillId="0" borderId="0" xfId="59" applyNumberFormat="1" applyFont="1" applyBorder="1">
      <alignment/>
      <protection/>
    </xf>
    <xf numFmtId="3" fontId="55" fillId="0" borderId="70" xfId="59" applyNumberFormat="1" applyFont="1" applyBorder="1">
      <alignment/>
      <protection/>
    </xf>
    <xf numFmtId="0" fontId="19" fillId="0" borderId="63" xfId="59" applyBorder="1">
      <alignment/>
      <protection/>
    </xf>
    <xf numFmtId="0" fontId="19" fillId="0" borderId="81" xfId="59" applyBorder="1">
      <alignment/>
      <protection/>
    </xf>
    <xf numFmtId="0" fontId="19" fillId="0" borderId="25" xfId="59" applyBorder="1">
      <alignment/>
      <protection/>
    </xf>
    <xf numFmtId="0" fontId="19" fillId="0" borderId="16" xfId="59" applyBorder="1">
      <alignment/>
      <protection/>
    </xf>
    <xf numFmtId="3" fontId="31" fillId="0" borderId="94" xfId="59" applyNumberFormat="1" applyFont="1" applyBorder="1" applyAlignment="1">
      <alignment vertical="center"/>
      <protection/>
    </xf>
    <xf numFmtId="3" fontId="31" fillId="0" borderId="48" xfId="59" applyNumberFormat="1" applyFont="1" applyBorder="1">
      <alignment/>
      <protection/>
    </xf>
    <xf numFmtId="3" fontId="31" fillId="0" borderId="95" xfId="59" applyNumberFormat="1" applyFont="1" applyBorder="1" applyAlignment="1">
      <alignment vertical="center"/>
      <protection/>
    </xf>
    <xf numFmtId="3" fontId="55" fillId="0" borderId="49" xfId="59" applyNumberFormat="1" applyFont="1" applyBorder="1" applyAlignment="1">
      <alignment horizontal="right" vertical="center"/>
      <protection/>
    </xf>
    <xf numFmtId="3" fontId="55" fillId="0" borderId="47" xfId="59" applyNumberFormat="1" applyFont="1" applyBorder="1" applyAlignment="1">
      <alignment horizontal="right" vertical="center"/>
      <protection/>
    </xf>
    <xf numFmtId="3" fontId="55" fillId="0" borderId="49" xfId="59" applyNumberFormat="1" applyFont="1" applyBorder="1">
      <alignment/>
      <protection/>
    </xf>
    <xf numFmtId="3" fontId="55" fillId="0" borderId="47" xfId="59" applyNumberFormat="1" applyFont="1" applyBorder="1">
      <alignment/>
      <protection/>
    </xf>
    <xf numFmtId="3" fontId="27" fillId="34" borderId="96" xfId="59" applyNumberFormat="1" applyFont="1" applyFill="1" applyBorder="1">
      <alignment/>
      <protection/>
    </xf>
    <xf numFmtId="0" fontId="32" fillId="34" borderId="0" xfId="59" applyFont="1" applyFill="1" applyBorder="1" applyAlignment="1">
      <alignment horizontal="left" wrapText="1"/>
      <protection/>
    </xf>
    <xf numFmtId="3" fontId="31" fillId="34" borderId="93" xfId="59" applyNumberFormat="1" applyFont="1" applyFill="1" applyBorder="1">
      <alignment/>
      <protection/>
    </xf>
    <xf numFmtId="3" fontId="31" fillId="34" borderId="75" xfId="59" applyNumberFormat="1" applyFont="1" applyFill="1" applyBorder="1">
      <alignment/>
      <protection/>
    </xf>
    <xf numFmtId="3" fontId="55" fillId="34" borderId="97" xfId="59" applyNumberFormat="1" applyFont="1" applyFill="1" applyBorder="1">
      <alignment/>
      <protection/>
    </xf>
    <xf numFmtId="3" fontId="55" fillId="34" borderId="98" xfId="59" applyNumberFormat="1" applyFont="1" applyFill="1" applyBorder="1">
      <alignment/>
      <protection/>
    </xf>
    <xf numFmtId="3" fontId="55" fillId="34" borderId="92" xfId="59" applyNumberFormat="1" applyFont="1" applyFill="1" applyBorder="1">
      <alignment/>
      <protection/>
    </xf>
    <xf numFmtId="3" fontId="55" fillId="34" borderId="99" xfId="59" applyNumberFormat="1" applyFont="1" applyFill="1" applyBorder="1">
      <alignment/>
      <protection/>
    </xf>
    <xf numFmtId="3" fontId="57" fillId="0" borderId="98" xfId="59" applyNumberFormat="1" applyFont="1" applyBorder="1" applyAlignment="1">
      <alignment horizontal="center"/>
      <protection/>
    </xf>
    <xf numFmtId="3" fontId="57" fillId="0" borderId="100" xfId="59" applyNumberFormat="1" applyFont="1" applyBorder="1" applyAlignment="1">
      <alignment horizontal="center"/>
      <protection/>
    </xf>
    <xf numFmtId="3" fontId="57" fillId="0" borderId="101" xfId="59" applyNumberFormat="1" applyFont="1" applyBorder="1">
      <alignment/>
      <protection/>
    </xf>
    <xf numFmtId="3" fontId="31" fillId="0" borderId="66" xfId="59" applyNumberFormat="1" applyFont="1" applyBorder="1" applyAlignment="1">
      <alignment horizontal="right" vertical="center"/>
      <protection/>
    </xf>
    <xf numFmtId="0" fontId="19" fillId="0" borderId="66" xfId="59" applyBorder="1">
      <alignment/>
      <protection/>
    </xf>
    <xf numFmtId="0" fontId="19" fillId="0" borderId="39" xfId="59" applyBorder="1">
      <alignment/>
      <protection/>
    </xf>
    <xf numFmtId="3" fontId="58" fillId="0" borderId="98" xfId="59" applyNumberFormat="1" applyFont="1" applyBorder="1">
      <alignment/>
      <protection/>
    </xf>
    <xf numFmtId="3" fontId="58" fillId="0" borderId="39" xfId="59" applyNumberFormat="1" applyFont="1" applyBorder="1">
      <alignment/>
      <protection/>
    </xf>
    <xf numFmtId="3" fontId="58" fillId="0" borderId="92" xfId="59" applyNumberFormat="1" applyFont="1" applyBorder="1">
      <alignment/>
      <protection/>
    </xf>
    <xf numFmtId="0" fontId="32" fillId="0" borderId="38" xfId="59" applyFont="1" applyBorder="1" applyAlignment="1">
      <alignment horizontal="left"/>
      <protection/>
    </xf>
    <xf numFmtId="0" fontId="32" fillId="0" borderId="38" xfId="59" applyFont="1" applyBorder="1">
      <alignment/>
      <protection/>
    </xf>
    <xf numFmtId="0" fontId="19" fillId="0" borderId="38" xfId="59" applyBorder="1">
      <alignment/>
      <protection/>
    </xf>
    <xf numFmtId="0" fontId="27" fillId="0" borderId="0" xfId="59" applyFont="1" applyAlignment="1">
      <alignment horizontal="center"/>
      <protection/>
    </xf>
    <xf numFmtId="0" fontId="27" fillId="0" borderId="0" xfId="59" applyFont="1" applyAlignment="1">
      <alignment horizontal="right"/>
      <protection/>
    </xf>
    <xf numFmtId="0" fontId="53" fillId="0" borderId="0" xfId="59" applyFont="1">
      <alignment/>
      <protection/>
    </xf>
    <xf numFmtId="0" fontId="27" fillId="0" borderId="0" xfId="59" applyFont="1" applyAlignment="1">
      <alignment horizontal="left"/>
      <protection/>
    </xf>
    <xf numFmtId="0" fontId="19" fillId="0" borderId="0" xfId="59" applyFont="1">
      <alignment/>
      <protection/>
    </xf>
    <xf numFmtId="0" fontId="32" fillId="0" borderId="0" xfId="59" applyFont="1" applyFill="1" applyBorder="1">
      <alignment/>
      <protection/>
    </xf>
    <xf numFmtId="0" fontId="68" fillId="0" borderId="33" xfId="59" applyFont="1" applyBorder="1">
      <alignment/>
      <protection/>
    </xf>
    <xf numFmtId="3" fontId="19" fillId="0" borderId="33" xfId="59" applyNumberFormat="1" applyBorder="1">
      <alignment/>
      <protection/>
    </xf>
    <xf numFmtId="0" fontId="19" fillId="0" borderId="33" xfId="59" applyBorder="1">
      <alignment/>
      <protection/>
    </xf>
    <xf numFmtId="0" fontId="19" fillId="0" borderId="33" xfId="59" applyFont="1" applyBorder="1">
      <alignment/>
      <protection/>
    </xf>
    <xf numFmtId="0" fontId="19" fillId="0" borderId="0" xfId="59" applyFont="1" applyAlignment="1">
      <alignment horizontal="right"/>
      <protection/>
    </xf>
    <xf numFmtId="0" fontId="19" fillId="0" borderId="0" xfId="59" applyAlignment="1">
      <alignment/>
      <protection/>
    </xf>
    <xf numFmtId="0" fontId="0" fillId="0" borderId="0" xfId="0" applyAlignment="1">
      <alignment horizontal="left"/>
    </xf>
    <xf numFmtId="0" fontId="27" fillId="0" borderId="0" xfId="59" applyFont="1">
      <alignment/>
      <protection/>
    </xf>
    <xf numFmtId="3" fontId="27" fillId="0" borderId="0" xfId="59" applyNumberFormat="1" applyFont="1">
      <alignment/>
      <protection/>
    </xf>
    <xf numFmtId="3" fontId="27" fillId="34" borderId="79" xfId="59" applyNumberFormat="1" applyFont="1" applyFill="1" applyBorder="1">
      <alignment/>
      <protection/>
    </xf>
    <xf numFmtId="3" fontId="27" fillId="34" borderId="102" xfId="59" applyNumberFormat="1" applyFont="1" applyFill="1" applyBorder="1">
      <alignment/>
      <protection/>
    </xf>
    <xf numFmtId="3" fontId="75" fillId="0" borderId="0" xfId="59" applyNumberFormat="1" applyFont="1" applyBorder="1">
      <alignment/>
      <protection/>
    </xf>
    <xf numFmtId="0" fontId="75" fillId="0" borderId="0" xfId="59" applyFont="1" applyBorder="1" applyAlignment="1">
      <alignment horizontal="left"/>
      <protection/>
    </xf>
    <xf numFmtId="0" fontId="75" fillId="0" borderId="53" xfId="59" applyFont="1" applyBorder="1" applyAlignment="1">
      <alignment horizontal="left"/>
      <protection/>
    </xf>
    <xf numFmtId="0" fontId="75" fillId="0" borderId="57" xfId="59" applyFont="1" applyBorder="1">
      <alignment/>
      <protection/>
    </xf>
    <xf numFmtId="0" fontId="75" fillId="0" borderId="0" xfId="59" applyFont="1" applyBorder="1">
      <alignment/>
      <protection/>
    </xf>
    <xf numFmtId="0" fontId="75" fillId="0" borderId="59" xfId="59" applyFont="1" applyBorder="1" applyAlignment="1">
      <alignment horizontal="left"/>
      <protection/>
    </xf>
    <xf numFmtId="0" fontId="75" fillId="0" borderId="57" xfId="59" applyFont="1" applyBorder="1" applyAlignment="1">
      <alignment horizontal="left"/>
      <protection/>
    </xf>
    <xf numFmtId="3" fontId="75" fillId="0" borderId="64" xfId="59" applyNumberFormat="1" applyFont="1" applyFill="1" applyBorder="1">
      <alignment/>
      <protection/>
    </xf>
    <xf numFmtId="0" fontId="76" fillId="0" borderId="49" xfId="59" applyFont="1" applyBorder="1">
      <alignment/>
      <protection/>
    </xf>
    <xf numFmtId="0" fontId="76" fillId="0" borderId="25" xfId="59" applyFont="1" applyBorder="1">
      <alignment/>
      <protection/>
    </xf>
    <xf numFmtId="0" fontId="76" fillId="0" borderId="16" xfId="59" applyFont="1" applyBorder="1">
      <alignment/>
      <protection/>
    </xf>
    <xf numFmtId="3" fontId="75" fillId="0" borderId="0" xfId="59" applyNumberFormat="1" applyFont="1">
      <alignment/>
      <protection/>
    </xf>
    <xf numFmtId="3" fontId="32" fillId="0" borderId="0" xfId="59" applyNumberFormat="1" applyFont="1" applyBorder="1" applyAlignment="1">
      <alignment horizontal="right"/>
      <protection/>
    </xf>
    <xf numFmtId="3" fontId="32" fillId="0" borderId="0" xfId="59" applyNumberFormat="1" applyFont="1">
      <alignment/>
      <protection/>
    </xf>
    <xf numFmtId="0" fontId="32" fillId="0" borderId="63" xfId="59" applyFont="1" applyBorder="1">
      <alignment/>
      <protection/>
    </xf>
    <xf numFmtId="3" fontId="31" fillId="34" borderId="74" xfId="59" applyNumberFormat="1" applyFont="1" applyFill="1" applyBorder="1">
      <alignment/>
      <protection/>
    </xf>
    <xf numFmtId="0" fontId="19" fillId="34" borderId="103" xfId="59" applyFill="1" applyBorder="1">
      <alignment/>
      <protection/>
    </xf>
    <xf numFmtId="3" fontId="55" fillId="34" borderId="104" xfId="59" applyNumberFormat="1" applyFont="1" applyFill="1" applyBorder="1">
      <alignment/>
      <protection/>
    </xf>
    <xf numFmtId="0" fontId="19" fillId="0" borderId="105" xfId="59" applyBorder="1">
      <alignment/>
      <protection/>
    </xf>
    <xf numFmtId="0" fontId="11" fillId="0" borderId="0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/>
    </xf>
    <xf numFmtId="4" fontId="27" fillId="0" borderId="29" xfId="61" applyNumberFormat="1" applyFont="1" applyBorder="1">
      <alignment/>
      <protection/>
    </xf>
    <xf numFmtId="169" fontId="19" fillId="0" borderId="29" xfId="61" applyNumberFormat="1" applyBorder="1">
      <alignment/>
      <protection/>
    </xf>
    <xf numFmtId="169" fontId="27" fillId="0" borderId="29" xfId="61" applyNumberFormat="1" applyFont="1" applyBorder="1">
      <alignment/>
      <protection/>
    </xf>
    <xf numFmtId="169" fontId="19" fillId="0" borderId="21" xfId="61" applyNumberFormat="1" applyBorder="1">
      <alignment/>
      <protection/>
    </xf>
    <xf numFmtId="169" fontId="27" fillId="0" borderId="21" xfId="61" applyNumberFormat="1" applyFont="1" applyBorder="1">
      <alignment/>
      <protection/>
    </xf>
    <xf numFmtId="0" fontId="19" fillId="0" borderId="18" xfId="61" applyFont="1" applyBorder="1" applyAlignment="1">
      <alignment wrapText="1"/>
      <protection/>
    </xf>
    <xf numFmtId="4" fontId="19" fillId="0" borderId="29" xfId="61" applyNumberFormat="1" applyBorder="1">
      <alignment/>
      <protection/>
    </xf>
    <xf numFmtId="3" fontId="54" fillId="33" borderId="29" xfId="61" applyNumberFormat="1" applyFont="1" applyFill="1" applyBorder="1" applyAlignment="1">
      <alignment horizontal="center"/>
      <protection/>
    </xf>
    <xf numFmtId="3" fontId="54" fillId="33" borderId="26" xfId="61" applyNumberFormat="1" applyFont="1" applyFill="1" applyBorder="1" applyAlignment="1">
      <alignment horizontal="center"/>
      <protection/>
    </xf>
    <xf numFmtId="3" fontId="54" fillId="33" borderId="13" xfId="61" applyNumberFormat="1" applyFont="1" applyFill="1" applyBorder="1">
      <alignment/>
      <protection/>
    </xf>
    <xf numFmtId="3" fontId="54" fillId="33" borderId="21" xfId="61" applyNumberFormat="1" applyFont="1" applyFill="1" applyBorder="1" applyAlignment="1">
      <alignment horizontal="center"/>
      <protection/>
    </xf>
    <xf numFmtId="0" fontId="27" fillId="0" borderId="29" xfId="0" applyFont="1" applyBorder="1" applyAlignment="1">
      <alignment horizontal="center"/>
    </xf>
    <xf numFmtId="0" fontId="32" fillId="0" borderId="29" xfId="0" applyFont="1" applyBorder="1" applyAlignment="1">
      <alignment wrapText="1"/>
    </xf>
    <xf numFmtId="0" fontId="27" fillId="32" borderId="29" xfId="0" applyFont="1" applyFill="1" applyBorder="1" applyAlignment="1">
      <alignment vertical="center" wrapText="1"/>
    </xf>
    <xf numFmtId="49" fontId="32" fillId="0" borderId="29" xfId="0" applyNumberFormat="1" applyFont="1" applyBorder="1" applyAlignment="1">
      <alignment/>
    </xf>
    <xf numFmtId="49" fontId="32" fillId="0" borderId="29" xfId="0" applyNumberFormat="1" applyFont="1" applyBorder="1" applyAlignment="1">
      <alignment wrapText="1"/>
    </xf>
    <xf numFmtId="0" fontId="27" fillId="0" borderId="29" xfId="0" applyFont="1" applyFill="1" applyBorder="1" applyAlignment="1">
      <alignment/>
    </xf>
    <xf numFmtId="49" fontId="33" fillId="0" borderId="29" xfId="0" applyNumberFormat="1" applyFont="1" applyBorder="1" applyAlignment="1">
      <alignment/>
    </xf>
    <xf numFmtId="0" fontId="27" fillId="7" borderId="29" xfId="0" applyFont="1" applyFill="1" applyBorder="1" applyAlignment="1">
      <alignment wrapText="1"/>
    </xf>
    <xf numFmtId="0" fontId="50" fillId="0" borderId="26" xfId="0" applyFont="1" applyBorder="1" applyAlignment="1">
      <alignment horizontal="left" vertical="center" wrapText="1"/>
    </xf>
    <xf numFmtId="0" fontId="77" fillId="0" borderId="0" xfId="0" applyFont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vertical="center" wrapText="1"/>
      <protection/>
    </xf>
    <xf numFmtId="3" fontId="3" fillId="0" borderId="107" xfId="60" applyNumberFormat="1" applyFont="1" applyFill="1" applyBorder="1" applyAlignment="1">
      <alignment vertical="center" wrapText="1"/>
      <protection/>
    </xf>
    <xf numFmtId="3" fontId="3" fillId="0" borderId="28" xfId="60" applyNumberFormat="1" applyFont="1" applyFill="1" applyBorder="1" applyAlignment="1">
      <alignment vertical="center" wrapText="1"/>
      <protection/>
    </xf>
    <xf numFmtId="3" fontId="5" fillId="0" borderId="27" xfId="60" applyNumberFormat="1" applyFont="1" applyFill="1" applyBorder="1" applyAlignment="1">
      <alignment vertical="center"/>
      <protection/>
    </xf>
    <xf numFmtId="3" fontId="5" fillId="0" borderId="28" xfId="60" applyNumberFormat="1" applyFont="1" applyFill="1" applyBorder="1" applyAlignment="1">
      <alignment vertical="center"/>
      <protection/>
    </xf>
    <xf numFmtId="0" fontId="4" fillId="0" borderId="19" xfId="60" applyFont="1" applyFill="1" applyBorder="1" applyAlignment="1">
      <alignment vertical="center" wrapText="1"/>
      <protection/>
    </xf>
    <xf numFmtId="3" fontId="3" fillId="0" borderId="13" xfId="60" applyNumberFormat="1" applyFont="1" applyFill="1" applyBorder="1" applyAlignment="1">
      <alignment vertical="center"/>
      <protection/>
    </xf>
    <xf numFmtId="3" fontId="48" fillId="0" borderId="13" xfId="60" applyNumberFormat="1" applyFont="1" applyFill="1" applyBorder="1" applyAlignment="1">
      <alignment vertical="center"/>
      <protection/>
    </xf>
    <xf numFmtId="49" fontId="4" fillId="0" borderId="108" xfId="60" applyNumberFormat="1" applyFont="1" applyFill="1" applyBorder="1" applyAlignment="1">
      <alignment vertical="center"/>
      <protection/>
    </xf>
    <xf numFmtId="49" fontId="5" fillId="0" borderId="40" xfId="60" applyNumberFormat="1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vertical="center" wrapText="1"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3" fontId="52" fillId="0" borderId="25" xfId="60" applyNumberFormat="1" applyFont="1" applyFill="1" applyBorder="1" applyAlignment="1">
      <alignment vertical="center"/>
      <protection/>
    </xf>
    <xf numFmtId="3" fontId="51" fillId="0" borderId="86" xfId="60" applyNumberFormat="1" applyFont="1" applyFill="1" applyBorder="1" applyAlignment="1">
      <alignment vertical="center"/>
      <protection/>
    </xf>
    <xf numFmtId="3" fontId="4" fillId="0" borderId="109" xfId="60" applyNumberFormat="1" applyFont="1" applyFill="1" applyBorder="1" applyAlignment="1">
      <alignment vertical="center"/>
      <protection/>
    </xf>
    <xf numFmtId="3" fontId="52" fillId="0" borderId="86" xfId="60" applyNumberFormat="1" applyFont="1" applyFill="1" applyBorder="1" applyAlignment="1">
      <alignment vertical="center"/>
      <protection/>
    </xf>
    <xf numFmtId="3" fontId="75" fillId="0" borderId="0" xfId="59" applyNumberFormat="1" applyFont="1" applyBorder="1" applyAlignment="1">
      <alignment/>
      <protection/>
    </xf>
    <xf numFmtId="3" fontId="75" fillId="0" borderId="63" xfId="59" applyNumberFormat="1" applyFont="1" applyBorder="1" applyAlignment="1">
      <alignment/>
      <protection/>
    </xf>
    <xf numFmtId="0" fontId="22" fillId="0" borderId="26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vertical="center" wrapText="1"/>
    </xf>
    <xf numFmtId="3" fontId="69" fillId="33" borderId="109" xfId="61" applyNumberFormat="1" applyFont="1" applyFill="1" applyBorder="1">
      <alignment/>
      <protection/>
    </xf>
    <xf numFmtId="3" fontId="27" fillId="33" borderId="109" xfId="61" applyNumberFormat="1" applyFont="1" applyFill="1" applyBorder="1">
      <alignment/>
      <protection/>
    </xf>
    <xf numFmtId="3" fontId="27" fillId="33" borderId="109" xfId="61" applyNumberFormat="1" applyFont="1" applyFill="1" applyBorder="1">
      <alignment/>
      <protection/>
    </xf>
    <xf numFmtId="0" fontId="43" fillId="0" borderId="110" xfId="61" applyFont="1" applyBorder="1" applyAlignment="1">
      <alignment horizontal="center" vertical="center" wrapText="1"/>
      <protection/>
    </xf>
    <xf numFmtId="3" fontId="27" fillId="33" borderId="109" xfId="61" applyNumberFormat="1" applyFont="1" applyFill="1" applyBorder="1" applyAlignment="1">
      <alignment vertical="center"/>
      <protection/>
    </xf>
    <xf numFmtId="3" fontId="27" fillId="0" borderId="109" xfId="61" applyNumberFormat="1" applyFont="1" applyBorder="1">
      <alignment/>
      <protection/>
    </xf>
    <xf numFmtId="3" fontId="19" fillId="0" borderId="109" xfId="61" applyNumberFormat="1" applyBorder="1">
      <alignment/>
      <protection/>
    </xf>
    <xf numFmtId="0" fontId="78" fillId="0" borderId="0" xfId="61" applyFont="1">
      <alignment/>
      <protection/>
    </xf>
    <xf numFmtId="0" fontId="11" fillId="0" borderId="0" xfId="0" applyFont="1" applyAlignment="1">
      <alignment horizontal="right" vertical="center"/>
    </xf>
    <xf numFmtId="0" fontId="61" fillId="0" borderId="26" xfId="0" applyFont="1" applyBorder="1" applyAlignment="1">
      <alignment horizontal="right"/>
    </xf>
    <xf numFmtId="0" fontId="64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3" fontId="57" fillId="0" borderId="111" xfId="59" applyNumberFormat="1" applyFont="1" applyBorder="1">
      <alignment/>
      <protection/>
    </xf>
    <xf numFmtId="3" fontId="57" fillId="0" borderId="98" xfId="59" applyNumberFormat="1" applyFont="1" applyBorder="1">
      <alignment/>
      <protection/>
    </xf>
    <xf numFmtId="3" fontId="57" fillId="0" borderId="112" xfId="59" applyNumberFormat="1" applyFont="1" applyBorder="1">
      <alignment/>
      <protection/>
    </xf>
    <xf numFmtId="3" fontId="55" fillId="0" borderId="59" xfId="59" applyNumberFormat="1" applyFont="1" applyBorder="1" applyAlignment="1">
      <alignment horizontal="right" vertical="center"/>
      <protection/>
    </xf>
    <xf numFmtId="3" fontId="55" fillId="0" borderId="83" xfId="59" applyNumberFormat="1" applyFont="1" applyBorder="1" applyAlignment="1">
      <alignment horizontal="right" vertical="center"/>
      <protection/>
    </xf>
    <xf numFmtId="3" fontId="55" fillId="0" borderId="113" xfId="59" applyNumberFormat="1" applyFont="1" applyBorder="1">
      <alignment/>
      <protection/>
    </xf>
    <xf numFmtId="3" fontId="55" fillId="0" borderId="59" xfId="59" applyNumberFormat="1" applyFont="1" applyBorder="1">
      <alignment/>
      <protection/>
    </xf>
    <xf numFmtId="3" fontId="55" fillId="0" borderId="83" xfId="59" applyNumberFormat="1" applyFont="1" applyBorder="1">
      <alignment/>
      <protection/>
    </xf>
    <xf numFmtId="3" fontId="55" fillId="0" borderId="61" xfId="59" applyNumberFormat="1" applyFont="1" applyBorder="1" applyAlignment="1">
      <alignment horizontal="right" vertical="center"/>
      <protection/>
    </xf>
    <xf numFmtId="0" fontId="56" fillId="0" borderId="59" xfId="59" applyFont="1" applyBorder="1" applyAlignment="1">
      <alignment horizontal="right"/>
      <protection/>
    </xf>
    <xf numFmtId="0" fontId="0" fillId="0" borderId="57" xfId="0" applyBorder="1" applyAlignment="1">
      <alignment horizontal="right"/>
    </xf>
    <xf numFmtId="3" fontId="27" fillId="0" borderId="83" xfId="59" applyNumberFormat="1" applyFont="1" applyBorder="1" applyAlignment="1">
      <alignment horizontal="right"/>
      <protection/>
    </xf>
    <xf numFmtId="3" fontId="27" fillId="0" borderId="57" xfId="59" applyNumberFormat="1" applyFont="1" applyBorder="1">
      <alignment/>
      <protection/>
    </xf>
    <xf numFmtId="3" fontId="27" fillId="0" borderId="61" xfId="59" applyNumberFormat="1" applyFont="1" applyBorder="1">
      <alignment/>
      <protection/>
    </xf>
    <xf numFmtId="49" fontId="5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 wrapText="1"/>
    </xf>
    <xf numFmtId="3" fontId="44" fillId="0" borderId="19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7" xfId="0" applyNumberFormat="1" applyFont="1" applyFill="1" applyBorder="1" applyAlignment="1">
      <alignment vertical="center"/>
    </xf>
    <xf numFmtId="3" fontId="11" fillId="0" borderId="63" xfId="0" applyNumberFormat="1" applyFont="1" applyFill="1" applyBorder="1" applyAlignment="1">
      <alignment horizontal="right" vertical="center"/>
    </xf>
    <xf numFmtId="0" fontId="22" fillId="0" borderId="0" xfId="62" applyFont="1" applyAlignment="1">
      <alignment horizontal="right" vertical="center"/>
      <protection/>
    </xf>
    <xf numFmtId="3" fontId="19" fillId="0" borderId="109" xfId="61" applyNumberFormat="1" applyFont="1" applyBorder="1">
      <alignment/>
      <protection/>
    </xf>
    <xf numFmtId="3" fontId="114" fillId="0" borderId="0" xfId="61" applyNumberFormat="1" applyFont="1">
      <alignment/>
      <protection/>
    </xf>
    <xf numFmtId="3" fontId="114" fillId="0" borderId="0" xfId="61" applyNumberFormat="1" applyFont="1" applyAlignment="1">
      <alignment vertical="center"/>
      <protection/>
    </xf>
    <xf numFmtId="0" fontId="23" fillId="0" borderId="26" xfId="0" applyFont="1" applyBorder="1" applyAlignment="1">
      <alignment horizontal="left" vertical="center"/>
    </xf>
    <xf numFmtId="3" fontId="27" fillId="0" borderId="29" xfId="61" applyNumberFormat="1" applyFont="1" applyFill="1" applyBorder="1" applyAlignment="1">
      <alignment horizontal="center"/>
      <protection/>
    </xf>
    <xf numFmtId="3" fontId="27" fillId="0" borderId="26" xfId="61" applyNumberFormat="1" applyFont="1" applyFill="1" applyBorder="1" applyAlignment="1">
      <alignment horizontal="center"/>
      <protection/>
    </xf>
    <xf numFmtId="0" fontId="17" fillId="0" borderId="0" xfId="58" applyFont="1" applyFill="1" applyAlignment="1">
      <alignment horizontal="center" vertical="center"/>
      <protection/>
    </xf>
    <xf numFmtId="0" fontId="7" fillId="0" borderId="0" xfId="58" applyFont="1" applyFill="1" applyAlignment="1">
      <alignment vertical="center"/>
      <protection/>
    </xf>
    <xf numFmtId="0" fontId="18" fillId="0" borderId="26" xfId="58" applyFont="1" applyFill="1" applyBorder="1" applyAlignment="1">
      <alignment horizontal="center" vertical="center" wrapText="1"/>
      <protection/>
    </xf>
    <xf numFmtId="0" fontId="11" fillId="0" borderId="18" xfId="58" applyFont="1" applyFill="1" applyBorder="1" applyAlignment="1">
      <alignment horizontal="center" vertical="center" wrapText="1"/>
      <protection/>
    </xf>
    <xf numFmtId="0" fontId="11" fillId="0" borderId="26" xfId="58" applyFont="1" applyFill="1" applyBorder="1" applyAlignment="1">
      <alignment horizontal="center" vertical="center" wrapText="1"/>
      <protection/>
    </xf>
    <xf numFmtId="0" fontId="70" fillId="0" borderId="26" xfId="58" applyFont="1" applyBorder="1">
      <alignment/>
      <protection/>
    </xf>
    <xf numFmtId="3" fontId="70" fillId="0" borderId="26" xfId="58" applyNumberFormat="1" applyFont="1" applyBorder="1">
      <alignment/>
      <protection/>
    </xf>
    <xf numFmtId="0" fontId="5" fillId="0" borderId="26" xfId="58" applyFont="1" applyBorder="1">
      <alignment/>
      <protection/>
    </xf>
    <xf numFmtId="3" fontId="5" fillId="0" borderId="26" xfId="58" applyNumberFormat="1" applyFont="1" applyBorder="1">
      <alignment/>
      <protection/>
    </xf>
    <xf numFmtId="3" fontId="1" fillId="0" borderId="26" xfId="58" applyNumberFormat="1" applyFont="1" applyBorder="1">
      <alignment/>
      <protection/>
    </xf>
    <xf numFmtId="0" fontId="59" fillId="0" borderId="26" xfId="58" applyFont="1" applyBorder="1">
      <alignment/>
      <protection/>
    </xf>
    <xf numFmtId="3" fontId="59" fillId="0" borderId="26" xfId="58" applyNumberFormat="1" applyFont="1" applyBorder="1">
      <alignment/>
      <protection/>
    </xf>
    <xf numFmtId="0" fontId="61" fillId="0" borderId="26" xfId="58" applyFont="1" applyBorder="1">
      <alignment/>
      <protection/>
    </xf>
    <xf numFmtId="0" fontId="61" fillId="0" borderId="0" xfId="58" applyFont="1">
      <alignment/>
      <protection/>
    </xf>
    <xf numFmtId="0" fontId="61" fillId="0" borderId="26" xfId="58" applyFont="1" applyBorder="1" applyAlignment="1">
      <alignment horizontal="left"/>
      <protection/>
    </xf>
    <xf numFmtId="3" fontId="61" fillId="0" borderId="26" xfId="58" applyNumberFormat="1" applyFont="1" applyBorder="1">
      <alignment/>
      <protection/>
    </xf>
    <xf numFmtId="0" fontId="3" fillId="0" borderId="26" xfId="58" applyFont="1" applyBorder="1">
      <alignment/>
      <protection/>
    </xf>
    <xf numFmtId="3" fontId="3" fillId="0" borderId="26" xfId="58" applyNumberFormat="1" applyFont="1" applyBorder="1">
      <alignment/>
      <protection/>
    </xf>
    <xf numFmtId="0" fontId="50" fillId="0" borderId="26" xfId="58" applyFont="1" applyBorder="1" applyAlignment="1">
      <alignment horizontal="left"/>
      <protection/>
    </xf>
    <xf numFmtId="3" fontId="6" fillId="0" borderId="26" xfId="58" applyNumberFormat="1" applyFont="1" applyBorder="1">
      <alignment/>
      <protection/>
    </xf>
    <xf numFmtId="3" fontId="3" fillId="0" borderId="26" xfId="58" applyNumberFormat="1" applyFont="1" applyFill="1" applyBorder="1">
      <alignment/>
      <protection/>
    </xf>
    <xf numFmtId="3" fontId="6" fillId="0" borderId="26" xfId="58" applyNumberFormat="1" applyFont="1" applyFill="1" applyBorder="1">
      <alignment/>
      <protection/>
    </xf>
    <xf numFmtId="3" fontId="4" fillId="0" borderId="26" xfId="58" applyNumberFormat="1" applyFont="1" applyBorder="1">
      <alignment/>
      <protection/>
    </xf>
    <xf numFmtId="0" fontId="50" fillId="0" borderId="26" xfId="58" applyFont="1" applyBorder="1">
      <alignment/>
      <protection/>
    </xf>
    <xf numFmtId="3" fontId="50" fillId="0" borderId="26" xfId="58" applyNumberFormat="1" applyFont="1" applyBorder="1">
      <alignment/>
      <protection/>
    </xf>
    <xf numFmtId="0" fontId="0" fillId="0" borderId="26" xfId="58" applyBorder="1">
      <alignment/>
      <protection/>
    </xf>
    <xf numFmtId="0" fontId="50" fillId="0" borderId="18" xfId="58" applyFont="1" applyBorder="1" applyAlignment="1">
      <alignment horizontal="left"/>
      <protection/>
    </xf>
    <xf numFmtId="0" fontId="50" fillId="0" borderId="21" xfId="58" applyFont="1" applyBorder="1" applyAlignment="1">
      <alignment horizontal="left"/>
      <protection/>
    </xf>
    <xf numFmtId="0" fontId="0" fillId="0" borderId="18" xfId="58" applyBorder="1">
      <alignment/>
      <protection/>
    </xf>
    <xf numFmtId="0" fontId="0" fillId="0" borderId="0" xfId="58">
      <alignment/>
      <protection/>
    </xf>
    <xf numFmtId="3" fontId="16" fillId="0" borderId="26" xfId="58" applyNumberFormat="1" applyFont="1" applyBorder="1">
      <alignment/>
      <protection/>
    </xf>
    <xf numFmtId="49" fontId="5" fillId="0" borderId="107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77" fillId="0" borderId="0" xfId="0" applyFont="1" applyAlignment="1">
      <alignment/>
    </xf>
    <xf numFmtId="49" fontId="5" fillId="0" borderId="107" xfId="60" applyNumberFormat="1" applyFont="1" applyFill="1" applyBorder="1" applyAlignment="1">
      <alignment horizontal="center" vertical="center"/>
      <protection/>
    </xf>
    <xf numFmtId="3" fontId="3" fillId="0" borderId="27" xfId="60" applyNumberFormat="1" applyFont="1" applyFill="1" applyBorder="1" applyAlignment="1">
      <alignment vertical="center" wrapText="1"/>
      <protection/>
    </xf>
    <xf numFmtId="0" fontId="4" fillId="0" borderId="18" xfId="60" applyFont="1" applyFill="1" applyBorder="1" applyAlignment="1">
      <alignment horizontal="left" vertical="center" wrapText="1"/>
      <protection/>
    </xf>
    <xf numFmtId="3" fontId="3" fillId="0" borderId="13" xfId="60" applyNumberFormat="1" applyFont="1" applyFill="1" applyBorder="1" applyAlignment="1">
      <alignment horizontal="left" vertical="center" wrapText="1"/>
      <protection/>
    </xf>
    <xf numFmtId="3" fontId="59" fillId="0" borderId="36" xfId="60" applyNumberFormat="1" applyFont="1" applyFill="1" applyBorder="1" applyAlignment="1">
      <alignment vertical="center"/>
      <protection/>
    </xf>
    <xf numFmtId="3" fontId="1" fillId="0" borderId="18" xfId="58" applyNumberFormat="1" applyFont="1" applyBorder="1">
      <alignment/>
      <protection/>
    </xf>
    <xf numFmtId="3" fontId="0" fillId="0" borderId="20" xfId="58" applyNumberFormat="1" applyBorder="1">
      <alignment/>
      <protection/>
    </xf>
    <xf numFmtId="3" fontId="1" fillId="0" borderId="21" xfId="58" applyNumberFormat="1" applyFont="1" applyBorder="1">
      <alignment/>
      <protection/>
    </xf>
    <xf numFmtId="0" fontId="64" fillId="0" borderId="64" xfId="0" applyFont="1" applyBorder="1" applyAlignment="1">
      <alignment/>
    </xf>
    <xf numFmtId="3" fontId="32" fillId="0" borderId="0" xfId="59" applyNumberFormat="1" applyFont="1" applyBorder="1" applyAlignment="1">
      <alignment/>
      <protection/>
    </xf>
    <xf numFmtId="0" fontId="64" fillId="0" borderId="0" xfId="0" applyFont="1" applyFill="1" applyBorder="1" applyAlignment="1">
      <alignment/>
    </xf>
    <xf numFmtId="3" fontId="32" fillId="0" borderId="64" xfId="59" applyNumberFormat="1" applyFont="1" applyBorder="1" applyAlignment="1">
      <alignment/>
      <protection/>
    </xf>
    <xf numFmtId="0" fontId="11" fillId="0" borderId="26" xfId="0" applyFont="1" applyFill="1" applyBorder="1" applyAlignment="1">
      <alignment horizontal="left"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0" fontId="32" fillId="0" borderId="26" xfId="0" applyFont="1" applyFill="1" applyBorder="1" applyAlignment="1">
      <alignment/>
    </xf>
    <xf numFmtId="0" fontId="50" fillId="0" borderId="26" xfId="0" applyFont="1" applyBorder="1" applyAlignment="1">
      <alignment horizontal="left" vertical="top"/>
    </xf>
    <xf numFmtId="3" fontId="50" fillId="0" borderId="60" xfId="0" applyNumberFormat="1" applyFont="1" applyFill="1" applyBorder="1" applyAlignment="1">
      <alignment/>
    </xf>
    <xf numFmtId="0" fontId="0" fillId="0" borderId="26" xfId="58" applyFont="1" applyBorder="1">
      <alignment/>
      <protection/>
    </xf>
    <xf numFmtId="0" fontId="19" fillId="0" borderId="18" xfId="61" applyFont="1" applyBorder="1" applyAlignment="1">
      <alignment wrapText="1"/>
      <protection/>
    </xf>
    <xf numFmtId="3" fontId="50" fillId="36" borderId="26" xfId="0" applyNumberFormat="1" applyFont="1" applyFill="1" applyBorder="1" applyAlignment="1">
      <alignment/>
    </xf>
    <xf numFmtId="0" fontId="3" fillId="0" borderId="18" xfId="58" applyFont="1" applyBorder="1" applyAlignment="1">
      <alignment horizontal="left"/>
      <protection/>
    </xf>
    <xf numFmtId="0" fontId="3" fillId="0" borderId="21" xfId="58" applyFont="1" applyBorder="1" applyAlignment="1">
      <alignment horizontal="left"/>
      <protection/>
    </xf>
    <xf numFmtId="0" fontId="18" fillId="36" borderId="29" xfId="0" applyFont="1" applyFill="1" applyBorder="1" applyAlignment="1">
      <alignment horizontal="center" vertical="center"/>
    </xf>
    <xf numFmtId="0" fontId="26" fillId="36" borderId="29" xfId="62" applyFont="1" applyFill="1" applyBorder="1" applyAlignment="1">
      <alignment horizontal="center" vertical="center"/>
      <protection/>
    </xf>
    <xf numFmtId="0" fontId="21" fillId="36" borderId="26" xfId="62" applyFont="1" applyFill="1" applyBorder="1" applyAlignment="1">
      <alignment horizontal="center" vertical="center"/>
      <protection/>
    </xf>
    <xf numFmtId="3" fontId="20" fillId="36" borderId="26" xfId="62" applyNumberFormat="1" applyFont="1" applyFill="1" applyBorder="1" applyAlignment="1">
      <alignment horizontal="right" vertical="center"/>
      <protection/>
    </xf>
    <xf numFmtId="3" fontId="20" fillId="36" borderId="26" xfId="62" applyNumberFormat="1" applyFont="1" applyFill="1" applyBorder="1" applyAlignment="1">
      <alignment horizontal="right" vertical="center" wrapText="1"/>
      <protection/>
    </xf>
    <xf numFmtId="3" fontId="21" fillId="36" borderId="13" xfId="62" applyNumberFormat="1" applyFont="1" applyFill="1" applyBorder="1" applyAlignment="1">
      <alignment horizontal="right" vertical="center" wrapText="1"/>
      <protection/>
    </xf>
    <xf numFmtId="0" fontId="20" fillId="36" borderId="0" xfId="62" applyFont="1" applyFill="1" applyAlignment="1">
      <alignment vertical="center"/>
      <protection/>
    </xf>
    <xf numFmtId="3" fontId="31" fillId="0" borderId="114" xfId="59" applyNumberFormat="1" applyFont="1" applyBorder="1" applyAlignment="1">
      <alignment horizontal="right" vertical="center"/>
      <protection/>
    </xf>
    <xf numFmtId="3" fontId="31" fillId="0" borderId="115" xfId="59" applyNumberFormat="1" applyFont="1" applyBorder="1" applyAlignment="1">
      <alignment horizontal="right" vertical="center"/>
      <protection/>
    </xf>
    <xf numFmtId="3" fontId="31" fillId="0" borderId="116" xfId="59" applyNumberFormat="1" applyFont="1" applyBorder="1" applyAlignment="1">
      <alignment horizontal="right" vertical="center"/>
      <protection/>
    </xf>
    <xf numFmtId="3" fontId="3" fillId="0" borderId="28" xfId="0" applyNumberFormat="1" applyFont="1" applyFill="1" applyBorder="1" applyAlignment="1">
      <alignment horizontal="center" vertical="center"/>
    </xf>
    <xf numFmtId="3" fontId="59" fillId="0" borderId="44" xfId="60" applyNumberFormat="1" applyFont="1" applyFill="1" applyBorder="1" applyAlignment="1">
      <alignment vertical="center"/>
      <protection/>
    </xf>
    <xf numFmtId="3" fontId="51" fillId="0" borderId="36" xfId="60" applyNumberFormat="1" applyFont="1" applyFill="1" applyBorder="1" applyAlignment="1">
      <alignment vertical="center"/>
      <protection/>
    </xf>
    <xf numFmtId="3" fontId="3" fillId="0" borderId="21" xfId="60" applyNumberFormat="1" applyFont="1" applyFill="1" applyBorder="1" applyAlignment="1">
      <alignment horizontal="right" vertical="center" wrapText="1"/>
      <protection/>
    </xf>
    <xf numFmtId="3" fontId="3" fillId="36" borderId="21" xfId="60" applyNumberFormat="1" applyFont="1" applyFill="1" applyBorder="1" applyAlignment="1">
      <alignment vertical="center"/>
      <protection/>
    </xf>
    <xf numFmtId="3" fontId="3" fillId="36" borderId="21" xfId="60" applyNumberFormat="1" applyFont="1" applyFill="1" applyBorder="1" applyAlignment="1">
      <alignment horizontal="right" vertical="center" wrapText="1"/>
      <protection/>
    </xf>
    <xf numFmtId="3" fontId="3" fillId="36" borderId="26" xfId="60" applyNumberFormat="1" applyFont="1" applyFill="1" applyBorder="1" applyAlignment="1">
      <alignment vertical="center" wrapText="1"/>
      <protection/>
    </xf>
    <xf numFmtId="3" fontId="3" fillId="36" borderId="13" xfId="60" applyNumberFormat="1" applyFont="1" applyFill="1" applyBorder="1" applyAlignment="1">
      <alignment vertical="center" wrapText="1"/>
      <protection/>
    </xf>
    <xf numFmtId="3" fontId="3" fillId="36" borderId="12" xfId="60" applyNumberFormat="1" applyFont="1" applyFill="1" applyBorder="1" applyAlignment="1">
      <alignment vertical="center" wrapText="1"/>
      <protection/>
    </xf>
    <xf numFmtId="3" fontId="55" fillId="0" borderId="69" xfId="59" applyNumberFormat="1" applyFont="1" applyBorder="1" applyAlignment="1">
      <alignment horizontal="right" vertical="center"/>
      <protection/>
    </xf>
    <xf numFmtId="0" fontId="19" fillId="0" borderId="38" xfId="59" applyBorder="1" applyAlignment="1">
      <alignment horizontal="right"/>
      <protection/>
    </xf>
    <xf numFmtId="0" fontId="19" fillId="0" borderId="117" xfId="59" applyBorder="1" applyAlignment="1">
      <alignment horizontal="right"/>
      <protection/>
    </xf>
    <xf numFmtId="0" fontId="19" fillId="0" borderId="118" xfId="59" applyBorder="1">
      <alignment/>
      <protection/>
    </xf>
    <xf numFmtId="0" fontId="32" fillId="0" borderId="38" xfId="59" applyFont="1" applyBorder="1" applyAlignment="1">
      <alignment horizontal="center"/>
      <protection/>
    </xf>
    <xf numFmtId="0" fontId="75" fillId="0" borderId="116" xfId="59" applyFont="1" applyBorder="1" applyAlignment="1">
      <alignment horizontal="left"/>
      <protection/>
    </xf>
    <xf numFmtId="0" fontId="75" fillId="0" borderId="38" xfId="59" applyFont="1" applyBorder="1" applyAlignment="1">
      <alignment horizontal="left"/>
      <protection/>
    </xf>
    <xf numFmtId="3" fontId="75" fillId="0" borderId="38" xfId="59" applyNumberFormat="1" applyFont="1" applyFill="1" applyBorder="1">
      <alignment/>
      <protection/>
    </xf>
    <xf numFmtId="3" fontId="55" fillId="0" borderId="118" xfId="59" applyNumberFormat="1" applyFont="1" applyBorder="1" applyAlignment="1">
      <alignment horizontal="right" vertical="center"/>
      <protection/>
    </xf>
    <xf numFmtId="3" fontId="55" fillId="0" borderId="68" xfId="59" applyNumberFormat="1" applyFont="1" applyBorder="1" applyAlignment="1">
      <alignment horizontal="right" vertical="center"/>
      <protection/>
    </xf>
    <xf numFmtId="3" fontId="32" fillId="0" borderId="119" xfId="59" applyNumberFormat="1" applyFont="1" applyBorder="1">
      <alignment/>
      <protection/>
    </xf>
    <xf numFmtId="3" fontId="32" fillId="0" borderId="118" xfId="59" applyNumberFormat="1" applyFont="1" applyBorder="1">
      <alignment/>
      <protection/>
    </xf>
    <xf numFmtId="3" fontId="32" fillId="0" borderId="68" xfId="59" applyNumberFormat="1" applyFont="1" applyBorder="1">
      <alignment/>
      <protection/>
    </xf>
    <xf numFmtId="0" fontId="56" fillId="0" borderId="75" xfId="59" applyFont="1" applyBorder="1" applyAlignment="1">
      <alignment horizontal="right"/>
      <protection/>
    </xf>
    <xf numFmtId="3" fontId="27" fillId="0" borderId="71" xfId="59" applyNumberFormat="1" applyFont="1" applyBorder="1" applyAlignment="1">
      <alignment horizontal="right"/>
      <protection/>
    </xf>
    <xf numFmtId="3" fontId="27" fillId="0" borderId="72" xfId="59" applyNumberFormat="1" applyFont="1" applyBorder="1">
      <alignment/>
      <protection/>
    </xf>
    <xf numFmtId="3" fontId="27" fillId="0" borderId="73" xfId="59" applyNumberFormat="1" applyFont="1" applyBorder="1">
      <alignment/>
      <protection/>
    </xf>
    <xf numFmtId="3" fontId="75" fillId="0" borderId="72" xfId="59" applyNumberFormat="1" applyFont="1" applyBorder="1">
      <alignment/>
      <protection/>
    </xf>
    <xf numFmtId="3" fontId="31" fillId="0" borderId="76" xfId="59" applyNumberFormat="1" applyFont="1" applyBorder="1">
      <alignment/>
      <protection/>
    </xf>
    <xf numFmtId="3" fontId="56" fillId="0" borderId="72" xfId="59" applyNumberFormat="1" applyFont="1" applyFill="1" applyBorder="1">
      <alignment/>
      <protection/>
    </xf>
    <xf numFmtId="3" fontId="31" fillId="0" borderId="75" xfId="59" applyNumberFormat="1" applyFont="1" applyBorder="1">
      <alignment/>
      <protection/>
    </xf>
    <xf numFmtId="3" fontId="55" fillId="0" borderId="89" xfId="59" applyNumberFormat="1" applyFont="1" applyBorder="1">
      <alignment/>
      <protection/>
    </xf>
    <xf numFmtId="3" fontId="55" fillId="0" borderId="71" xfId="59" applyNumberFormat="1" applyFont="1" applyBorder="1">
      <alignment/>
      <protection/>
    </xf>
    <xf numFmtId="3" fontId="55" fillId="0" borderId="91" xfId="59" applyNumberFormat="1" applyFont="1" applyBorder="1">
      <alignment/>
      <protection/>
    </xf>
    <xf numFmtId="3" fontId="55" fillId="0" borderId="73" xfId="59" applyNumberFormat="1" applyFont="1" applyBorder="1" applyAlignment="1">
      <alignment horizontal="right" vertical="center"/>
      <protection/>
    </xf>
    <xf numFmtId="3" fontId="19" fillId="0" borderId="120" xfId="59" applyNumberFormat="1" applyFont="1" applyBorder="1">
      <alignment/>
      <protection/>
    </xf>
    <xf numFmtId="3" fontId="19" fillId="0" borderId="121" xfId="59" applyNumberFormat="1" applyFont="1" applyBorder="1">
      <alignment/>
      <protection/>
    </xf>
    <xf numFmtId="0" fontId="75" fillId="0" borderId="63" xfId="59" applyFont="1" applyBorder="1">
      <alignment/>
      <protection/>
    </xf>
    <xf numFmtId="0" fontId="19" fillId="0" borderId="122" xfId="59" applyBorder="1">
      <alignment/>
      <protection/>
    </xf>
    <xf numFmtId="0" fontId="19" fillId="0" borderId="57" xfId="59" applyBorder="1">
      <alignment/>
      <protection/>
    </xf>
    <xf numFmtId="0" fontId="19" fillId="0" borderId="64" xfId="59" applyBorder="1">
      <alignment/>
      <protection/>
    </xf>
    <xf numFmtId="0" fontId="11" fillId="36" borderId="2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left" vertical="center" wrapText="1"/>
    </xf>
    <xf numFmtId="3" fontId="11" fillId="36" borderId="12" xfId="0" applyNumberFormat="1" applyFont="1" applyFill="1" applyBorder="1" applyAlignment="1">
      <alignment vertical="center"/>
    </xf>
    <xf numFmtId="0" fontId="13" fillId="36" borderId="0" xfId="0" applyFont="1" applyFill="1" applyAlignment="1">
      <alignment vertical="center"/>
    </xf>
    <xf numFmtId="3" fontId="13" fillId="36" borderId="0" xfId="0" applyNumberFormat="1" applyFont="1" applyFill="1" applyAlignment="1">
      <alignment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/>
    </xf>
    <xf numFmtId="3" fontId="32" fillId="0" borderId="16" xfId="59" applyNumberFormat="1" applyFont="1" applyFill="1" applyBorder="1">
      <alignment/>
      <protection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32" borderId="29" xfId="0" applyFont="1" applyFill="1" applyBorder="1" applyAlignment="1">
      <alignment vertical="center"/>
    </xf>
    <xf numFmtId="49" fontId="19" fillId="37" borderId="29" xfId="0" applyNumberFormat="1" applyFont="1" applyFill="1" applyBorder="1" applyAlignment="1">
      <alignment vertical="center" wrapText="1"/>
    </xf>
    <xf numFmtId="0" fontId="19" fillId="37" borderId="26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32" fillId="0" borderId="0" xfId="0" applyFont="1" applyFill="1" applyAlignment="1">
      <alignment/>
    </xf>
    <xf numFmtId="49" fontId="32" fillId="0" borderId="29" xfId="0" applyNumberFormat="1" applyFont="1" applyBorder="1" applyAlignment="1">
      <alignment/>
    </xf>
    <xf numFmtId="0" fontId="19" fillId="37" borderId="29" xfId="0" applyFont="1" applyFill="1" applyBorder="1" applyAlignment="1">
      <alignment wrapText="1"/>
    </xf>
    <xf numFmtId="0" fontId="27" fillId="0" borderId="0" xfId="0" applyFont="1" applyFill="1" applyAlignment="1">
      <alignment vertical="center"/>
    </xf>
    <xf numFmtId="3" fontId="20" fillId="0" borderId="26" xfId="62" applyNumberFormat="1" applyFont="1" applyFill="1" applyBorder="1" applyAlignment="1">
      <alignment horizontal="right" vertical="center"/>
      <protection/>
    </xf>
    <xf numFmtId="3" fontId="20" fillId="0" borderId="26" xfId="62" applyNumberFormat="1" applyFont="1" applyFill="1" applyBorder="1" applyAlignment="1">
      <alignment horizontal="right" vertical="center" wrapText="1"/>
      <protection/>
    </xf>
    <xf numFmtId="0" fontId="26" fillId="0" borderId="35" xfId="62" applyFont="1" applyBorder="1" applyAlignment="1">
      <alignment horizontal="center" vertical="center"/>
      <protection/>
    </xf>
    <xf numFmtId="0" fontId="21" fillId="0" borderId="22" xfId="62" applyFont="1" applyBorder="1" applyAlignment="1">
      <alignment horizontal="center" vertical="center"/>
      <protection/>
    </xf>
    <xf numFmtId="3" fontId="20" fillId="0" borderId="22" xfId="62" applyNumberFormat="1" applyFont="1" applyFill="1" applyBorder="1" applyAlignment="1">
      <alignment horizontal="right" vertical="center"/>
      <protection/>
    </xf>
    <xf numFmtId="3" fontId="20" fillId="0" borderId="22" xfId="62" applyNumberFormat="1" applyFont="1" applyFill="1" applyBorder="1" applyAlignment="1">
      <alignment horizontal="right" vertical="center" wrapText="1"/>
      <protection/>
    </xf>
    <xf numFmtId="3" fontId="21" fillId="0" borderId="36" xfId="62" applyNumberFormat="1" applyFont="1" applyBorder="1" applyAlignment="1">
      <alignment horizontal="right" vertical="center" wrapText="1"/>
      <protection/>
    </xf>
    <xf numFmtId="0" fontId="50" fillId="0" borderId="26" xfId="58" applyFont="1" applyBorder="1" applyAlignment="1">
      <alignment horizontal="right"/>
      <protection/>
    </xf>
    <xf numFmtId="0" fontId="5" fillId="0" borderId="26" xfId="0" applyFont="1" applyBorder="1" applyAlignment="1">
      <alignment horizontal="left"/>
    </xf>
    <xf numFmtId="0" fontId="72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60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5" fillId="0" borderId="26" xfId="58" applyFont="1" applyBorder="1" applyAlignment="1">
      <alignment horizontal="left"/>
      <protection/>
    </xf>
    <xf numFmtId="0" fontId="0" fillId="0" borderId="0" xfId="58" applyFont="1" applyAlignment="1">
      <alignment horizontal="right" vertical="center"/>
      <protection/>
    </xf>
    <xf numFmtId="0" fontId="0" fillId="0" borderId="0" xfId="58" applyAlignment="1">
      <alignment horizontal="right" vertical="center"/>
      <protection/>
    </xf>
    <xf numFmtId="0" fontId="70" fillId="0" borderId="18" xfId="58" applyFont="1" applyBorder="1" applyAlignment="1">
      <alignment horizontal="left"/>
      <protection/>
    </xf>
    <xf numFmtId="0" fontId="70" fillId="0" borderId="20" xfId="58" applyFont="1" applyBorder="1" applyAlignment="1">
      <alignment horizontal="left"/>
      <protection/>
    </xf>
    <xf numFmtId="0" fontId="70" fillId="0" borderId="21" xfId="58" applyFont="1" applyBorder="1" applyAlignment="1">
      <alignment horizontal="left"/>
      <protection/>
    </xf>
    <xf numFmtId="0" fontId="3" fillId="0" borderId="18" xfId="58" applyFont="1" applyBorder="1" applyAlignment="1">
      <alignment horizontal="left" wrapText="1"/>
      <protection/>
    </xf>
    <xf numFmtId="0" fontId="3" fillId="0" borderId="21" xfId="58" applyFont="1" applyBorder="1" applyAlignment="1">
      <alignment horizontal="left" wrapText="1"/>
      <protection/>
    </xf>
    <xf numFmtId="0" fontId="10" fillId="0" borderId="0" xfId="58" applyFont="1" applyFill="1" applyAlignment="1">
      <alignment horizontal="center" vertical="center"/>
      <protection/>
    </xf>
    <xf numFmtId="0" fontId="5" fillId="0" borderId="18" xfId="58" applyFont="1" applyBorder="1" applyAlignment="1">
      <alignment horizontal="left"/>
      <protection/>
    </xf>
    <xf numFmtId="0" fontId="5" fillId="0" borderId="20" xfId="58" applyFont="1" applyBorder="1" applyAlignment="1">
      <alignment horizontal="left"/>
      <protection/>
    </xf>
    <xf numFmtId="0" fontId="5" fillId="0" borderId="21" xfId="58" applyFont="1" applyBorder="1" applyAlignment="1">
      <alignment horizontal="left"/>
      <protection/>
    </xf>
    <xf numFmtId="0" fontId="3" fillId="0" borderId="18" xfId="58" applyFont="1" applyBorder="1" applyAlignment="1">
      <alignment horizontal="left"/>
      <protection/>
    </xf>
    <xf numFmtId="0" fontId="3" fillId="0" borderId="21" xfId="58" applyFont="1" applyBorder="1" applyAlignment="1">
      <alignment horizontal="left"/>
      <protection/>
    </xf>
    <xf numFmtId="0" fontId="3" fillId="0" borderId="18" xfId="58" applyFont="1" applyBorder="1" applyAlignment="1">
      <alignment horizontal="left" vertical="center" wrapText="1"/>
      <protection/>
    </xf>
    <xf numFmtId="0" fontId="3" fillId="0" borderId="21" xfId="58" applyFont="1" applyBorder="1" applyAlignment="1">
      <alignment horizontal="left" vertical="center" wrapText="1"/>
      <protection/>
    </xf>
    <xf numFmtId="0" fontId="70" fillId="0" borderId="26" xfId="58" applyFont="1" applyBorder="1" applyAlignment="1">
      <alignment horizontal="left"/>
      <protection/>
    </xf>
    <xf numFmtId="0" fontId="60" fillId="0" borderId="18" xfId="58" applyFont="1" applyFill="1" applyBorder="1" applyAlignment="1">
      <alignment horizontal="center" vertical="center" wrapText="1"/>
      <protection/>
    </xf>
    <xf numFmtId="0" fontId="8" fillId="0" borderId="20" xfId="58" applyFont="1" applyFill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11" fillId="0" borderId="18" xfId="58" applyFont="1" applyFill="1" applyBorder="1" applyAlignment="1">
      <alignment horizontal="center" vertical="center" wrapText="1"/>
      <protection/>
    </xf>
    <xf numFmtId="0" fontId="77" fillId="0" borderId="20" xfId="58" applyFont="1" applyBorder="1" applyAlignment="1">
      <alignment horizontal="center" vertical="center" wrapText="1"/>
      <protection/>
    </xf>
    <xf numFmtId="0" fontId="77" fillId="0" borderId="21" xfId="58" applyFont="1" applyBorder="1" applyAlignment="1">
      <alignment horizontal="center" vertical="center" wrapText="1"/>
      <protection/>
    </xf>
    <xf numFmtId="0" fontId="16" fillId="0" borderId="18" xfId="58" applyFont="1" applyBorder="1" applyAlignment="1">
      <alignment horizontal="left"/>
      <protection/>
    </xf>
    <xf numFmtId="0" fontId="16" fillId="0" borderId="20" xfId="58" applyFont="1" applyBorder="1" applyAlignment="1">
      <alignment horizontal="left"/>
      <protection/>
    </xf>
    <xf numFmtId="0" fontId="16" fillId="0" borderId="21" xfId="58" applyFont="1" applyBorder="1" applyAlignment="1">
      <alignment horizontal="left"/>
      <protection/>
    </xf>
    <xf numFmtId="0" fontId="26" fillId="0" borderId="18" xfId="57" applyFont="1" applyBorder="1" applyAlignment="1">
      <alignment horizontal="center" vertical="center" wrapText="1"/>
      <protection/>
    </xf>
    <xf numFmtId="0" fontId="26" fillId="0" borderId="20" xfId="57" applyFont="1" applyBorder="1" applyAlignment="1">
      <alignment horizontal="center" vertical="center" wrapText="1"/>
      <protection/>
    </xf>
    <xf numFmtId="0" fontId="26" fillId="0" borderId="21" xfId="57" applyFont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right" vertical="center"/>
    </xf>
    <xf numFmtId="0" fontId="77" fillId="0" borderId="0" xfId="0" applyFont="1" applyAlignment="1">
      <alignment horizontal="right"/>
    </xf>
    <xf numFmtId="0" fontId="21" fillId="0" borderId="0" xfId="57" applyFont="1" applyAlignment="1">
      <alignment horizontal="center"/>
      <protection/>
    </xf>
    <xf numFmtId="0" fontId="21" fillId="0" borderId="26" xfId="57" applyFont="1" applyBorder="1" applyAlignment="1">
      <alignment horizontal="center" vertical="center"/>
      <protection/>
    </xf>
    <xf numFmtId="0" fontId="26" fillId="0" borderId="26" xfId="57" applyFont="1" applyBorder="1" applyAlignment="1">
      <alignment horizontal="center" vertical="center"/>
      <protection/>
    </xf>
    <xf numFmtId="0" fontId="26" fillId="0" borderId="18" xfId="57" applyFont="1" applyBorder="1" applyAlignment="1">
      <alignment horizontal="center"/>
      <protection/>
    </xf>
    <xf numFmtId="0" fontId="26" fillId="0" borderId="20" xfId="57" applyFont="1" applyBorder="1" applyAlignment="1">
      <alignment horizontal="center"/>
      <protection/>
    </xf>
    <xf numFmtId="0" fontId="26" fillId="0" borderId="21" xfId="57" applyFont="1" applyBorder="1" applyAlignment="1">
      <alignment horizontal="center"/>
      <protection/>
    </xf>
    <xf numFmtId="0" fontId="23" fillId="0" borderId="18" xfId="57" applyFont="1" applyBorder="1" applyAlignment="1">
      <alignment horizontal="right" vertical="center"/>
      <protection/>
    </xf>
    <xf numFmtId="0" fontId="23" fillId="0" borderId="20" xfId="57" applyFont="1" applyBorder="1" applyAlignment="1">
      <alignment horizontal="right" vertical="center"/>
      <protection/>
    </xf>
    <xf numFmtId="49" fontId="5" fillId="0" borderId="43" xfId="0" applyNumberFormat="1" applyFont="1" applyFill="1" applyBorder="1" applyAlignment="1">
      <alignment horizontal="center" vertical="center" textRotation="90"/>
    </xf>
    <xf numFmtId="49" fontId="5" fillId="0" borderId="108" xfId="0" applyNumberFormat="1" applyFont="1" applyFill="1" applyBorder="1" applyAlignment="1">
      <alignment horizontal="center" vertical="center" textRotation="90"/>
    </xf>
    <xf numFmtId="49" fontId="5" fillId="0" borderId="107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textRotation="90"/>
    </xf>
    <xf numFmtId="0" fontId="1" fillId="0" borderId="0" xfId="0" applyFont="1" applyFill="1" applyAlignment="1">
      <alignment horizontal="center" vertical="center"/>
    </xf>
    <xf numFmtId="0" fontId="45" fillId="0" borderId="126" xfId="0" applyFont="1" applyFill="1" applyBorder="1" applyAlignment="1">
      <alignment horizontal="center" vertical="center" wrapText="1"/>
    </xf>
    <xf numFmtId="0" fontId="45" fillId="0" borderId="127" xfId="0" applyFont="1" applyFill="1" applyBorder="1" applyAlignment="1">
      <alignment horizontal="center" vertical="center" wrapText="1"/>
    </xf>
    <xf numFmtId="0" fontId="45" fillId="0" borderId="106" xfId="0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/>
    </xf>
    <xf numFmtId="49" fontId="4" fillId="0" borderId="108" xfId="0" applyNumberFormat="1" applyFont="1" applyFill="1" applyBorder="1" applyAlignment="1">
      <alignment horizontal="center" vertical="center"/>
    </xf>
    <xf numFmtId="49" fontId="4" fillId="0" borderId="107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2" fillId="0" borderId="130" xfId="60" applyFont="1" applyFill="1" applyBorder="1" applyAlignment="1">
      <alignment horizontal="left" vertical="center"/>
      <protection/>
    </xf>
    <xf numFmtId="0" fontId="52" fillId="0" borderId="34" xfId="60" applyFont="1" applyFill="1" applyBorder="1" applyAlignment="1">
      <alignment horizontal="left" vertical="center"/>
      <protection/>
    </xf>
    <xf numFmtId="0" fontId="52" fillId="0" borderId="17" xfId="60" applyFont="1" applyFill="1" applyBorder="1" applyAlignment="1">
      <alignment horizontal="left" vertical="center"/>
      <protection/>
    </xf>
    <xf numFmtId="0" fontId="51" fillId="0" borderId="46" xfId="60" applyFont="1" applyFill="1" applyBorder="1" applyAlignment="1">
      <alignment horizontal="left" vertical="center"/>
      <protection/>
    </xf>
    <xf numFmtId="0" fontId="51" fillId="0" borderId="84" xfId="60" applyFont="1" applyFill="1" applyBorder="1" applyAlignment="1">
      <alignment horizontal="left" vertical="center"/>
      <protection/>
    </xf>
    <xf numFmtId="0" fontId="51" fillId="0" borderId="85" xfId="60" applyFont="1" applyFill="1" applyBorder="1" applyAlignment="1">
      <alignment horizontal="left" vertical="center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28" xfId="60" applyFont="1" applyFill="1" applyBorder="1" applyAlignment="1">
      <alignment horizontal="center" vertical="center" wrapText="1"/>
      <protection/>
    </xf>
    <xf numFmtId="0" fontId="4" fillId="0" borderId="12" xfId="60" applyFont="1" applyFill="1" applyBorder="1" applyAlignment="1">
      <alignment horizontal="center" vertical="center" wrapText="1"/>
      <protection/>
    </xf>
    <xf numFmtId="0" fontId="4" fillId="0" borderId="21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51" fillId="0" borderId="46" xfId="60" applyFont="1" applyFill="1" applyBorder="1" applyAlignment="1">
      <alignment horizontal="left" vertical="center" wrapText="1"/>
      <protection/>
    </xf>
    <xf numFmtId="0" fontId="51" fillId="0" borderId="84" xfId="60" applyFont="1" applyFill="1" applyBorder="1" applyAlignment="1">
      <alignment horizontal="left" vertical="center" wrapText="1"/>
      <protection/>
    </xf>
    <xf numFmtId="0" fontId="51" fillId="0" borderId="85" xfId="60" applyFont="1" applyFill="1" applyBorder="1" applyAlignment="1">
      <alignment horizontal="left" vertical="center" wrapText="1"/>
      <protection/>
    </xf>
    <xf numFmtId="0" fontId="4" fillId="0" borderId="83" xfId="60" applyFont="1" applyFill="1" applyBorder="1" applyAlignment="1">
      <alignment horizontal="center" vertical="center"/>
      <protection/>
    </xf>
    <xf numFmtId="0" fontId="4" fillId="0" borderId="60" xfId="60" applyFont="1" applyFill="1" applyBorder="1" applyAlignment="1">
      <alignment horizontal="center" vertical="center"/>
      <protection/>
    </xf>
    <xf numFmtId="0" fontId="4" fillId="0" borderId="47" xfId="60" applyFont="1" applyFill="1" applyBorder="1" applyAlignment="1">
      <alignment horizontal="center" vertical="center"/>
      <protection/>
    </xf>
    <xf numFmtId="49" fontId="4" fillId="0" borderId="128" xfId="60" applyNumberFormat="1" applyFont="1" applyFill="1" applyBorder="1" applyAlignment="1">
      <alignment horizontal="center" vertical="center"/>
      <protection/>
    </xf>
    <xf numFmtId="49" fontId="4" fillId="0" borderId="108" xfId="60" applyNumberFormat="1" applyFont="1" applyFill="1" applyBorder="1" applyAlignment="1">
      <alignment horizontal="center" vertical="center"/>
      <protection/>
    </xf>
    <xf numFmtId="49" fontId="4" fillId="0" borderId="131" xfId="60" applyNumberFormat="1" applyFont="1" applyFill="1" applyBorder="1" applyAlignment="1">
      <alignment horizontal="center" vertical="center"/>
      <protection/>
    </xf>
    <xf numFmtId="0" fontId="16" fillId="0" borderId="84" xfId="60" applyFont="1" applyFill="1" applyBorder="1" applyAlignment="1">
      <alignment horizontal="center" vertical="center"/>
      <protection/>
    </xf>
    <xf numFmtId="0" fontId="16" fillId="0" borderId="85" xfId="60" applyFont="1" applyFill="1" applyBorder="1" applyAlignment="1">
      <alignment horizontal="center" vertical="center"/>
      <protection/>
    </xf>
    <xf numFmtId="0" fontId="47" fillId="0" borderId="126" xfId="60" applyFont="1" applyFill="1" applyBorder="1" applyAlignment="1">
      <alignment horizontal="left" vertical="center"/>
      <protection/>
    </xf>
    <xf numFmtId="0" fontId="47" fillId="0" borderId="84" xfId="60" applyFont="1" applyFill="1" applyBorder="1" applyAlignment="1">
      <alignment horizontal="left" vertical="center"/>
      <protection/>
    </xf>
    <xf numFmtId="0" fontId="47" fillId="0" borderId="85" xfId="60" applyFont="1" applyFill="1" applyBorder="1" applyAlignment="1">
      <alignment horizontal="left" vertical="center"/>
      <protection/>
    </xf>
    <xf numFmtId="0" fontId="7" fillId="0" borderId="0" xfId="60" applyFont="1" applyFill="1" applyAlignment="1">
      <alignment horizontal="right" vertical="center"/>
      <protection/>
    </xf>
    <xf numFmtId="0" fontId="0" fillId="0" borderId="0" xfId="60" applyAlignment="1">
      <alignment horizontal="right"/>
      <protection/>
    </xf>
    <xf numFmtId="0" fontId="2" fillId="0" borderId="114" xfId="60" applyFont="1" applyFill="1" applyBorder="1" applyAlignment="1">
      <alignment horizontal="center" vertical="center" wrapText="1"/>
      <protection/>
    </xf>
    <xf numFmtId="0" fontId="2" fillId="0" borderId="93" xfId="60" applyFont="1" applyFill="1" applyBorder="1" applyAlignment="1">
      <alignment horizontal="center" vertical="center" wrapText="1"/>
      <protection/>
    </xf>
    <xf numFmtId="0" fontId="2" fillId="0" borderId="132" xfId="60" applyFont="1" applyFill="1" applyBorder="1" applyAlignment="1">
      <alignment horizontal="center" vertical="center" wrapText="1"/>
      <protection/>
    </xf>
    <xf numFmtId="0" fontId="1" fillId="0" borderId="0" xfId="60" applyFont="1" applyFill="1" applyAlignment="1">
      <alignment horizontal="center" vertical="center" wrapText="1"/>
      <protection/>
    </xf>
    <xf numFmtId="0" fontId="4" fillId="0" borderId="64" xfId="60" applyFont="1" applyFill="1" applyBorder="1" applyAlignment="1">
      <alignment horizontal="center" vertical="center" wrapText="1"/>
      <protection/>
    </xf>
    <xf numFmtId="0" fontId="4" fillId="0" borderId="63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75" fillId="0" borderId="89" xfId="59" applyFont="1" applyBorder="1" applyAlignment="1">
      <alignment horizontal="left"/>
      <protection/>
    </xf>
    <xf numFmtId="0" fontId="75" fillId="0" borderId="72" xfId="59" applyFont="1" applyBorder="1" applyAlignment="1">
      <alignment horizontal="left"/>
      <protection/>
    </xf>
    <xf numFmtId="3" fontId="31" fillId="0" borderId="115" xfId="59" applyNumberFormat="1" applyFont="1" applyBorder="1" applyAlignment="1">
      <alignment horizontal="right" vertical="center"/>
      <protection/>
    </xf>
    <xf numFmtId="3" fontId="31" fillId="0" borderId="132" xfId="59" applyNumberFormat="1" applyFont="1" applyBorder="1" applyAlignment="1">
      <alignment horizontal="right" vertical="center"/>
      <protection/>
    </xf>
    <xf numFmtId="0" fontId="32" fillId="0" borderId="81" xfId="59" applyFont="1" applyBorder="1" applyAlignment="1">
      <alignment horizontal="left" wrapText="1"/>
      <protection/>
    </xf>
    <xf numFmtId="0" fontId="32" fillId="0" borderId="25" xfId="59" applyFont="1" applyBorder="1" applyAlignment="1">
      <alignment horizontal="left" wrapText="1"/>
      <protection/>
    </xf>
    <xf numFmtId="3" fontId="31" fillId="0" borderId="133" xfId="59" applyNumberFormat="1" applyFont="1" applyBorder="1" applyAlignment="1">
      <alignment horizontal="right" vertical="center"/>
      <protection/>
    </xf>
    <xf numFmtId="3" fontId="31" fillId="0" borderId="62" xfId="59" applyNumberFormat="1" applyFont="1" applyBorder="1" applyAlignment="1">
      <alignment horizontal="right" vertical="center"/>
      <protection/>
    </xf>
    <xf numFmtId="0" fontId="32" fillId="0" borderId="122" xfId="59" applyFont="1" applyBorder="1" applyAlignment="1">
      <alignment horizontal="left"/>
      <protection/>
    </xf>
    <xf numFmtId="0" fontId="32" fillId="0" borderId="57" xfId="59" applyFont="1" applyBorder="1" applyAlignment="1">
      <alignment horizontal="left"/>
      <protection/>
    </xf>
    <xf numFmtId="0" fontId="75" fillId="0" borderId="53" xfId="59" applyFont="1" applyBorder="1" applyAlignment="1">
      <alignment horizontal="left"/>
      <protection/>
    </xf>
    <xf numFmtId="0" fontId="75" fillId="0" borderId="0" xfId="59" applyFont="1" applyBorder="1" applyAlignment="1">
      <alignment horizontal="left"/>
      <protection/>
    </xf>
    <xf numFmtId="0" fontId="32" fillId="0" borderId="58" xfId="59" applyFont="1" applyBorder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3" fontId="31" fillId="0" borderId="116" xfId="59" applyNumberFormat="1" applyFont="1" applyBorder="1" applyAlignment="1">
      <alignment horizontal="right" vertical="center"/>
      <protection/>
    </xf>
    <xf numFmtId="3" fontId="31" fillId="0" borderId="81" xfId="59" applyNumberFormat="1" applyFont="1" applyBorder="1" applyAlignment="1">
      <alignment horizontal="right" vertical="center"/>
      <protection/>
    </xf>
    <xf numFmtId="0" fontId="32" fillId="0" borderId="58" xfId="59" applyFont="1" applyBorder="1" applyAlignment="1">
      <alignment horizontal="left" wrapText="1"/>
      <protection/>
    </xf>
    <xf numFmtId="0" fontId="32" fillId="0" borderId="0" xfId="59" applyFont="1" applyBorder="1" applyAlignment="1">
      <alignment horizontal="left" wrapText="1"/>
      <protection/>
    </xf>
    <xf numFmtId="0" fontId="32" fillId="0" borderId="75" xfId="59" applyFont="1" applyBorder="1" applyAlignment="1">
      <alignment horizontal="left"/>
      <protection/>
    </xf>
    <xf numFmtId="0" fontId="32" fillId="0" borderId="72" xfId="59" applyFont="1" applyBorder="1" applyAlignment="1">
      <alignment horizontal="left"/>
      <protection/>
    </xf>
    <xf numFmtId="3" fontId="31" fillId="0" borderId="114" xfId="59" applyNumberFormat="1" applyFont="1" applyBorder="1" applyAlignment="1">
      <alignment horizontal="right" vertical="center"/>
      <protection/>
    </xf>
    <xf numFmtId="3" fontId="31" fillId="0" borderId="58" xfId="59" applyNumberFormat="1" applyFont="1" applyBorder="1" applyAlignment="1">
      <alignment horizontal="right" vertical="center"/>
      <protection/>
    </xf>
    <xf numFmtId="0" fontId="32" fillId="0" borderId="53" xfId="59" applyFont="1" applyBorder="1" applyAlignment="1">
      <alignment horizontal="left" wrapText="1"/>
      <protection/>
    </xf>
    <xf numFmtId="3" fontId="31" fillId="0" borderId="76" xfId="59" applyNumberFormat="1" applyFont="1" applyBorder="1" applyAlignment="1">
      <alignment horizontal="right" vertical="center"/>
      <protection/>
    </xf>
    <xf numFmtId="3" fontId="31" fillId="0" borderId="93" xfId="59" applyNumberFormat="1" applyFont="1" applyBorder="1" applyAlignment="1">
      <alignment horizontal="right" vertical="center"/>
      <protection/>
    </xf>
    <xf numFmtId="3" fontId="31" fillId="0" borderId="114" xfId="59" applyNumberFormat="1" applyFont="1" applyBorder="1" applyAlignment="1">
      <alignment horizontal="right" vertical="center" wrapText="1"/>
      <protection/>
    </xf>
    <xf numFmtId="3" fontId="31" fillId="0" borderId="93" xfId="59" applyNumberFormat="1" applyFont="1" applyBorder="1" applyAlignment="1">
      <alignment horizontal="right" vertical="center" wrapText="1"/>
      <protection/>
    </xf>
    <xf numFmtId="3" fontId="31" fillId="0" borderId="132" xfId="59" applyNumberFormat="1" applyFont="1" applyBorder="1" applyAlignment="1">
      <alignment horizontal="right" vertical="center" wrapText="1"/>
      <protection/>
    </xf>
    <xf numFmtId="0" fontId="32" fillId="0" borderId="59" xfId="59" applyFont="1" applyBorder="1" applyAlignment="1">
      <alignment horizontal="left" wrapText="1"/>
      <protection/>
    </xf>
    <xf numFmtId="0" fontId="32" fillId="0" borderId="57" xfId="59" applyFont="1" applyBorder="1" applyAlignment="1">
      <alignment horizontal="left" wrapText="1"/>
      <protection/>
    </xf>
    <xf numFmtId="0" fontId="32" fillId="0" borderId="53" xfId="59" applyFont="1" applyBorder="1" applyAlignment="1">
      <alignment horizontal="left" vertical="center" wrapText="1"/>
      <protection/>
    </xf>
    <xf numFmtId="0" fontId="32" fillId="0" borderId="0" xfId="59" applyFont="1" applyBorder="1" applyAlignment="1">
      <alignment horizontal="left" vertical="center" wrapText="1"/>
      <protection/>
    </xf>
    <xf numFmtId="0" fontId="11" fillId="0" borderId="0" xfId="60" applyFont="1" applyFill="1" applyAlignment="1">
      <alignment horizontal="right" vertical="center"/>
      <protection/>
    </xf>
    <xf numFmtId="0" fontId="77" fillId="0" borderId="0" xfId="60" applyFont="1" applyAlignment="1">
      <alignment horizontal="right"/>
      <protection/>
    </xf>
    <xf numFmtId="0" fontId="77" fillId="0" borderId="0" xfId="0" applyFont="1" applyAlignment="1">
      <alignment/>
    </xf>
    <xf numFmtId="0" fontId="16" fillId="0" borderId="134" xfId="60" applyFont="1" applyFill="1" applyBorder="1" applyAlignment="1">
      <alignment horizontal="center" vertical="center" wrapText="1"/>
      <protection/>
    </xf>
    <xf numFmtId="0" fontId="0" fillId="0" borderId="135" xfId="0" applyBorder="1" applyAlignment="1">
      <alignment horizontal="center" vertical="center" wrapText="1"/>
    </xf>
    <xf numFmtId="0" fontId="16" fillId="0" borderId="136" xfId="60" applyFont="1" applyFill="1" applyBorder="1" applyAlignment="1">
      <alignment horizontal="center" vertical="center" wrapText="1"/>
      <protection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54" fillId="0" borderId="0" xfId="60" applyFont="1" applyFill="1" applyAlignment="1">
      <alignment horizontal="center" vertical="center" wrapText="1"/>
      <protection/>
    </xf>
    <xf numFmtId="0" fontId="54" fillId="0" borderId="72" xfId="60" applyFont="1" applyFill="1" applyBorder="1" applyAlignment="1">
      <alignment horizontal="center" vertical="center" wrapText="1"/>
      <protection/>
    </xf>
    <xf numFmtId="0" fontId="55" fillId="0" borderId="118" xfId="59" applyFont="1" applyBorder="1" applyAlignment="1">
      <alignment horizontal="center" wrapText="1"/>
      <protection/>
    </xf>
    <xf numFmtId="0" fontId="55" fillId="0" borderId="38" xfId="59" applyFont="1" applyBorder="1" applyAlignment="1">
      <alignment horizontal="center" wrapText="1"/>
      <protection/>
    </xf>
    <xf numFmtId="0" fontId="55" fillId="0" borderId="49" xfId="59" applyFont="1" applyBorder="1" applyAlignment="1">
      <alignment horizontal="center" wrapText="1"/>
      <protection/>
    </xf>
    <xf numFmtId="0" fontId="55" fillId="0" borderId="25" xfId="59" applyFont="1" applyBorder="1" applyAlignment="1">
      <alignment horizontal="center" wrapText="1"/>
      <protection/>
    </xf>
    <xf numFmtId="0" fontId="52" fillId="0" borderId="116" xfId="60" applyFont="1" applyFill="1" applyBorder="1" applyAlignment="1">
      <alignment horizontal="center" vertical="center" wrapText="1"/>
      <protection/>
    </xf>
    <xf numFmtId="0" fontId="52" fillId="0" borderId="38" xfId="60" applyFont="1" applyFill="1" applyBorder="1" applyAlignment="1">
      <alignment horizontal="center" vertical="center" wrapText="1"/>
      <protection/>
    </xf>
    <xf numFmtId="0" fontId="52" fillId="0" borderId="120" xfId="60" applyFont="1" applyFill="1" applyBorder="1" applyAlignment="1">
      <alignment horizontal="center" vertical="center" wrapText="1"/>
      <protection/>
    </xf>
    <xf numFmtId="0" fontId="52" fillId="0" borderId="81" xfId="60" applyFont="1" applyFill="1" applyBorder="1" applyAlignment="1">
      <alignment horizontal="center" vertical="center" wrapText="1"/>
      <protection/>
    </xf>
    <xf numFmtId="0" fontId="52" fillId="0" borderId="25" xfId="60" applyFont="1" applyFill="1" applyBorder="1" applyAlignment="1">
      <alignment horizontal="center" vertical="center" wrapText="1"/>
      <protection/>
    </xf>
    <xf numFmtId="0" fontId="52" fillId="0" borderId="16" xfId="60" applyFont="1" applyFill="1" applyBorder="1" applyAlignment="1">
      <alignment horizontal="center" vertical="center" wrapText="1"/>
      <protection/>
    </xf>
    <xf numFmtId="0" fontId="16" fillId="0" borderId="139" xfId="60" applyFont="1" applyFill="1" applyBorder="1" applyAlignment="1">
      <alignment horizontal="center" vertical="center" wrapText="1"/>
      <protection/>
    </xf>
    <xf numFmtId="0" fontId="0" fillId="0" borderId="135" xfId="0" applyBorder="1" applyAlignment="1">
      <alignment/>
    </xf>
    <xf numFmtId="0" fontId="0" fillId="0" borderId="140" xfId="0" applyBorder="1" applyAlignment="1">
      <alignment/>
    </xf>
    <xf numFmtId="0" fontId="55" fillId="0" borderId="118" xfId="59" applyFont="1" applyBorder="1" applyAlignment="1">
      <alignment horizontal="center" vertical="center"/>
      <protection/>
    </xf>
    <xf numFmtId="0" fontId="19" fillId="0" borderId="38" xfId="59" applyBorder="1" applyAlignment="1">
      <alignment horizontal="center" vertical="center"/>
      <protection/>
    </xf>
    <xf numFmtId="0" fontId="19" fillId="0" borderId="120" xfId="59" applyBorder="1" applyAlignment="1">
      <alignment horizontal="center" vertical="center"/>
      <protection/>
    </xf>
    <xf numFmtId="0" fontId="19" fillId="0" borderId="49" xfId="59" applyBorder="1" applyAlignment="1">
      <alignment horizontal="center" vertical="center"/>
      <protection/>
    </xf>
    <xf numFmtId="0" fontId="19" fillId="0" borderId="25" xfId="59" applyBorder="1" applyAlignment="1">
      <alignment horizontal="center" vertical="center"/>
      <protection/>
    </xf>
    <xf numFmtId="0" fontId="19" fillId="0" borderId="16" xfId="59" applyBorder="1" applyAlignment="1">
      <alignment horizontal="center" vertical="center"/>
      <protection/>
    </xf>
    <xf numFmtId="0" fontId="16" fillId="0" borderId="141" xfId="60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/>
    </xf>
    <xf numFmtId="0" fontId="0" fillId="0" borderId="119" xfId="0" applyBorder="1" applyAlignment="1">
      <alignment/>
    </xf>
    <xf numFmtId="0" fontId="0" fillId="0" borderId="81" xfId="0" applyBorder="1" applyAlignment="1">
      <alignment/>
    </xf>
    <xf numFmtId="0" fontId="0" fillId="0" borderId="25" xfId="0" applyBorder="1" applyAlignment="1">
      <alignment/>
    </xf>
    <xf numFmtId="0" fontId="0" fillId="0" borderId="88" xfId="0" applyBorder="1" applyAlignment="1">
      <alignment/>
    </xf>
    <xf numFmtId="0" fontId="16" fillId="0" borderId="142" xfId="60" applyFont="1" applyFill="1" applyBorder="1" applyAlignment="1">
      <alignment horizontal="center" vertical="center" wrapText="1"/>
      <protection/>
    </xf>
    <xf numFmtId="0" fontId="0" fillId="0" borderId="143" xfId="0" applyBorder="1" applyAlignment="1">
      <alignment horizontal="center" vertical="center" wrapText="1"/>
    </xf>
    <xf numFmtId="3" fontId="31" fillId="0" borderId="94" xfId="59" applyNumberFormat="1" applyFont="1" applyBorder="1" applyAlignment="1">
      <alignment horizontal="right" vertical="center"/>
      <protection/>
    </xf>
    <xf numFmtId="0" fontId="55" fillId="34" borderId="103" xfId="59" applyFont="1" applyFill="1" applyBorder="1" applyAlignment="1">
      <alignment/>
      <protection/>
    </xf>
    <xf numFmtId="0" fontId="55" fillId="34" borderId="144" xfId="59" applyFont="1" applyFill="1" applyBorder="1" applyAlignment="1">
      <alignment/>
      <protection/>
    </xf>
    <xf numFmtId="0" fontId="56" fillId="0" borderId="58" xfId="59" applyFont="1" applyBorder="1" applyAlignment="1">
      <alignment horizontal="right"/>
      <protection/>
    </xf>
    <xf numFmtId="0" fontId="56" fillId="0" borderId="0" xfId="59" applyFont="1" applyBorder="1" applyAlignment="1">
      <alignment horizontal="right"/>
      <protection/>
    </xf>
    <xf numFmtId="0" fontId="56" fillId="0" borderId="55" xfId="59" applyFont="1" applyBorder="1" applyAlignment="1">
      <alignment horizontal="right"/>
      <protection/>
    </xf>
    <xf numFmtId="0" fontId="31" fillId="34" borderId="89" xfId="59" applyFont="1" applyFill="1" applyBorder="1" applyAlignment="1">
      <alignment horizontal="right"/>
      <protection/>
    </xf>
    <xf numFmtId="0" fontId="0" fillId="34" borderId="72" xfId="0" applyFill="1" applyBorder="1" applyAlignment="1">
      <alignment horizontal="right"/>
    </xf>
    <xf numFmtId="0" fontId="0" fillId="34" borderId="145" xfId="0" applyFill="1" applyBorder="1" applyAlignment="1">
      <alignment horizontal="right"/>
    </xf>
    <xf numFmtId="0" fontId="31" fillId="34" borderId="72" xfId="59" applyFont="1" applyFill="1" applyBorder="1" applyAlignment="1">
      <alignment/>
      <protection/>
    </xf>
    <xf numFmtId="0" fontId="31" fillId="34" borderId="72" xfId="0" applyFont="1" applyFill="1" applyBorder="1" applyAlignment="1">
      <alignment/>
    </xf>
    <xf numFmtId="0" fontId="31" fillId="34" borderId="121" xfId="0" applyFont="1" applyFill="1" applyBorder="1" applyAlignment="1">
      <alignment/>
    </xf>
    <xf numFmtId="0" fontId="75" fillId="0" borderId="59" xfId="59" applyFont="1" applyBorder="1" applyAlignment="1">
      <alignment horizontal="left"/>
      <protection/>
    </xf>
    <xf numFmtId="0" fontId="75" fillId="0" borderId="57" xfId="59" applyFont="1" applyBorder="1" applyAlignment="1">
      <alignment horizontal="left"/>
      <protection/>
    </xf>
    <xf numFmtId="0" fontId="32" fillId="0" borderId="116" xfId="59" applyFont="1" applyBorder="1" applyAlignment="1">
      <alignment horizontal="left"/>
      <protection/>
    </xf>
    <xf numFmtId="0" fontId="32" fillId="0" borderId="38" xfId="59" applyFont="1" applyBorder="1" applyAlignment="1">
      <alignment horizontal="left"/>
      <protection/>
    </xf>
    <xf numFmtId="0" fontId="56" fillId="0" borderId="72" xfId="59" applyFont="1" applyBorder="1" applyAlignment="1">
      <alignment horizontal="right"/>
      <protection/>
    </xf>
    <xf numFmtId="0" fontId="56" fillId="0" borderId="145" xfId="59" applyFont="1" applyBorder="1" applyAlignment="1">
      <alignment horizontal="right"/>
      <protection/>
    </xf>
    <xf numFmtId="0" fontId="0" fillId="0" borderId="117" xfId="0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12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2" fillId="0" borderId="122" xfId="59" applyFont="1" applyBorder="1" applyAlignment="1">
      <alignment horizontal="left" wrapText="1"/>
      <protection/>
    </xf>
    <xf numFmtId="3" fontId="31" fillId="0" borderId="64" xfId="59" applyNumberFormat="1" applyFont="1" applyBorder="1" applyAlignment="1">
      <alignment horizontal="right" vertical="center"/>
      <protection/>
    </xf>
    <xf numFmtId="0" fontId="55" fillId="0" borderId="38" xfId="59" applyFont="1" applyBorder="1" applyAlignment="1">
      <alignment horizontal="center" vertical="center"/>
      <protection/>
    </xf>
    <xf numFmtId="0" fontId="55" fillId="0" borderId="120" xfId="59" applyFont="1" applyBorder="1" applyAlignment="1">
      <alignment horizontal="center" vertical="center"/>
      <protection/>
    </xf>
    <xf numFmtId="0" fontId="55" fillId="0" borderId="49" xfId="59" applyFont="1" applyBorder="1" applyAlignment="1">
      <alignment horizontal="center" vertical="center"/>
      <protection/>
    </xf>
    <xf numFmtId="0" fontId="55" fillId="0" borderId="25" xfId="59" applyFont="1" applyBorder="1" applyAlignment="1">
      <alignment horizontal="center" vertical="center"/>
      <protection/>
    </xf>
    <xf numFmtId="0" fontId="55" fillId="0" borderId="16" xfId="59" applyFont="1" applyBorder="1" applyAlignment="1">
      <alignment horizontal="center" vertical="center"/>
      <protection/>
    </xf>
    <xf numFmtId="3" fontId="32" fillId="0" borderId="64" xfId="59" applyNumberFormat="1" applyFont="1" applyBorder="1" applyAlignment="1">
      <alignment horizontal="right"/>
      <protection/>
    </xf>
    <xf numFmtId="3" fontId="32" fillId="0" borderId="63" xfId="59" applyNumberFormat="1" applyFont="1" applyBorder="1" applyAlignment="1">
      <alignment horizontal="right"/>
      <protection/>
    </xf>
    <xf numFmtId="0" fontId="32" fillId="0" borderId="59" xfId="59" applyFont="1" applyBorder="1" applyAlignment="1">
      <alignment horizontal="left"/>
      <protection/>
    </xf>
    <xf numFmtId="0" fontId="55" fillId="34" borderId="72" xfId="59" applyFont="1" applyFill="1" applyBorder="1" applyAlignment="1">
      <alignment/>
      <protection/>
    </xf>
    <xf numFmtId="0" fontId="55" fillId="34" borderId="121" xfId="59" applyFont="1" applyFill="1" applyBorder="1" applyAlignment="1">
      <alignment/>
      <protection/>
    </xf>
    <xf numFmtId="0" fontId="56" fillId="0" borderId="84" xfId="59" applyFont="1" applyBorder="1" applyAlignment="1">
      <alignment horizontal="right"/>
      <protection/>
    </xf>
    <xf numFmtId="0" fontId="56" fillId="0" borderId="146" xfId="59" applyFont="1" applyBorder="1" applyAlignment="1">
      <alignment horizontal="right"/>
      <protection/>
    </xf>
    <xf numFmtId="0" fontId="75" fillId="0" borderId="58" xfId="59" applyFont="1" applyBorder="1" applyAlignment="1">
      <alignment horizontal="left" wrapText="1"/>
      <protection/>
    </xf>
    <xf numFmtId="0" fontId="75" fillId="0" borderId="0" xfId="59" applyFont="1" applyBorder="1" applyAlignment="1">
      <alignment horizontal="left" wrapText="1"/>
      <protection/>
    </xf>
    <xf numFmtId="0" fontId="32" fillId="0" borderId="0" xfId="59" applyFont="1" applyAlignment="1">
      <alignment horizontal="left" wrapText="1"/>
      <protection/>
    </xf>
    <xf numFmtId="0" fontId="32" fillId="0" borderId="53" xfId="59" applyFont="1" applyBorder="1" applyAlignment="1">
      <alignment horizontal="left"/>
      <protection/>
    </xf>
    <xf numFmtId="0" fontId="55" fillId="34" borderId="111" xfId="59" applyFont="1" applyFill="1" applyBorder="1" applyAlignment="1">
      <alignment wrapText="1"/>
      <protection/>
    </xf>
    <xf numFmtId="0" fontId="65" fillId="34" borderId="39" xfId="0" applyFont="1" applyFill="1" applyBorder="1" applyAlignment="1">
      <alignment wrapText="1"/>
    </xf>
    <xf numFmtId="0" fontId="65" fillId="34" borderId="99" xfId="0" applyFont="1" applyFill="1" applyBorder="1" applyAlignment="1">
      <alignment wrapText="1"/>
    </xf>
    <xf numFmtId="0" fontId="56" fillId="0" borderId="53" xfId="59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55" xfId="0" applyBorder="1" applyAlignment="1">
      <alignment horizontal="right"/>
    </xf>
    <xf numFmtId="3" fontId="31" fillId="0" borderId="114" xfId="59" applyNumberFormat="1" applyFont="1" applyBorder="1" applyAlignment="1">
      <alignment horizontal="center" vertical="center"/>
      <protection/>
    </xf>
    <xf numFmtId="3" fontId="31" fillId="0" borderId="93" xfId="59" applyNumberFormat="1" applyFont="1" applyBorder="1" applyAlignment="1">
      <alignment horizontal="center" vertical="center"/>
      <protection/>
    </xf>
    <xf numFmtId="0" fontId="27" fillId="0" borderId="0" xfId="59" applyFont="1" applyAlignment="1">
      <alignment horizontal="center"/>
      <protection/>
    </xf>
    <xf numFmtId="0" fontId="0" fillId="0" borderId="0" xfId="0" applyAlignment="1">
      <alignment/>
    </xf>
    <xf numFmtId="0" fontId="19" fillId="0" borderId="0" xfId="59" applyAlignment="1">
      <alignment horizontal="center"/>
      <protection/>
    </xf>
    <xf numFmtId="3" fontId="31" fillId="0" borderId="95" xfId="59" applyNumberFormat="1" applyFont="1" applyBorder="1" applyAlignment="1">
      <alignment horizontal="right" vertical="center"/>
      <protection/>
    </xf>
    <xf numFmtId="0" fontId="32" fillId="0" borderId="49" xfId="59" applyFont="1" applyBorder="1" applyAlignment="1">
      <alignment horizontal="left" wrapText="1"/>
      <protection/>
    </xf>
    <xf numFmtId="3" fontId="31" fillId="0" borderId="132" xfId="59" applyNumberFormat="1" applyFont="1" applyBorder="1" applyAlignment="1">
      <alignment horizontal="center" vertical="center"/>
      <protection/>
    </xf>
    <xf numFmtId="0" fontId="75" fillId="0" borderId="58" xfId="59" applyFont="1" applyBorder="1" applyAlignment="1">
      <alignment horizontal="left"/>
      <protection/>
    </xf>
    <xf numFmtId="0" fontId="57" fillId="0" borderId="111" xfId="59" applyFont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99" xfId="0" applyBorder="1" applyAlignment="1">
      <alignment horizontal="center"/>
    </xf>
    <xf numFmtId="0" fontId="31" fillId="0" borderId="72" xfId="59" applyFont="1" applyBorder="1" applyAlignment="1">
      <alignment/>
      <protection/>
    </xf>
    <xf numFmtId="0" fontId="31" fillId="0" borderId="72" xfId="0" applyFont="1" applyBorder="1" applyAlignment="1">
      <alignment/>
    </xf>
    <xf numFmtId="0" fontId="31" fillId="0" borderId="121" xfId="0" applyFont="1" applyBorder="1" applyAlignment="1">
      <alignment/>
    </xf>
    <xf numFmtId="0" fontId="55" fillId="0" borderId="72" xfId="59" applyFont="1" applyBorder="1" applyAlignment="1">
      <alignment/>
      <protection/>
    </xf>
    <xf numFmtId="0" fontId="55" fillId="0" borderId="121" xfId="59" applyFont="1" applyBorder="1" applyAlignment="1">
      <alignment/>
      <protection/>
    </xf>
    <xf numFmtId="0" fontId="19" fillId="0" borderId="0" xfId="0" applyFont="1" applyAlignment="1">
      <alignment/>
    </xf>
    <xf numFmtId="0" fontId="32" fillId="0" borderId="84" xfId="59" applyFont="1" applyBorder="1" applyAlignment="1">
      <alignment horizontal="left"/>
      <protection/>
    </xf>
    <xf numFmtId="0" fontId="52" fillId="0" borderId="119" xfId="60" applyFont="1" applyFill="1" applyBorder="1" applyAlignment="1">
      <alignment horizontal="center" vertical="center" wrapText="1"/>
      <protection/>
    </xf>
    <xf numFmtId="0" fontId="52" fillId="0" borderId="88" xfId="60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13" fillId="0" borderId="18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1" fillId="0" borderId="0" xfId="62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6" fillId="0" borderId="40" xfId="62" applyFont="1" applyBorder="1" applyAlignment="1">
      <alignment horizontal="center" vertical="center"/>
      <protection/>
    </xf>
    <xf numFmtId="0" fontId="26" fillId="0" borderId="29" xfId="62" applyFont="1" applyBorder="1" applyAlignment="1">
      <alignment horizontal="center" vertical="center"/>
      <protection/>
    </xf>
    <xf numFmtId="0" fontId="21" fillId="0" borderId="41" xfId="62" applyFont="1" applyBorder="1" applyAlignment="1">
      <alignment horizontal="center" vertical="center" wrapText="1"/>
      <protection/>
    </xf>
    <xf numFmtId="0" fontId="21" fillId="0" borderId="26" xfId="62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horizontal="center" vertical="center" wrapText="1"/>
      <protection/>
    </xf>
    <xf numFmtId="0" fontId="21" fillId="0" borderId="13" xfId="62" applyFont="1" applyBorder="1" applyAlignment="1">
      <alignment horizontal="center" vertical="center" wrapText="1"/>
      <protection/>
    </xf>
    <xf numFmtId="0" fontId="54" fillId="33" borderId="26" xfId="61" applyFont="1" applyFill="1" applyBorder="1" applyAlignment="1">
      <alignment horizontal="left"/>
      <protection/>
    </xf>
    <xf numFmtId="0" fontId="54" fillId="33" borderId="18" xfId="61" applyFont="1" applyFill="1" applyBorder="1" applyAlignment="1">
      <alignment horizontal="left"/>
      <protection/>
    </xf>
    <xf numFmtId="0" fontId="1" fillId="0" borderId="114" xfId="61" applyFont="1" applyBorder="1" applyAlignment="1">
      <alignment horizontal="center" vertical="center" wrapText="1"/>
      <protection/>
    </xf>
    <xf numFmtId="0" fontId="19" fillId="0" borderId="110" xfId="61" applyBorder="1" applyAlignment="1">
      <alignment horizontal="center" vertical="center" wrapText="1"/>
      <protection/>
    </xf>
    <xf numFmtId="0" fontId="2" fillId="33" borderId="26" xfId="61" applyFont="1" applyFill="1" applyBorder="1" applyAlignment="1">
      <alignment horizontal="right"/>
      <protection/>
    </xf>
    <xf numFmtId="0" fontId="2" fillId="33" borderId="18" xfId="61" applyFont="1" applyFill="1" applyBorder="1" applyAlignment="1">
      <alignment horizontal="right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31" xfId="61" applyFont="1" applyBorder="1" applyAlignment="1">
      <alignment horizontal="center" vertical="center"/>
      <protection/>
    </xf>
    <xf numFmtId="0" fontId="1" fillId="0" borderId="26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/>
      <protection/>
    </xf>
    <xf numFmtId="0" fontId="1" fillId="0" borderId="41" xfId="61" applyFont="1" applyBorder="1" applyAlignment="1">
      <alignment horizontal="center" vertical="center"/>
      <protection/>
    </xf>
    <xf numFmtId="0" fontId="1" fillId="0" borderId="123" xfId="61" applyFont="1" applyBorder="1" applyAlignment="1">
      <alignment horizontal="center" vertical="center"/>
      <protection/>
    </xf>
    <xf numFmtId="0" fontId="1" fillId="0" borderId="40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40" xfId="61" applyFont="1" applyBorder="1" applyAlignment="1">
      <alignment horizontal="center" vertical="center" wrapText="1"/>
      <protection/>
    </xf>
    <xf numFmtId="0" fontId="1" fillId="0" borderId="125" xfId="61" applyFont="1" applyBorder="1" applyAlignment="1">
      <alignment horizontal="center" vertical="center" wrapText="1"/>
      <protection/>
    </xf>
    <xf numFmtId="0" fontId="1" fillId="0" borderId="41" xfId="61" applyFont="1" applyBorder="1" applyAlignment="1">
      <alignment horizontal="center" vertical="center" wrapText="1"/>
      <protection/>
    </xf>
    <xf numFmtId="0" fontId="1" fillId="0" borderId="10" xfId="61" applyFont="1" applyBorder="1" applyAlignment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_Kötelező, önként vállalt, állami feladatok szerinti bontás" xfId="59"/>
    <cellStyle name="Normál_Munka1" xfId="60"/>
    <cellStyle name="Normál_NORM09" xfId="61"/>
    <cellStyle name="Normál_TABLAK_táblák2012előterj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198"/>
  <sheetViews>
    <sheetView zoomScalePageLayoutView="0" workbookViewId="0" topLeftCell="A1">
      <selection activeCell="A2" sqref="A2:I2"/>
    </sheetView>
  </sheetViews>
  <sheetFormatPr defaultColWidth="9.00390625" defaultRowHeight="12.75"/>
  <cols>
    <col min="1" max="1" width="5.125" style="0" customWidth="1"/>
    <col min="4" max="4" width="5.875" style="0" customWidth="1"/>
    <col min="5" max="5" width="49.875" style="0" customWidth="1"/>
    <col min="6" max="6" width="14.00390625" style="0" customWidth="1"/>
    <col min="7" max="7" width="13.625" style="0" customWidth="1"/>
    <col min="8" max="8" width="15.125" style="0" customWidth="1"/>
    <col min="9" max="9" width="14.625" style="0" customWidth="1"/>
  </cols>
  <sheetData>
    <row r="1" spans="1:9" ht="12.75">
      <c r="A1" s="142"/>
      <c r="B1" s="1"/>
      <c r="C1" s="1"/>
      <c r="D1" s="1"/>
      <c r="E1" s="2"/>
      <c r="F1" s="784" t="s">
        <v>1051</v>
      </c>
      <c r="G1" s="785"/>
      <c r="H1" s="785"/>
      <c r="I1" s="785"/>
    </row>
    <row r="2" spans="1:9" ht="15.75">
      <c r="A2" s="789" t="s">
        <v>910</v>
      </c>
      <c r="B2" s="789"/>
      <c r="C2" s="789"/>
      <c r="D2" s="789"/>
      <c r="E2" s="789"/>
      <c r="F2" s="789"/>
      <c r="G2" s="789"/>
      <c r="H2" s="789"/>
      <c r="I2" s="789"/>
    </row>
    <row r="3" spans="1:9" ht="12.75">
      <c r="A3" s="142"/>
      <c r="B3" s="3"/>
      <c r="C3" s="3"/>
      <c r="D3" s="3"/>
      <c r="E3" s="3"/>
      <c r="F3" s="1"/>
      <c r="G3" s="1"/>
      <c r="H3" s="1"/>
      <c r="I3" s="1"/>
    </row>
    <row r="4" spans="1:9" ht="12.75">
      <c r="A4" s="142"/>
      <c r="B4" s="1"/>
      <c r="C4" s="1"/>
      <c r="D4" s="1"/>
      <c r="E4" s="1"/>
      <c r="F4" s="1"/>
      <c r="G4" s="1"/>
      <c r="H4" s="1"/>
      <c r="I4" s="2" t="s">
        <v>589</v>
      </c>
    </row>
    <row r="5" spans="1:9" ht="72">
      <c r="A5" s="794" t="s">
        <v>0</v>
      </c>
      <c r="B5" s="795"/>
      <c r="C5" s="795"/>
      <c r="D5" s="795"/>
      <c r="E5" s="796"/>
      <c r="F5" s="129" t="s">
        <v>200</v>
      </c>
      <c r="G5" s="129" t="s">
        <v>590</v>
      </c>
      <c r="H5" s="129" t="s">
        <v>909</v>
      </c>
      <c r="I5" s="129" t="s">
        <v>580</v>
      </c>
    </row>
    <row r="6" spans="1:9" s="575" customFormat="1" ht="15">
      <c r="A6" s="576" t="s">
        <v>663</v>
      </c>
      <c r="B6" s="786" t="s">
        <v>664</v>
      </c>
      <c r="C6" s="787"/>
      <c r="D6" s="787"/>
      <c r="E6" s="788"/>
      <c r="F6" s="577" t="s">
        <v>665</v>
      </c>
      <c r="G6" s="577" t="s">
        <v>666</v>
      </c>
      <c r="H6" s="577" t="s">
        <v>667</v>
      </c>
      <c r="I6" s="577" t="s">
        <v>668</v>
      </c>
    </row>
    <row r="7" spans="1:9" s="299" customFormat="1" ht="12.75">
      <c r="A7" s="297" t="s">
        <v>377</v>
      </c>
      <c r="B7" s="782" t="s">
        <v>378</v>
      </c>
      <c r="C7" s="782"/>
      <c r="D7" s="782"/>
      <c r="E7" s="782"/>
      <c r="F7" s="298">
        <f>SUM(F8+F15+F16+F17+F28+F29)</f>
        <v>579446</v>
      </c>
      <c r="G7" s="298">
        <f>SUM(G8+G15+G16+G17+G28+G29)</f>
        <v>0</v>
      </c>
      <c r="H7" s="298">
        <f>SUM(H8+H15+H16+H17+H28+H29)</f>
        <v>0</v>
      </c>
      <c r="I7" s="298">
        <f>SUM(F7:H7)</f>
        <v>579446</v>
      </c>
    </row>
    <row r="8" spans="1:9" ht="12.75">
      <c r="A8" s="273"/>
      <c r="B8" s="273" t="s">
        <v>379</v>
      </c>
      <c r="C8" s="781" t="s">
        <v>380</v>
      </c>
      <c r="D8" s="781"/>
      <c r="E8" s="781"/>
      <c r="F8" s="274">
        <f>SUM(F9:F14)</f>
        <v>488751</v>
      </c>
      <c r="G8" s="274">
        <f>SUM(G9:G14)</f>
        <v>0</v>
      </c>
      <c r="H8" s="274">
        <f>SUM(H9:H14)</f>
        <v>0</v>
      </c>
      <c r="I8" s="296">
        <f aca="true" t="shared" si="0" ref="I8:I72">SUM(F8:H8)</f>
        <v>488751</v>
      </c>
    </row>
    <row r="9" spans="1:9" ht="12.75">
      <c r="A9" s="280"/>
      <c r="B9" s="280"/>
      <c r="C9" s="280" t="s">
        <v>381</v>
      </c>
      <c r="D9" s="280"/>
      <c r="E9" s="280" t="s">
        <v>781</v>
      </c>
      <c r="F9" s="281">
        <v>191333</v>
      </c>
      <c r="G9" s="281">
        <v>0</v>
      </c>
      <c r="H9" s="281">
        <v>0</v>
      </c>
      <c r="I9" s="294">
        <f t="shared" si="0"/>
        <v>191333</v>
      </c>
    </row>
    <row r="10" spans="1:9" ht="12.75">
      <c r="A10" s="280"/>
      <c r="B10" s="300"/>
      <c r="C10" s="280" t="s">
        <v>382</v>
      </c>
      <c r="D10" s="280"/>
      <c r="E10" s="280" t="s">
        <v>383</v>
      </c>
      <c r="F10" s="281">
        <v>138613</v>
      </c>
      <c r="G10" s="281">
        <v>0</v>
      </c>
      <c r="H10" s="281">
        <v>0</v>
      </c>
      <c r="I10" s="294">
        <f t="shared" si="0"/>
        <v>138613</v>
      </c>
    </row>
    <row r="11" spans="1:9" ht="12.75">
      <c r="A11" s="280"/>
      <c r="B11" s="280"/>
      <c r="C11" s="280" t="s">
        <v>384</v>
      </c>
      <c r="D11" s="280"/>
      <c r="E11" s="280" t="s">
        <v>860</v>
      </c>
      <c r="F11" s="281">
        <v>148486</v>
      </c>
      <c r="G11" s="281">
        <v>0</v>
      </c>
      <c r="H11" s="281">
        <v>0</v>
      </c>
      <c r="I11" s="294">
        <f t="shared" si="0"/>
        <v>148486</v>
      </c>
    </row>
    <row r="12" spans="1:9" ht="12.75">
      <c r="A12" s="280"/>
      <c r="B12" s="280"/>
      <c r="C12" s="280" t="s">
        <v>385</v>
      </c>
      <c r="D12" s="280"/>
      <c r="E12" s="280" t="s">
        <v>386</v>
      </c>
      <c r="F12" s="281">
        <v>10319</v>
      </c>
      <c r="G12" s="281">
        <v>0</v>
      </c>
      <c r="H12" s="281">
        <v>0</v>
      </c>
      <c r="I12" s="294">
        <f t="shared" si="0"/>
        <v>10319</v>
      </c>
    </row>
    <row r="13" spans="1:9" ht="12.75">
      <c r="A13" s="280"/>
      <c r="B13" s="280"/>
      <c r="C13" s="280" t="s">
        <v>387</v>
      </c>
      <c r="D13" s="280"/>
      <c r="E13" s="280" t="s">
        <v>861</v>
      </c>
      <c r="F13" s="281">
        <v>0</v>
      </c>
      <c r="G13" s="281">
        <v>0</v>
      </c>
      <c r="H13" s="281">
        <v>0</v>
      </c>
      <c r="I13" s="294">
        <f t="shared" si="0"/>
        <v>0</v>
      </c>
    </row>
    <row r="14" spans="1:9" ht="12.75">
      <c r="A14" s="285"/>
      <c r="B14" s="285"/>
      <c r="C14" s="280" t="s">
        <v>388</v>
      </c>
      <c r="D14" s="285"/>
      <c r="E14" s="280" t="s">
        <v>862</v>
      </c>
      <c r="F14" s="281">
        <v>0</v>
      </c>
      <c r="G14" s="281">
        <v>0</v>
      </c>
      <c r="H14" s="281">
        <v>0</v>
      </c>
      <c r="I14" s="294">
        <f t="shared" si="0"/>
        <v>0</v>
      </c>
    </row>
    <row r="15" spans="1:9" ht="12.75">
      <c r="A15" s="273"/>
      <c r="B15" s="273" t="s">
        <v>389</v>
      </c>
      <c r="C15" s="781" t="s">
        <v>390</v>
      </c>
      <c r="D15" s="781"/>
      <c r="E15" s="781"/>
      <c r="F15" s="274">
        <v>0</v>
      </c>
      <c r="G15" s="274">
        <v>0</v>
      </c>
      <c r="H15" s="274">
        <v>0</v>
      </c>
      <c r="I15" s="296">
        <f t="shared" si="0"/>
        <v>0</v>
      </c>
    </row>
    <row r="16" spans="1:9" ht="12.75">
      <c r="A16" s="273"/>
      <c r="B16" s="273" t="s">
        <v>391</v>
      </c>
      <c r="C16" s="781" t="s">
        <v>392</v>
      </c>
      <c r="D16" s="781"/>
      <c r="E16" s="781"/>
      <c r="F16" s="274">
        <v>0</v>
      </c>
      <c r="G16" s="274">
        <v>0</v>
      </c>
      <c r="H16" s="274">
        <v>0</v>
      </c>
      <c r="I16" s="296">
        <f>SUM(F16:H16)</f>
        <v>0</v>
      </c>
    </row>
    <row r="17" spans="1:9" ht="12.75">
      <c r="A17" s="273"/>
      <c r="B17" s="273" t="s">
        <v>393</v>
      </c>
      <c r="C17" s="781" t="s">
        <v>394</v>
      </c>
      <c r="D17" s="781"/>
      <c r="E17" s="781"/>
      <c r="F17" s="274">
        <f>SUM(F18:F27)</f>
        <v>1455</v>
      </c>
      <c r="G17" s="274">
        <f>SUM(G18:G27)</f>
        <v>0</v>
      </c>
      <c r="H17" s="274">
        <f>SUM(H18:H27)</f>
        <v>0</v>
      </c>
      <c r="I17" s="296">
        <f t="shared" si="0"/>
        <v>1455</v>
      </c>
    </row>
    <row r="18" spans="1:9" ht="12.75">
      <c r="A18" s="283"/>
      <c r="B18" s="283"/>
      <c r="C18" s="282" t="s">
        <v>18</v>
      </c>
      <c r="D18" s="282" t="s">
        <v>284</v>
      </c>
      <c r="E18" s="282" t="s">
        <v>285</v>
      </c>
      <c r="F18" s="284">
        <v>0</v>
      </c>
      <c r="G18" s="284">
        <v>0</v>
      </c>
      <c r="H18" s="284">
        <v>0</v>
      </c>
      <c r="I18" s="286">
        <f t="shared" si="0"/>
        <v>0</v>
      </c>
    </row>
    <row r="19" spans="1:9" ht="12.75">
      <c r="A19" s="283"/>
      <c r="B19" s="283"/>
      <c r="C19" s="282"/>
      <c r="D19" s="282" t="s">
        <v>286</v>
      </c>
      <c r="E19" s="282" t="s">
        <v>287</v>
      </c>
      <c r="F19" s="284">
        <v>0</v>
      </c>
      <c r="G19" s="284">
        <v>0</v>
      </c>
      <c r="H19" s="284">
        <v>0</v>
      </c>
      <c r="I19" s="286">
        <f t="shared" si="0"/>
        <v>0</v>
      </c>
    </row>
    <row r="20" spans="1:9" ht="12.75">
      <c r="A20" s="283"/>
      <c r="B20" s="283"/>
      <c r="C20" s="282"/>
      <c r="D20" s="282" t="s">
        <v>288</v>
      </c>
      <c r="E20" s="282" t="s">
        <v>395</v>
      </c>
      <c r="F20" s="284">
        <v>0</v>
      </c>
      <c r="G20" s="284">
        <v>0</v>
      </c>
      <c r="H20" s="284">
        <v>0</v>
      </c>
      <c r="I20" s="286">
        <f t="shared" si="0"/>
        <v>0</v>
      </c>
    </row>
    <row r="21" spans="1:9" ht="12.75">
      <c r="A21" s="283"/>
      <c r="B21" s="283"/>
      <c r="C21" s="282"/>
      <c r="D21" s="282" t="s">
        <v>290</v>
      </c>
      <c r="E21" s="282" t="s">
        <v>291</v>
      </c>
      <c r="F21" s="284">
        <v>0</v>
      </c>
      <c r="G21" s="284">
        <v>0</v>
      </c>
      <c r="H21" s="284">
        <v>0</v>
      </c>
      <c r="I21" s="286">
        <f t="shared" si="0"/>
        <v>0</v>
      </c>
    </row>
    <row r="22" spans="1:9" ht="12.75">
      <c r="A22" s="283"/>
      <c r="B22" s="283"/>
      <c r="C22" s="282"/>
      <c r="D22" s="282" t="s">
        <v>292</v>
      </c>
      <c r="E22" s="282" t="s">
        <v>293</v>
      </c>
      <c r="F22" s="284">
        <v>0</v>
      </c>
      <c r="G22" s="284">
        <v>0</v>
      </c>
      <c r="H22" s="284">
        <v>0</v>
      </c>
      <c r="I22" s="286">
        <f t="shared" si="0"/>
        <v>0</v>
      </c>
    </row>
    <row r="23" spans="1:9" ht="12.75">
      <c r="A23" s="283"/>
      <c r="B23" s="283"/>
      <c r="C23" s="282"/>
      <c r="D23" s="282" t="s">
        <v>294</v>
      </c>
      <c r="E23" s="282" t="s">
        <v>295</v>
      </c>
      <c r="F23" s="284">
        <v>0</v>
      </c>
      <c r="G23" s="284">
        <v>0</v>
      </c>
      <c r="H23" s="284">
        <v>0</v>
      </c>
      <c r="I23" s="286">
        <f t="shared" si="0"/>
        <v>0</v>
      </c>
    </row>
    <row r="24" spans="1:9" ht="12.75">
      <c r="A24" s="283"/>
      <c r="B24" s="283"/>
      <c r="C24" s="282"/>
      <c r="D24" s="282" t="s">
        <v>296</v>
      </c>
      <c r="E24" s="282" t="s">
        <v>297</v>
      </c>
      <c r="F24" s="284">
        <v>0</v>
      </c>
      <c r="G24" s="284">
        <v>0</v>
      </c>
      <c r="H24" s="284">
        <v>0</v>
      </c>
      <c r="I24" s="286">
        <f t="shared" si="0"/>
        <v>0</v>
      </c>
    </row>
    <row r="25" spans="1:9" ht="12.75">
      <c r="A25" s="283"/>
      <c r="B25" s="283"/>
      <c r="C25" s="282"/>
      <c r="D25" s="282" t="s">
        <v>298</v>
      </c>
      <c r="E25" s="282" t="s">
        <v>299</v>
      </c>
      <c r="F25" s="284">
        <v>1455</v>
      </c>
      <c r="G25" s="284">
        <v>0</v>
      </c>
      <c r="H25" s="284">
        <v>0</v>
      </c>
      <c r="I25" s="286">
        <f t="shared" si="0"/>
        <v>1455</v>
      </c>
    </row>
    <row r="26" spans="1:9" ht="12.75">
      <c r="A26" s="283"/>
      <c r="B26" s="283"/>
      <c r="C26" s="282"/>
      <c r="D26" s="282" t="s">
        <v>300</v>
      </c>
      <c r="E26" s="282" t="s">
        <v>301</v>
      </c>
      <c r="F26" s="284">
        <v>0</v>
      </c>
      <c r="G26" s="284">
        <v>0</v>
      </c>
      <c r="H26" s="284">
        <v>0</v>
      </c>
      <c r="I26" s="286">
        <f t="shared" si="0"/>
        <v>0</v>
      </c>
    </row>
    <row r="27" spans="1:9" ht="12.75">
      <c r="A27" s="283"/>
      <c r="B27" s="283"/>
      <c r="C27" s="282"/>
      <c r="D27" s="282" t="s">
        <v>302</v>
      </c>
      <c r="E27" s="282" t="s">
        <v>303</v>
      </c>
      <c r="F27" s="284">
        <v>0</v>
      </c>
      <c r="G27" s="284">
        <v>0</v>
      </c>
      <c r="H27" s="284">
        <v>0</v>
      </c>
      <c r="I27" s="286">
        <f t="shared" si="0"/>
        <v>0</v>
      </c>
    </row>
    <row r="28" spans="1:9" ht="12.75">
      <c r="A28" s="273"/>
      <c r="B28" s="273" t="s">
        <v>396</v>
      </c>
      <c r="C28" s="781" t="s">
        <v>397</v>
      </c>
      <c r="D28" s="781"/>
      <c r="E28" s="781"/>
      <c r="F28" s="274">
        <v>0</v>
      </c>
      <c r="G28" s="274">
        <v>0</v>
      </c>
      <c r="H28" s="274">
        <v>0</v>
      </c>
      <c r="I28" s="296">
        <f t="shared" si="0"/>
        <v>0</v>
      </c>
    </row>
    <row r="29" spans="1:9" ht="12.75">
      <c r="A29" s="273"/>
      <c r="B29" s="273" t="s">
        <v>398</v>
      </c>
      <c r="C29" s="781" t="s">
        <v>399</v>
      </c>
      <c r="D29" s="781"/>
      <c r="E29" s="781"/>
      <c r="F29" s="274">
        <f>SUM(F30:F39)</f>
        <v>89240</v>
      </c>
      <c r="G29" s="274">
        <f>SUM(G30:G39)</f>
        <v>0</v>
      </c>
      <c r="H29" s="274">
        <f>SUM(H30:H39)</f>
        <v>0</v>
      </c>
      <c r="I29" s="296">
        <f t="shared" si="0"/>
        <v>89240</v>
      </c>
    </row>
    <row r="30" spans="1:9" ht="12.75">
      <c r="A30" s="283"/>
      <c r="B30" s="283"/>
      <c r="C30" s="282" t="s">
        <v>18</v>
      </c>
      <c r="D30" s="282" t="s">
        <v>284</v>
      </c>
      <c r="E30" s="282" t="s">
        <v>285</v>
      </c>
      <c r="F30" s="284">
        <v>0</v>
      </c>
      <c r="G30" s="284">
        <v>0</v>
      </c>
      <c r="H30" s="284">
        <v>0</v>
      </c>
      <c r="I30" s="286">
        <f t="shared" si="0"/>
        <v>0</v>
      </c>
    </row>
    <row r="31" spans="1:9" ht="12.75">
      <c r="A31" s="283"/>
      <c r="B31" s="283"/>
      <c r="C31" s="282"/>
      <c r="D31" s="282" t="s">
        <v>286</v>
      </c>
      <c r="E31" s="282" t="s">
        <v>287</v>
      </c>
      <c r="F31" s="284">
        <v>0</v>
      </c>
      <c r="G31" s="284">
        <v>0</v>
      </c>
      <c r="H31" s="284">
        <v>0</v>
      </c>
      <c r="I31" s="286">
        <f t="shared" si="0"/>
        <v>0</v>
      </c>
    </row>
    <row r="32" spans="1:9" ht="12.75">
      <c r="A32" s="287"/>
      <c r="B32" s="287"/>
      <c r="C32" s="288"/>
      <c r="D32" s="288" t="s">
        <v>288</v>
      </c>
      <c r="E32" s="288" t="s">
        <v>395</v>
      </c>
      <c r="F32" s="284">
        <v>0</v>
      </c>
      <c r="G32" s="284">
        <v>0</v>
      </c>
      <c r="H32" s="284">
        <v>0</v>
      </c>
      <c r="I32" s="286">
        <f t="shared" si="0"/>
        <v>0</v>
      </c>
    </row>
    <row r="33" spans="1:9" ht="12.75">
      <c r="A33" s="283"/>
      <c r="B33" s="283"/>
      <c r="C33" s="282"/>
      <c r="D33" s="282" t="s">
        <v>290</v>
      </c>
      <c r="E33" s="282" t="s">
        <v>291</v>
      </c>
      <c r="F33" s="284">
        <v>49496</v>
      </c>
      <c r="G33" s="284">
        <v>0</v>
      </c>
      <c r="H33" s="284">
        <v>0</v>
      </c>
      <c r="I33" s="286">
        <f t="shared" si="0"/>
        <v>49496</v>
      </c>
    </row>
    <row r="34" spans="1:9" ht="12.75">
      <c r="A34" s="283"/>
      <c r="B34" s="283"/>
      <c r="C34" s="282"/>
      <c r="D34" s="282" t="s">
        <v>292</v>
      </c>
      <c r="E34" s="282" t="s">
        <v>293</v>
      </c>
      <c r="F34" s="284">
        <v>30540</v>
      </c>
      <c r="G34" s="284">
        <v>0</v>
      </c>
      <c r="H34" s="284">
        <v>0</v>
      </c>
      <c r="I34" s="286">
        <f t="shared" si="0"/>
        <v>30540</v>
      </c>
    </row>
    <row r="35" spans="1:9" ht="12.75">
      <c r="A35" s="283"/>
      <c r="B35" s="283"/>
      <c r="C35" s="282"/>
      <c r="D35" s="282" t="s">
        <v>294</v>
      </c>
      <c r="E35" s="282" t="s">
        <v>295</v>
      </c>
      <c r="F35" s="284">
        <v>0</v>
      </c>
      <c r="G35" s="284">
        <v>0</v>
      </c>
      <c r="H35" s="284">
        <v>0</v>
      </c>
      <c r="I35" s="286">
        <f t="shared" si="0"/>
        <v>0</v>
      </c>
    </row>
    <row r="36" spans="1:9" ht="12.75">
      <c r="A36" s="283"/>
      <c r="B36" s="283"/>
      <c r="C36" s="282"/>
      <c r="D36" s="282" t="s">
        <v>296</v>
      </c>
      <c r="E36" s="282" t="s">
        <v>297</v>
      </c>
      <c r="F36" s="284">
        <f>3450+5754</f>
        <v>9204</v>
      </c>
      <c r="G36" s="284">
        <v>0</v>
      </c>
      <c r="H36" s="284">
        <v>0</v>
      </c>
      <c r="I36" s="286">
        <f t="shared" si="0"/>
        <v>9204</v>
      </c>
    </row>
    <row r="37" spans="1:9" ht="12.75">
      <c r="A37" s="283"/>
      <c r="B37" s="283"/>
      <c r="C37" s="282"/>
      <c r="D37" s="282" t="s">
        <v>298</v>
      </c>
      <c r="E37" s="282" t="s">
        <v>299</v>
      </c>
      <c r="F37" s="284">
        <v>0</v>
      </c>
      <c r="G37" s="284">
        <v>0</v>
      </c>
      <c r="H37" s="284">
        <v>0</v>
      </c>
      <c r="I37" s="286">
        <f t="shared" si="0"/>
        <v>0</v>
      </c>
    </row>
    <row r="38" spans="1:9" ht="12.75">
      <c r="A38" s="283"/>
      <c r="B38" s="283"/>
      <c r="C38" s="282"/>
      <c r="D38" s="282" t="s">
        <v>300</v>
      </c>
      <c r="E38" s="282" t="s">
        <v>301</v>
      </c>
      <c r="F38" s="284">
        <v>0</v>
      </c>
      <c r="G38" s="284">
        <v>0</v>
      </c>
      <c r="H38" s="284">
        <v>0</v>
      </c>
      <c r="I38" s="286">
        <f t="shared" si="0"/>
        <v>0</v>
      </c>
    </row>
    <row r="39" spans="1:9" ht="12.75">
      <c r="A39" s="283"/>
      <c r="B39" s="283"/>
      <c r="C39" s="282"/>
      <c r="D39" s="282" t="s">
        <v>302</v>
      </c>
      <c r="E39" s="282" t="s">
        <v>303</v>
      </c>
      <c r="F39" s="284">
        <v>0</v>
      </c>
      <c r="G39" s="284">
        <v>0</v>
      </c>
      <c r="H39" s="284">
        <v>0</v>
      </c>
      <c r="I39" s="286">
        <f t="shared" si="0"/>
        <v>0</v>
      </c>
    </row>
    <row r="40" spans="1:9" s="299" customFormat="1" ht="12.75">
      <c r="A40" s="297" t="s">
        <v>400</v>
      </c>
      <c r="B40" s="782" t="s">
        <v>401</v>
      </c>
      <c r="C40" s="782"/>
      <c r="D40" s="782"/>
      <c r="E40" s="782"/>
      <c r="F40" s="298">
        <f>SUM(F41:F45)</f>
        <v>131327</v>
      </c>
      <c r="G40" s="298">
        <f>SUM(G41:G45)</f>
        <v>0</v>
      </c>
      <c r="H40" s="298">
        <f>SUM(H41:H45)</f>
        <v>0</v>
      </c>
      <c r="I40" s="298">
        <f t="shared" si="0"/>
        <v>131327</v>
      </c>
    </row>
    <row r="41" spans="1:9" ht="12.75">
      <c r="A41" s="273"/>
      <c r="B41" s="273" t="s">
        <v>402</v>
      </c>
      <c r="C41" s="781" t="s">
        <v>403</v>
      </c>
      <c r="D41" s="781"/>
      <c r="E41" s="781"/>
      <c r="F41" s="274">
        <v>0</v>
      </c>
      <c r="G41" s="274">
        <v>0</v>
      </c>
      <c r="H41" s="274">
        <v>0</v>
      </c>
      <c r="I41" s="296">
        <f t="shared" si="0"/>
        <v>0</v>
      </c>
    </row>
    <row r="42" spans="1:9" ht="12.75">
      <c r="A42" s="273"/>
      <c r="B42" s="273" t="s">
        <v>404</v>
      </c>
      <c r="C42" s="781" t="s">
        <v>405</v>
      </c>
      <c r="D42" s="781"/>
      <c r="E42" s="781"/>
      <c r="F42" s="274">
        <v>0</v>
      </c>
      <c r="G42" s="274">
        <v>0</v>
      </c>
      <c r="H42" s="274">
        <v>0</v>
      </c>
      <c r="I42" s="296">
        <f t="shared" si="0"/>
        <v>0</v>
      </c>
    </row>
    <row r="43" spans="1:9" ht="12.75">
      <c r="A43" s="273"/>
      <c r="B43" s="273" t="s">
        <v>406</v>
      </c>
      <c r="C43" s="781" t="s">
        <v>407</v>
      </c>
      <c r="D43" s="781"/>
      <c r="E43" s="781"/>
      <c r="F43" s="274">
        <v>0</v>
      </c>
      <c r="G43" s="274">
        <v>0</v>
      </c>
      <c r="H43" s="274">
        <v>0</v>
      </c>
      <c r="I43" s="296">
        <f t="shared" si="0"/>
        <v>0</v>
      </c>
    </row>
    <row r="44" spans="1:9" ht="12.75">
      <c r="A44" s="273"/>
      <c r="B44" s="273" t="s">
        <v>408</v>
      </c>
      <c r="C44" s="781" t="s">
        <v>409</v>
      </c>
      <c r="D44" s="781"/>
      <c r="E44" s="781"/>
      <c r="F44" s="274">
        <v>0</v>
      </c>
      <c r="G44" s="274">
        <v>0</v>
      </c>
      <c r="H44" s="274">
        <v>0</v>
      </c>
      <c r="I44" s="296">
        <f t="shared" si="0"/>
        <v>0</v>
      </c>
    </row>
    <row r="45" spans="1:9" ht="12.75">
      <c r="A45" s="273"/>
      <c r="B45" s="273" t="s">
        <v>410</v>
      </c>
      <c r="C45" s="781" t="s">
        <v>411</v>
      </c>
      <c r="D45" s="781"/>
      <c r="E45" s="781"/>
      <c r="F45" s="274">
        <f>SUM(F46:F55)</f>
        <v>131327</v>
      </c>
      <c r="G45" s="274">
        <f>SUM(G46:G55)</f>
        <v>0</v>
      </c>
      <c r="H45" s="274">
        <f>SUM(H46:H55)</f>
        <v>0</v>
      </c>
      <c r="I45" s="296">
        <f t="shared" si="0"/>
        <v>131327</v>
      </c>
    </row>
    <row r="46" spans="1:9" ht="12.75">
      <c r="A46" s="283"/>
      <c r="B46" s="283"/>
      <c r="C46" s="282" t="s">
        <v>18</v>
      </c>
      <c r="D46" s="282" t="s">
        <v>284</v>
      </c>
      <c r="E46" s="282" t="s">
        <v>285</v>
      </c>
      <c r="F46" s="284">
        <v>0</v>
      </c>
      <c r="G46" s="284">
        <v>0</v>
      </c>
      <c r="H46" s="284">
        <v>0</v>
      </c>
      <c r="I46" s="286">
        <f t="shared" si="0"/>
        <v>0</v>
      </c>
    </row>
    <row r="47" spans="1:9" ht="12.75">
      <c r="A47" s="283"/>
      <c r="B47" s="283"/>
      <c r="C47" s="282"/>
      <c r="D47" s="282" t="s">
        <v>286</v>
      </c>
      <c r="E47" s="282" t="s">
        <v>287</v>
      </c>
      <c r="F47" s="284">
        <v>0</v>
      </c>
      <c r="G47" s="284">
        <v>0</v>
      </c>
      <c r="H47" s="284">
        <v>0</v>
      </c>
      <c r="I47" s="286">
        <f t="shared" si="0"/>
        <v>0</v>
      </c>
    </row>
    <row r="48" spans="1:9" ht="12.75">
      <c r="A48" s="287"/>
      <c r="B48" s="287"/>
      <c r="C48" s="288"/>
      <c r="D48" s="288" t="s">
        <v>288</v>
      </c>
      <c r="E48" s="288" t="s">
        <v>395</v>
      </c>
      <c r="F48" s="284">
        <v>131327</v>
      </c>
      <c r="G48" s="284">
        <v>0</v>
      </c>
      <c r="H48" s="284">
        <v>0</v>
      </c>
      <c r="I48" s="286">
        <f t="shared" si="0"/>
        <v>131327</v>
      </c>
    </row>
    <row r="49" spans="1:9" ht="12.75">
      <c r="A49" s="283"/>
      <c r="B49" s="283"/>
      <c r="C49" s="282"/>
      <c r="D49" s="282" t="s">
        <v>290</v>
      </c>
      <c r="E49" s="282" t="s">
        <v>291</v>
      </c>
      <c r="F49" s="284">
        <v>0</v>
      </c>
      <c r="G49" s="284">
        <v>0</v>
      </c>
      <c r="H49" s="284">
        <v>0</v>
      </c>
      <c r="I49" s="286">
        <f t="shared" si="0"/>
        <v>0</v>
      </c>
    </row>
    <row r="50" spans="1:9" ht="12.75">
      <c r="A50" s="283"/>
      <c r="B50" s="283"/>
      <c r="C50" s="282"/>
      <c r="D50" s="282" t="s">
        <v>292</v>
      </c>
      <c r="E50" s="282" t="s">
        <v>293</v>
      </c>
      <c r="F50" s="284">
        <v>0</v>
      </c>
      <c r="G50" s="284">
        <v>0</v>
      </c>
      <c r="H50" s="284">
        <v>0</v>
      </c>
      <c r="I50" s="286">
        <f t="shared" si="0"/>
        <v>0</v>
      </c>
    </row>
    <row r="51" spans="1:9" ht="12.75">
      <c r="A51" s="283"/>
      <c r="B51" s="283"/>
      <c r="C51" s="282"/>
      <c r="D51" s="282" t="s">
        <v>294</v>
      </c>
      <c r="E51" s="282" t="s">
        <v>295</v>
      </c>
      <c r="F51" s="284"/>
      <c r="G51" s="284">
        <v>0</v>
      </c>
      <c r="H51" s="284">
        <v>0</v>
      </c>
      <c r="I51" s="286">
        <f t="shared" si="0"/>
        <v>0</v>
      </c>
    </row>
    <row r="52" spans="1:9" ht="12.75">
      <c r="A52" s="283"/>
      <c r="B52" s="283"/>
      <c r="C52" s="282"/>
      <c r="D52" s="282" t="s">
        <v>296</v>
      </c>
      <c r="E52" s="282" t="s">
        <v>297</v>
      </c>
      <c r="F52" s="284">
        <v>0</v>
      </c>
      <c r="G52" s="284">
        <v>0</v>
      </c>
      <c r="H52" s="284">
        <v>0</v>
      </c>
      <c r="I52" s="286">
        <f t="shared" si="0"/>
        <v>0</v>
      </c>
    </row>
    <row r="53" spans="1:9" ht="12.75">
      <c r="A53" s="283"/>
      <c r="B53" s="283"/>
      <c r="C53" s="282"/>
      <c r="D53" s="282" t="s">
        <v>298</v>
      </c>
      <c r="E53" s="282" t="s">
        <v>299</v>
      </c>
      <c r="F53" s="284">
        <v>0</v>
      </c>
      <c r="G53" s="284">
        <v>0</v>
      </c>
      <c r="H53" s="284">
        <v>0</v>
      </c>
      <c r="I53" s="286">
        <f t="shared" si="0"/>
        <v>0</v>
      </c>
    </row>
    <row r="54" spans="1:9" ht="12.75">
      <c r="A54" s="283"/>
      <c r="B54" s="283"/>
      <c r="C54" s="282"/>
      <c r="D54" s="282" t="s">
        <v>300</v>
      </c>
      <c r="E54" s="282" t="s">
        <v>301</v>
      </c>
      <c r="F54" s="284">
        <v>0</v>
      </c>
      <c r="G54" s="284">
        <v>0</v>
      </c>
      <c r="H54" s="284">
        <v>0</v>
      </c>
      <c r="I54" s="286">
        <f t="shared" si="0"/>
        <v>0</v>
      </c>
    </row>
    <row r="55" spans="1:9" ht="12.75">
      <c r="A55" s="283"/>
      <c r="B55" s="283"/>
      <c r="C55" s="282"/>
      <c r="D55" s="282" t="s">
        <v>302</v>
      </c>
      <c r="E55" s="282" t="s">
        <v>303</v>
      </c>
      <c r="F55" s="284">
        <v>0</v>
      </c>
      <c r="G55" s="284">
        <v>0</v>
      </c>
      <c r="H55" s="284">
        <v>0</v>
      </c>
      <c r="I55" s="286">
        <f t="shared" si="0"/>
        <v>0</v>
      </c>
    </row>
    <row r="56" spans="1:9" s="299" customFormat="1" ht="12.75">
      <c r="A56" s="297" t="s">
        <v>412</v>
      </c>
      <c r="B56" s="782" t="s">
        <v>413</v>
      </c>
      <c r="C56" s="782"/>
      <c r="D56" s="782"/>
      <c r="E56" s="782"/>
      <c r="F56" s="298">
        <f>SUM(F57+F58+F59+F60+F63+F75)</f>
        <v>167925</v>
      </c>
      <c r="G56" s="298">
        <f>SUM(G57+G58+G59+G60+G63+G75)</f>
        <v>10</v>
      </c>
      <c r="H56" s="298">
        <f>SUM(H57+H58+H59+H60+H63+H75)</f>
        <v>0</v>
      </c>
      <c r="I56" s="298">
        <f t="shared" si="0"/>
        <v>167935</v>
      </c>
    </row>
    <row r="57" spans="1:9" ht="12.75">
      <c r="A57" s="273"/>
      <c r="B57" s="273" t="s">
        <v>414</v>
      </c>
      <c r="C57" s="781" t="s">
        <v>415</v>
      </c>
      <c r="D57" s="781"/>
      <c r="E57" s="781"/>
      <c r="F57" s="274">
        <v>0</v>
      </c>
      <c r="G57" s="274">
        <v>0</v>
      </c>
      <c r="H57" s="274">
        <v>0</v>
      </c>
      <c r="I57" s="296">
        <f t="shared" si="0"/>
        <v>0</v>
      </c>
    </row>
    <row r="58" spans="1:9" ht="12.75">
      <c r="A58" s="273"/>
      <c r="B58" s="273" t="s">
        <v>416</v>
      </c>
      <c r="C58" s="781" t="s">
        <v>417</v>
      </c>
      <c r="D58" s="781"/>
      <c r="E58" s="781"/>
      <c r="F58" s="274">
        <v>0</v>
      </c>
      <c r="G58" s="274">
        <v>0</v>
      </c>
      <c r="H58" s="274">
        <v>0</v>
      </c>
      <c r="I58" s="296">
        <f t="shared" si="0"/>
        <v>0</v>
      </c>
    </row>
    <row r="59" spans="1:9" ht="12.75">
      <c r="A59" s="273"/>
      <c r="B59" s="273" t="s">
        <v>418</v>
      </c>
      <c r="C59" s="781" t="s">
        <v>419</v>
      </c>
      <c r="D59" s="781"/>
      <c r="E59" s="781"/>
      <c r="F59" s="274">
        <v>0</v>
      </c>
      <c r="G59" s="274">
        <v>0</v>
      </c>
      <c r="H59" s="274">
        <v>0</v>
      </c>
      <c r="I59" s="296">
        <f t="shared" si="0"/>
        <v>0</v>
      </c>
    </row>
    <row r="60" spans="1:9" ht="12.75">
      <c r="A60" s="273"/>
      <c r="B60" s="273" t="s">
        <v>420</v>
      </c>
      <c r="C60" s="781" t="s">
        <v>421</v>
      </c>
      <c r="D60" s="781"/>
      <c r="E60" s="781"/>
      <c r="F60" s="274">
        <f>SUM(F61:F62)</f>
        <v>26500</v>
      </c>
      <c r="G60" s="274">
        <f>SUM(G61:G62)</f>
        <v>0</v>
      </c>
      <c r="H60" s="274">
        <v>0</v>
      </c>
      <c r="I60" s="296">
        <f t="shared" si="0"/>
        <v>26500</v>
      </c>
    </row>
    <row r="61" spans="1:9" ht="12.75">
      <c r="A61" s="283"/>
      <c r="B61" s="283"/>
      <c r="C61" s="282"/>
      <c r="D61" s="282"/>
      <c r="E61" s="282" t="s">
        <v>422</v>
      </c>
      <c r="F61" s="284">
        <v>25500</v>
      </c>
      <c r="G61" s="284">
        <v>0</v>
      </c>
      <c r="H61" s="284">
        <v>0</v>
      </c>
      <c r="I61" s="286">
        <f t="shared" si="0"/>
        <v>25500</v>
      </c>
    </row>
    <row r="62" spans="1:9" ht="12.75">
      <c r="A62" s="283"/>
      <c r="B62" s="283"/>
      <c r="C62" s="282"/>
      <c r="D62" s="282"/>
      <c r="E62" s="282" t="s">
        <v>423</v>
      </c>
      <c r="F62" s="284">
        <v>1000</v>
      </c>
      <c r="G62" s="284">
        <v>0</v>
      </c>
      <c r="H62" s="284">
        <v>0</v>
      </c>
      <c r="I62" s="286">
        <f t="shared" si="0"/>
        <v>1000</v>
      </c>
    </row>
    <row r="63" spans="1:9" ht="12.75">
      <c r="A63" s="273"/>
      <c r="B63" s="273" t="s">
        <v>424</v>
      </c>
      <c r="C63" s="781" t="s">
        <v>425</v>
      </c>
      <c r="D63" s="781"/>
      <c r="E63" s="781"/>
      <c r="F63" s="274">
        <f>SUM(F64+F67+F69+F70+F72)</f>
        <v>140725</v>
      </c>
      <c r="G63" s="274">
        <f>SUM(G64+G67+G69+G70+G72)</f>
        <v>0</v>
      </c>
      <c r="H63" s="274">
        <v>0</v>
      </c>
      <c r="I63" s="296">
        <f t="shared" si="0"/>
        <v>140725</v>
      </c>
    </row>
    <row r="64" spans="1:9" ht="12.75">
      <c r="A64" s="280"/>
      <c r="B64" s="280"/>
      <c r="C64" s="280" t="s">
        <v>426</v>
      </c>
      <c r="D64" s="280" t="s">
        <v>427</v>
      </c>
      <c r="E64" s="280"/>
      <c r="F64" s="281">
        <f>SUM(F65:F66)</f>
        <v>120500</v>
      </c>
      <c r="G64" s="281">
        <f>SUM(G65:G66)</f>
        <v>0</v>
      </c>
      <c r="H64" s="281">
        <v>0</v>
      </c>
      <c r="I64" s="294">
        <f t="shared" si="0"/>
        <v>120500</v>
      </c>
    </row>
    <row r="65" spans="1:9" ht="12.75">
      <c r="A65" s="283"/>
      <c r="B65" s="283"/>
      <c r="C65" s="282"/>
      <c r="D65" s="282"/>
      <c r="E65" s="282" t="s">
        <v>428</v>
      </c>
      <c r="F65" s="284">
        <v>120000</v>
      </c>
      <c r="G65" s="284">
        <v>0</v>
      </c>
      <c r="H65" s="284">
        <v>0</v>
      </c>
      <c r="I65" s="286">
        <f t="shared" si="0"/>
        <v>120000</v>
      </c>
    </row>
    <row r="66" spans="1:9" ht="12.75">
      <c r="A66" s="283"/>
      <c r="B66" s="283"/>
      <c r="C66" s="282"/>
      <c r="D66" s="282"/>
      <c r="E66" s="282" t="s">
        <v>429</v>
      </c>
      <c r="F66" s="284">
        <v>500</v>
      </c>
      <c r="G66" s="284">
        <v>0</v>
      </c>
      <c r="H66" s="284">
        <v>0</v>
      </c>
      <c r="I66" s="286">
        <f t="shared" si="0"/>
        <v>500</v>
      </c>
    </row>
    <row r="67" spans="1:9" ht="12.75">
      <c r="A67" s="280"/>
      <c r="B67" s="280"/>
      <c r="C67" s="280" t="s">
        <v>430</v>
      </c>
      <c r="D67" s="280" t="s">
        <v>939</v>
      </c>
      <c r="E67" s="280"/>
      <c r="F67" s="281">
        <f>SUM(F68)</f>
        <v>25</v>
      </c>
      <c r="G67" s="281">
        <f>SUM(G68)</f>
        <v>0</v>
      </c>
      <c r="H67" s="281">
        <f>SUM(H68)</f>
        <v>0</v>
      </c>
      <c r="I67" s="294">
        <f t="shared" si="0"/>
        <v>25</v>
      </c>
    </row>
    <row r="68" spans="1:9" ht="12.75">
      <c r="A68" s="280"/>
      <c r="B68" s="280"/>
      <c r="C68" s="280"/>
      <c r="D68" s="280"/>
      <c r="E68" s="282" t="s">
        <v>940</v>
      </c>
      <c r="F68" s="281">
        <v>25</v>
      </c>
      <c r="G68" s="281">
        <v>0</v>
      </c>
      <c r="H68" s="281">
        <v>0</v>
      </c>
      <c r="I68" s="294">
        <f t="shared" si="0"/>
        <v>25</v>
      </c>
    </row>
    <row r="69" spans="1:9" ht="12.75">
      <c r="A69" s="280"/>
      <c r="B69" s="280"/>
      <c r="C69" s="280" t="s">
        <v>431</v>
      </c>
      <c r="D69" s="280" t="s">
        <v>432</v>
      </c>
      <c r="E69" s="280"/>
      <c r="F69" s="281">
        <v>0</v>
      </c>
      <c r="G69" s="281">
        <v>0</v>
      </c>
      <c r="H69" s="281">
        <v>0</v>
      </c>
      <c r="I69" s="294">
        <f t="shared" si="0"/>
        <v>0</v>
      </c>
    </row>
    <row r="70" spans="1:9" ht="12.75">
      <c r="A70" s="280"/>
      <c r="B70" s="280"/>
      <c r="C70" s="280" t="s">
        <v>433</v>
      </c>
      <c r="D70" s="280" t="s">
        <v>434</v>
      </c>
      <c r="E70" s="280"/>
      <c r="F70" s="281">
        <f>SUM(F71)</f>
        <v>20000</v>
      </c>
      <c r="G70" s="281">
        <f>SUM(G71:G71)</f>
        <v>0</v>
      </c>
      <c r="H70" s="281">
        <v>0</v>
      </c>
      <c r="I70" s="294">
        <f t="shared" si="0"/>
        <v>20000</v>
      </c>
    </row>
    <row r="71" spans="1:9" ht="12.75">
      <c r="A71" s="283"/>
      <c r="B71" s="283"/>
      <c r="C71" s="283"/>
      <c r="D71" s="282"/>
      <c r="E71" s="282" t="s">
        <v>435</v>
      </c>
      <c r="F71" s="284">
        <v>20000</v>
      </c>
      <c r="G71" s="284">
        <v>0</v>
      </c>
      <c r="H71" s="284">
        <v>0</v>
      </c>
      <c r="I71" s="286">
        <f t="shared" si="0"/>
        <v>20000</v>
      </c>
    </row>
    <row r="72" spans="1:9" ht="12.75">
      <c r="A72" s="280"/>
      <c r="B72" s="280"/>
      <c r="C72" s="280" t="s">
        <v>436</v>
      </c>
      <c r="D72" s="280" t="s">
        <v>437</v>
      </c>
      <c r="E72" s="280"/>
      <c r="F72" s="281">
        <f>SUM(F73:F74)</f>
        <v>200</v>
      </c>
      <c r="G72" s="281">
        <v>0</v>
      </c>
      <c r="H72" s="281">
        <v>0</v>
      </c>
      <c r="I72" s="294">
        <f t="shared" si="0"/>
        <v>200</v>
      </c>
    </row>
    <row r="73" spans="1:9" ht="12.75">
      <c r="A73" s="283"/>
      <c r="B73" s="283"/>
      <c r="C73" s="283"/>
      <c r="D73" s="282"/>
      <c r="E73" s="282" t="s">
        <v>438</v>
      </c>
      <c r="F73" s="284">
        <v>200</v>
      </c>
      <c r="G73" s="284">
        <v>0</v>
      </c>
      <c r="H73" s="284">
        <v>0</v>
      </c>
      <c r="I73" s="286">
        <f aca="true" t="shared" si="1" ref="I73:I181">SUM(F73:H73)</f>
        <v>200</v>
      </c>
    </row>
    <row r="74" spans="1:9" ht="12.75">
      <c r="A74" s="283"/>
      <c r="B74" s="283"/>
      <c r="C74" s="283"/>
      <c r="D74" s="282"/>
      <c r="E74" s="282" t="s">
        <v>439</v>
      </c>
      <c r="F74" s="284">
        <v>0</v>
      </c>
      <c r="G74" s="284">
        <v>0</v>
      </c>
      <c r="H74" s="284">
        <v>0</v>
      </c>
      <c r="I74" s="286">
        <f t="shared" si="1"/>
        <v>0</v>
      </c>
    </row>
    <row r="75" spans="1:9" ht="12.75">
      <c r="A75" s="273"/>
      <c r="B75" s="273" t="s">
        <v>440</v>
      </c>
      <c r="C75" s="781" t="s">
        <v>441</v>
      </c>
      <c r="D75" s="781"/>
      <c r="E75" s="781"/>
      <c r="F75" s="274">
        <f>SUM(F76:F84)</f>
        <v>700</v>
      </c>
      <c r="G75" s="274">
        <f>SUM(G76:G84)</f>
        <v>10</v>
      </c>
      <c r="H75" s="274">
        <f>SUM(H76:H84)</f>
        <v>0</v>
      </c>
      <c r="I75" s="296">
        <f t="shared" si="1"/>
        <v>710</v>
      </c>
    </row>
    <row r="76" spans="1:9" ht="12.75">
      <c r="A76" s="289"/>
      <c r="B76" s="289"/>
      <c r="C76" s="289"/>
      <c r="D76" s="282"/>
      <c r="E76" s="282" t="s">
        <v>442</v>
      </c>
      <c r="F76" s="284">
        <v>0</v>
      </c>
      <c r="G76" s="284">
        <v>0</v>
      </c>
      <c r="H76" s="284">
        <v>0</v>
      </c>
      <c r="I76" s="286">
        <f t="shared" si="1"/>
        <v>0</v>
      </c>
    </row>
    <row r="77" spans="1:9" ht="12.75">
      <c r="A77" s="283"/>
      <c r="B77" s="283"/>
      <c r="C77" s="283"/>
      <c r="D77" s="282"/>
      <c r="E77" s="282" t="s">
        <v>443</v>
      </c>
      <c r="F77" s="284">
        <v>0</v>
      </c>
      <c r="G77" s="284">
        <v>10</v>
      </c>
      <c r="H77" s="284">
        <v>0</v>
      </c>
      <c r="I77" s="286">
        <f t="shared" si="1"/>
        <v>10</v>
      </c>
    </row>
    <row r="78" spans="1:9" ht="12.75">
      <c r="A78" s="289"/>
      <c r="B78" s="289"/>
      <c r="C78" s="289"/>
      <c r="D78" s="282"/>
      <c r="E78" s="282" t="s">
        <v>444</v>
      </c>
      <c r="F78" s="284">
        <v>0</v>
      </c>
      <c r="G78" s="284">
        <v>0</v>
      </c>
      <c r="H78" s="284">
        <v>0</v>
      </c>
      <c r="I78" s="286">
        <f t="shared" si="1"/>
        <v>0</v>
      </c>
    </row>
    <row r="79" spans="1:9" ht="12.75">
      <c r="A79" s="289"/>
      <c r="B79" s="289"/>
      <c r="C79" s="289"/>
      <c r="D79" s="282"/>
      <c r="E79" s="282" t="s">
        <v>445</v>
      </c>
      <c r="F79" s="284">
        <v>0</v>
      </c>
      <c r="G79" s="284">
        <v>0</v>
      </c>
      <c r="H79" s="284">
        <v>0</v>
      </c>
      <c r="I79" s="286">
        <f t="shared" si="1"/>
        <v>0</v>
      </c>
    </row>
    <row r="80" spans="1:9" ht="12.75">
      <c r="A80" s="289"/>
      <c r="B80" s="289"/>
      <c r="C80" s="289"/>
      <c r="D80" s="282"/>
      <c r="E80" s="282" t="s">
        <v>446</v>
      </c>
      <c r="F80" s="284">
        <v>0</v>
      </c>
      <c r="G80" s="284">
        <v>0</v>
      </c>
      <c r="H80" s="284">
        <v>0</v>
      </c>
      <c r="I80" s="286">
        <f t="shared" si="1"/>
        <v>0</v>
      </c>
    </row>
    <row r="81" spans="1:9" ht="12.75">
      <c r="A81" s="289"/>
      <c r="B81" s="289"/>
      <c r="C81" s="289"/>
      <c r="D81" s="282"/>
      <c r="E81" s="282" t="s">
        <v>447</v>
      </c>
      <c r="F81" s="284">
        <v>0</v>
      </c>
      <c r="G81" s="284">
        <v>0</v>
      </c>
      <c r="H81" s="284">
        <v>0</v>
      </c>
      <c r="I81" s="286">
        <f t="shared" si="1"/>
        <v>0</v>
      </c>
    </row>
    <row r="82" spans="1:9" ht="40.5" customHeight="1">
      <c r="A82" s="283"/>
      <c r="B82" s="283"/>
      <c r="C82" s="283"/>
      <c r="D82" s="283"/>
      <c r="E82" s="574" t="s">
        <v>448</v>
      </c>
      <c r="F82" s="284">
        <v>200</v>
      </c>
      <c r="G82" s="284">
        <v>0</v>
      </c>
      <c r="H82" s="284">
        <v>0</v>
      </c>
      <c r="I82" s="286">
        <f t="shared" si="1"/>
        <v>200</v>
      </c>
    </row>
    <row r="83" spans="1:9" ht="12.75">
      <c r="A83" s="289"/>
      <c r="B83" s="289"/>
      <c r="C83" s="289"/>
      <c r="D83" s="289"/>
      <c r="E83" s="282" t="s">
        <v>449</v>
      </c>
      <c r="F83" s="284">
        <v>0</v>
      </c>
      <c r="G83" s="284">
        <v>0</v>
      </c>
      <c r="H83" s="284">
        <v>0</v>
      </c>
      <c r="I83" s="286">
        <f t="shared" si="1"/>
        <v>0</v>
      </c>
    </row>
    <row r="84" spans="1:9" ht="12.75">
      <c r="A84" s="283"/>
      <c r="B84" s="283"/>
      <c r="C84" s="283"/>
      <c r="D84" s="283"/>
      <c r="E84" s="288" t="s">
        <v>450</v>
      </c>
      <c r="F84" s="284">
        <v>500</v>
      </c>
      <c r="G84" s="284">
        <v>0</v>
      </c>
      <c r="H84" s="284">
        <v>0</v>
      </c>
      <c r="I84" s="286">
        <f t="shared" si="1"/>
        <v>500</v>
      </c>
    </row>
    <row r="85" spans="1:9" s="299" customFormat="1" ht="12.75">
      <c r="A85" s="297" t="s">
        <v>451</v>
      </c>
      <c r="B85" s="782" t="s">
        <v>452</v>
      </c>
      <c r="C85" s="782"/>
      <c r="D85" s="782"/>
      <c r="E85" s="782"/>
      <c r="F85" s="298">
        <f>SUM(F86+F87+F90+F92+F99+F100+F101+F102+F109+F117+F118)</f>
        <v>128724</v>
      </c>
      <c r="G85" s="298">
        <f>SUM(G86+G87+G90+G92+G99+G100+G101+G102+G109+G117+G118)</f>
        <v>8534</v>
      </c>
      <c r="H85" s="298">
        <f>SUM(H86+H87+H90+H92+H99+H100+H101+H102+H109+H117+H118)</f>
        <v>1798</v>
      </c>
      <c r="I85" s="298">
        <f t="shared" si="1"/>
        <v>139056</v>
      </c>
    </row>
    <row r="86" spans="1:9" ht="12.75">
      <c r="A86" s="280"/>
      <c r="B86" s="280"/>
      <c r="C86" s="280" t="s">
        <v>453</v>
      </c>
      <c r="D86" s="280" t="s">
        <v>863</v>
      </c>
      <c r="E86" s="280"/>
      <c r="F86" s="281">
        <v>7400</v>
      </c>
      <c r="G86" s="281">
        <v>0</v>
      </c>
      <c r="H86" s="281">
        <v>0</v>
      </c>
      <c r="I86" s="294">
        <f t="shared" si="1"/>
        <v>7400</v>
      </c>
    </row>
    <row r="87" spans="1:9" ht="12.75">
      <c r="A87" s="280"/>
      <c r="B87" s="280"/>
      <c r="C87" s="280" t="s">
        <v>454</v>
      </c>
      <c r="D87" s="280" t="s">
        <v>539</v>
      </c>
      <c r="E87" s="280"/>
      <c r="F87" s="281">
        <f>84983+4724</f>
        <v>89707</v>
      </c>
      <c r="G87" s="281">
        <v>1834</v>
      </c>
      <c r="H87" s="281">
        <v>0</v>
      </c>
      <c r="I87" s="294">
        <f t="shared" si="1"/>
        <v>91541</v>
      </c>
    </row>
    <row r="88" spans="1:9" ht="12.75">
      <c r="A88" s="283"/>
      <c r="B88" s="283"/>
      <c r="C88" s="282" t="s">
        <v>18</v>
      </c>
      <c r="D88" s="282"/>
      <c r="E88" s="282" t="s">
        <v>455</v>
      </c>
      <c r="F88" s="700">
        <v>9968</v>
      </c>
      <c r="G88" s="700">
        <v>0</v>
      </c>
      <c r="H88" s="284">
        <v>0</v>
      </c>
      <c r="I88" s="286">
        <f t="shared" si="1"/>
        <v>9968</v>
      </c>
    </row>
    <row r="89" spans="1:9" ht="12.75">
      <c r="A89" s="283"/>
      <c r="B89" s="283"/>
      <c r="C89" s="282"/>
      <c r="D89" s="282"/>
      <c r="E89" s="282" t="s">
        <v>899</v>
      </c>
      <c r="F89" s="284">
        <v>0</v>
      </c>
      <c r="G89" s="284">
        <v>0</v>
      </c>
      <c r="H89" s="284">
        <v>0</v>
      </c>
      <c r="I89" s="286">
        <f>SUM(F89:H89)</f>
        <v>0</v>
      </c>
    </row>
    <row r="90" spans="1:9" ht="12.75">
      <c r="A90" s="280"/>
      <c r="B90" s="280"/>
      <c r="C90" s="280" t="s">
        <v>456</v>
      </c>
      <c r="D90" s="280" t="s">
        <v>457</v>
      </c>
      <c r="E90" s="280"/>
      <c r="F90" s="281">
        <v>3440</v>
      </c>
      <c r="G90" s="281">
        <v>6059</v>
      </c>
      <c r="H90" s="281">
        <v>0</v>
      </c>
      <c r="I90" s="294">
        <f t="shared" si="1"/>
        <v>9499</v>
      </c>
    </row>
    <row r="91" spans="1:9" ht="12.75">
      <c r="A91" s="283"/>
      <c r="B91" s="283"/>
      <c r="C91" s="282" t="s">
        <v>18</v>
      </c>
      <c r="D91" s="282"/>
      <c r="E91" s="282" t="s">
        <v>65</v>
      </c>
      <c r="F91" s="284">
        <v>350</v>
      </c>
      <c r="G91" s="284">
        <v>3759</v>
      </c>
      <c r="H91" s="284">
        <v>0</v>
      </c>
      <c r="I91" s="286">
        <f t="shared" si="1"/>
        <v>4109</v>
      </c>
    </row>
    <row r="92" spans="1:9" ht="12.75">
      <c r="A92" s="280"/>
      <c r="B92" s="280"/>
      <c r="C92" s="280" t="s">
        <v>458</v>
      </c>
      <c r="D92" s="280" t="s">
        <v>459</v>
      </c>
      <c r="E92" s="280"/>
      <c r="F92" s="281">
        <v>579</v>
      </c>
      <c r="G92" s="281">
        <v>0</v>
      </c>
      <c r="H92" s="281">
        <v>0</v>
      </c>
      <c r="I92" s="294">
        <f t="shared" si="1"/>
        <v>579</v>
      </c>
    </row>
    <row r="93" spans="1:9" ht="12.75">
      <c r="A93" s="283"/>
      <c r="B93" s="283"/>
      <c r="C93" s="282" t="s">
        <v>18</v>
      </c>
      <c r="D93" s="282"/>
      <c r="E93" s="282" t="s">
        <v>460</v>
      </c>
      <c r="F93" s="284">
        <v>0</v>
      </c>
      <c r="G93" s="284">
        <v>0</v>
      </c>
      <c r="H93" s="284">
        <v>0</v>
      </c>
      <c r="I93" s="286">
        <f t="shared" si="1"/>
        <v>0</v>
      </c>
    </row>
    <row r="94" spans="1:9" ht="12.75">
      <c r="A94" s="283"/>
      <c r="B94" s="283"/>
      <c r="C94" s="282"/>
      <c r="D94" s="282"/>
      <c r="E94" s="282" t="s">
        <v>864</v>
      </c>
      <c r="F94" s="284">
        <v>0</v>
      </c>
      <c r="G94" s="284">
        <v>0</v>
      </c>
      <c r="H94" s="284">
        <v>0</v>
      </c>
      <c r="I94" s="286">
        <f>SUM(F94:H94)</f>
        <v>0</v>
      </c>
    </row>
    <row r="95" spans="1:9" ht="12.75">
      <c r="A95" s="283"/>
      <c r="B95" s="283"/>
      <c r="C95" s="282"/>
      <c r="D95" s="282"/>
      <c r="E95" s="282" t="s">
        <v>461</v>
      </c>
      <c r="F95" s="284">
        <v>579</v>
      </c>
      <c r="G95" s="284">
        <v>0</v>
      </c>
      <c r="H95" s="284">
        <v>0</v>
      </c>
      <c r="I95" s="286">
        <f>SUM(F95:H95)</f>
        <v>579</v>
      </c>
    </row>
    <row r="96" spans="1:9" ht="12.75">
      <c r="A96" s="283"/>
      <c r="B96" s="283"/>
      <c r="C96" s="282"/>
      <c r="D96" s="282"/>
      <c r="E96" s="282" t="s">
        <v>866</v>
      </c>
      <c r="F96" s="284">
        <v>0</v>
      </c>
      <c r="G96" s="284">
        <v>0</v>
      </c>
      <c r="H96" s="284">
        <v>0</v>
      </c>
      <c r="I96" s="286">
        <f>SUM(F96:H96)</f>
        <v>0</v>
      </c>
    </row>
    <row r="97" spans="1:9" ht="12.75">
      <c r="A97" s="283"/>
      <c r="B97" s="283"/>
      <c r="C97" s="282"/>
      <c r="D97" s="282"/>
      <c r="E97" s="282" t="s">
        <v>865</v>
      </c>
      <c r="F97" s="284">
        <v>0</v>
      </c>
      <c r="G97" s="284">
        <v>0</v>
      </c>
      <c r="H97" s="284">
        <v>0</v>
      </c>
      <c r="I97" s="286">
        <f>SUM(F97:H97)</f>
        <v>0</v>
      </c>
    </row>
    <row r="98" spans="1:9" ht="12.75">
      <c r="A98" s="283"/>
      <c r="B98" s="283"/>
      <c r="C98" s="282"/>
      <c r="D98" s="282"/>
      <c r="E98" s="282" t="s">
        <v>867</v>
      </c>
      <c r="F98" s="284">
        <v>0</v>
      </c>
      <c r="G98" s="284">
        <v>0</v>
      </c>
      <c r="H98" s="284">
        <v>0</v>
      </c>
      <c r="I98" s="286">
        <f t="shared" si="1"/>
        <v>0</v>
      </c>
    </row>
    <row r="99" spans="1:9" ht="12.75">
      <c r="A99" s="280"/>
      <c r="B99" s="280"/>
      <c r="C99" s="280" t="s">
        <v>462</v>
      </c>
      <c r="D99" s="280" t="s">
        <v>463</v>
      </c>
      <c r="E99" s="280"/>
      <c r="F99" s="281">
        <v>4395</v>
      </c>
      <c r="G99" s="281">
        <v>0</v>
      </c>
      <c r="H99" s="281">
        <v>1392</v>
      </c>
      <c r="I99" s="294">
        <f t="shared" si="1"/>
        <v>5787</v>
      </c>
    </row>
    <row r="100" spans="1:9" ht="12.75">
      <c r="A100" s="280"/>
      <c r="B100" s="280"/>
      <c r="C100" s="280" t="s">
        <v>464</v>
      </c>
      <c r="D100" s="280" t="s">
        <v>465</v>
      </c>
      <c r="E100" s="280"/>
      <c r="F100" s="281">
        <f>21767+1276</f>
        <v>23043</v>
      </c>
      <c r="G100" s="281">
        <v>638</v>
      </c>
      <c r="H100" s="281">
        <v>376</v>
      </c>
      <c r="I100" s="294">
        <f t="shared" si="1"/>
        <v>24057</v>
      </c>
    </row>
    <row r="101" spans="1:9" ht="12.75">
      <c r="A101" s="280"/>
      <c r="B101" s="280"/>
      <c r="C101" s="280" t="s">
        <v>466</v>
      </c>
      <c r="D101" s="280" t="s">
        <v>467</v>
      </c>
      <c r="E101" s="280"/>
      <c r="F101" s="281">
        <v>0</v>
      </c>
      <c r="G101" s="281">
        <v>0</v>
      </c>
      <c r="H101" s="281">
        <v>0</v>
      </c>
      <c r="I101" s="294">
        <f t="shared" si="1"/>
        <v>0</v>
      </c>
    </row>
    <row r="102" spans="1:9" ht="12.75">
      <c r="A102" s="280"/>
      <c r="B102" s="280"/>
      <c r="C102" s="280" t="s">
        <v>468</v>
      </c>
      <c r="D102" s="280" t="s">
        <v>941</v>
      </c>
      <c r="E102" s="280"/>
      <c r="F102" s="281">
        <f>SUM(F103+F106)</f>
        <v>97</v>
      </c>
      <c r="G102" s="281">
        <f>SUM(G103+G106)</f>
        <v>3</v>
      </c>
      <c r="H102" s="281">
        <f>SUM(H103+H106)</f>
        <v>30</v>
      </c>
      <c r="I102" s="294">
        <f t="shared" si="1"/>
        <v>130</v>
      </c>
    </row>
    <row r="103" spans="1:9" ht="12.75">
      <c r="A103" s="280"/>
      <c r="B103" s="280"/>
      <c r="C103" s="282"/>
      <c r="D103" s="790" t="s">
        <v>944</v>
      </c>
      <c r="E103" s="791"/>
      <c r="F103" s="284">
        <v>0</v>
      </c>
      <c r="G103" s="284">
        <v>0</v>
      </c>
      <c r="H103" s="284">
        <v>0</v>
      </c>
      <c r="I103" s="286">
        <f t="shared" si="1"/>
        <v>0</v>
      </c>
    </row>
    <row r="104" spans="1:9" ht="12.75">
      <c r="A104" s="280"/>
      <c r="B104" s="280"/>
      <c r="C104" s="280" t="s">
        <v>18</v>
      </c>
      <c r="D104" s="280"/>
      <c r="E104" s="282" t="s">
        <v>65</v>
      </c>
      <c r="F104" s="284">
        <v>0</v>
      </c>
      <c r="G104" s="284">
        <v>0</v>
      </c>
      <c r="H104" s="284">
        <v>0</v>
      </c>
      <c r="I104" s="286">
        <f>SUM(F104:H104)</f>
        <v>0</v>
      </c>
    </row>
    <row r="105" spans="1:9" ht="12.75">
      <c r="A105" s="280"/>
      <c r="B105" s="280"/>
      <c r="C105" s="280"/>
      <c r="D105" s="280"/>
      <c r="E105" s="282" t="s">
        <v>942</v>
      </c>
      <c r="F105" s="284">
        <v>0</v>
      </c>
      <c r="G105" s="284">
        <v>0</v>
      </c>
      <c r="H105" s="284">
        <v>0</v>
      </c>
      <c r="I105" s="286">
        <f>SUM(F105:H105)</f>
        <v>0</v>
      </c>
    </row>
    <row r="106" spans="1:9" ht="12.75">
      <c r="A106" s="280"/>
      <c r="B106" s="280"/>
      <c r="C106" s="280"/>
      <c r="D106" s="790" t="s">
        <v>943</v>
      </c>
      <c r="E106" s="791"/>
      <c r="F106" s="284">
        <v>97</v>
      </c>
      <c r="G106" s="284">
        <v>3</v>
      </c>
      <c r="H106" s="284">
        <v>30</v>
      </c>
      <c r="I106" s="286">
        <f>SUM(F106:H106)</f>
        <v>130</v>
      </c>
    </row>
    <row r="107" spans="1:9" ht="12.75">
      <c r="A107" s="280"/>
      <c r="B107" s="280"/>
      <c r="C107" s="280" t="s">
        <v>18</v>
      </c>
      <c r="D107" s="280"/>
      <c r="E107" s="282" t="s">
        <v>65</v>
      </c>
      <c r="F107" s="284">
        <v>17</v>
      </c>
      <c r="G107" s="284">
        <v>0</v>
      </c>
      <c r="H107" s="284">
        <v>0</v>
      </c>
      <c r="I107" s="286">
        <f>SUM(F107:H107)</f>
        <v>17</v>
      </c>
    </row>
    <row r="108" spans="1:9" ht="12.75">
      <c r="A108" s="280"/>
      <c r="B108" s="280"/>
      <c r="C108" s="280"/>
      <c r="D108" s="280"/>
      <c r="E108" s="282" t="s">
        <v>868</v>
      </c>
      <c r="F108" s="284">
        <v>0</v>
      </c>
      <c r="G108" s="284">
        <v>0</v>
      </c>
      <c r="H108" s="284">
        <v>0</v>
      </c>
      <c r="I108" s="286">
        <f>SUM(F108:H108)</f>
        <v>0</v>
      </c>
    </row>
    <row r="109" spans="1:9" ht="12.75">
      <c r="A109" s="280"/>
      <c r="B109" s="280"/>
      <c r="C109" s="280" t="s">
        <v>469</v>
      </c>
      <c r="D109" s="280" t="s">
        <v>947</v>
      </c>
      <c r="E109" s="280"/>
      <c r="F109" s="281">
        <f>SUM(F110:F111)</f>
        <v>0</v>
      </c>
      <c r="G109" s="281">
        <f>SUM(G110:G111)</f>
        <v>0</v>
      </c>
      <c r="H109" s="281">
        <f>SUM(H110:H111)</f>
        <v>0</v>
      </c>
      <c r="I109" s="294">
        <f t="shared" si="1"/>
        <v>0</v>
      </c>
    </row>
    <row r="110" spans="1:9" ht="12.75">
      <c r="A110" s="280"/>
      <c r="B110" s="280"/>
      <c r="C110" s="280"/>
      <c r="D110" s="790" t="s">
        <v>945</v>
      </c>
      <c r="E110" s="791"/>
      <c r="F110" s="281">
        <v>0</v>
      </c>
      <c r="G110" s="281">
        <v>0</v>
      </c>
      <c r="H110" s="281">
        <v>0</v>
      </c>
      <c r="I110" s="294">
        <f t="shared" si="1"/>
        <v>0</v>
      </c>
    </row>
    <row r="111" spans="1:9" ht="12.75">
      <c r="A111" s="280"/>
      <c r="B111" s="280"/>
      <c r="C111" s="280"/>
      <c r="D111" s="790" t="s">
        <v>946</v>
      </c>
      <c r="E111" s="791"/>
      <c r="F111" s="281">
        <v>0</v>
      </c>
      <c r="G111" s="281">
        <v>0</v>
      </c>
      <c r="H111" s="281">
        <v>0</v>
      </c>
      <c r="I111" s="294">
        <f t="shared" si="1"/>
        <v>0</v>
      </c>
    </row>
    <row r="112" spans="1:9" ht="12.75">
      <c r="A112" s="280"/>
      <c r="B112" s="280"/>
      <c r="C112" s="280" t="s">
        <v>18</v>
      </c>
      <c r="D112" s="280"/>
      <c r="E112" s="282" t="s">
        <v>948</v>
      </c>
      <c r="F112" s="281">
        <v>0</v>
      </c>
      <c r="G112" s="281">
        <v>0</v>
      </c>
      <c r="H112" s="281">
        <v>0</v>
      </c>
      <c r="I112" s="294">
        <f t="shared" si="1"/>
        <v>0</v>
      </c>
    </row>
    <row r="113" spans="1:9" ht="12.75">
      <c r="A113" s="280"/>
      <c r="B113" s="280"/>
      <c r="C113" s="280"/>
      <c r="D113" s="280"/>
      <c r="E113" s="282" t="s">
        <v>942</v>
      </c>
      <c r="F113" s="281">
        <v>0</v>
      </c>
      <c r="G113" s="281">
        <v>0</v>
      </c>
      <c r="H113" s="281">
        <v>0</v>
      </c>
      <c r="I113" s="294">
        <f t="shared" si="1"/>
        <v>0</v>
      </c>
    </row>
    <row r="114" spans="1:9" ht="12.75">
      <c r="A114" s="280"/>
      <c r="B114" s="280"/>
      <c r="C114" s="280"/>
      <c r="D114" s="280"/>
      <c r="E114" s="282" t="s">
        <v>949</v>
      </c>
      <c r="F114" s="281">
        <v>0</v>
      </c>
      <c r="G114" s="281">
        <v>0</v>
      </c>
      <c r="H114" s="281">
        <v>0</v>
      </c>
      <c r="I114" s="294">
        <f t="shared" si="1"/>
        <v>0</v>
      </c>
    </row>
    <row r="115" spans="1:9" ht="12.75">
      <c r="A115" s="280"/>
      <c r="B115" s="280"/>
      <c r="C115" s="280"/>
      <c r="D115" s="280"/>
      <c r="E115" s="282" t="s">
        <v>950</v>
      </c>
      <c r="F115" s="281">
        <v>0</v>
      </c>
      <c r="G115" s="281">
        <v>0</v>
      </c>
      <c r="H115" s="281">
        <v>0</v>
      </c>
      <c r="I115" s="294">
        <f t="shared" si="1"/>
        <v>0</v>
      </c>
    </row>
    <row r="116" spans="1:9" ht="12.75">
      <c r="A116" s="280"/>
      <c r="B116" s="280"/>
      <c r="C116" s="280"/>
      <c r="D116" s="280"/>
      <c r="E116" s="282" t="s">
        <v>951</v>
      </c>
      <c r="F116" s="281">
        <v>0</v>
      </c>
      <c r="G116" s="281">
        <v>0</v>
      </c>
      <c r="H116" s="281">
        <v>0</v>
      </c>
      <c r="I116" s="294">
        <f t="shared" si="1"/>
        <v>0</v>
      </c>
    </row>
    <row r="117" spans="1:9" ht="12.75">
      <c r="A117" s="280"/>
      <c r="B117" s="280"/>
      <c r="C117" s="280" t="s">
        <v>470</v>
      </c>
      <c r="D117" s="280" t="s">
        <v>869</v>
      </c>
      <c r="E117" s="280"/>
      <c r="F117" s="281">
        <v>0</v>
      </c>
      <c r="G117" s="281">
        <v>0</v>
      </c>
      <c r="H117" s="281">
        <v>0</v>
      </c>
      <c r="I117" s="294">
        <f t="shared" si="1"/>
        <v>0</v>
      </c>
    </row>
    <row r="118" spans="1:9" ht="22.5" customHeight="1">
      <c r="A118" s="280"/>
      <c r="B118" s="280"/>
      <c r="C118" s="280" t="s">
        <v>870</v>
      </c>
      <c r="D118" s="793" t="s">
        <v>871</v>
      </c>
      <c r="E118" s="793"/>
      <c r="F118" s="281">
        <v>63</v>
      </c>
      <c r="G118" s="281">
        <v>0</v>
      </c>
      <c r="H118" s="281">
        <v>0</v>
      </c>
      <c r="I118" s="294">
        <f t="shared" si="1"/>
        <v>63</v>
      </c>
    </row>
    <row r="119" spans="1:9" ht="45.75" customHeight="1">
      <c r="A119" s="285"/>
      <c r="B119" s="285"/>
      <c r="C119" s="696" t="s">
        <v>18</v>
      </c>
      <c r="D119" s="574" t="s">
        <v>678</v>
      </c>
      <c r="E119" s="574" t="s">
        <v>900</v>
      </c>
      <c r="F119" s="284">
        <v>0</v>
      </c>
      <c r="G119" s="284">
        <v>0</v>
      </c>
      <c r="H119" s="284">
        <v>0</v>
      </c>
      <c r="I119" s="286">
        <f t="shared" si="1"/>
        <v>0</v>
      </c>
    </row>
    <row r="120" spans="1:9" ht="13.5" customHeight="1">
      <c r="A120" s="283"/>
      <c r="B120" s="283"/>
      <c r="C120" s="283"/>
      <c r="D120" s="282" t="s">
        <v>678</v>
      </c>
      <c r="E120" s="290" t="s">
        <v>952</v>
      </c>
      <c r="F120" s="284">
        <v>63</v>
      </c>
      <c r="G120" s="284">
        <v>0</v>
      </c>
      <c r="H120" s="284">
        <v>0</v>
      </c>
      <c r="I120" s="286">
        <f t="shared" si="1"/>
        <v>63</v>
      </c>
    </row>
    <row r="121" spans="1:9" s="299" customFormat="1" ht="12.75">
      <c r="A121" s="297" t="s">
        <v>471</v>
      </c>
      <c r="B121" s="782" t="s">
        <v>472</v>
      </c>
      <c r="C121" s="782"/>
      <c r="D121" s="782"/>
      <c r="E121" s="782"/>
      <c r="F121" s="298">
        <f>SUM(F122+F124+F126+F127+F128)</f>
        <v>71690</v>
      </c>
      <c r="G121" s="298">
        <f>SUM(G122+G124+G126+G127+G128)</f>
        <v>0</v>
      </c>
      <c r="H121" s="298">
        <f>SUM(H122+H124+H126+H127+H128)</f>
        <v>0</v>
      </c>
      <c r="I121" s="298">
        <f t="shared" si="1"/>
        <v>71690</v>
      </c>
    </row>
    <row r="122" spans="1:9" ht="12.75">
      <c r="A122" s="273"/>
      <c r="B122" s="273" t="s">
        <v>473</v>
      </c>
      <c r="C122" s="781" t="s">
        <v>540</v>
      </c>
      <c r="D122" s="781"/>
      <c r="E122" s="781"/>
      <c r="F122" s="274">
        <v>0</v>
      </c>
      <c r="G122" s="274">
        <v>0</v>
      </c>
      <c r="H122" s="274">
        <v>0</v>
      </c>
      <c r="I122" s="296">
        <f t="shared" si="1"/>
        <v>0</v>
      </c>
    </row>
    <row r="123" spans="1:9" ht="12.75">
      <c r="A123" s="283"/>
      <c r="B123" s="283"/>
      <c r="C123" s="282" t="s">
        <v>18</v>
      </c>
      <c r="D123" s="282" t="s">
        <v>678</v>
      </c>
      <c r="E123" s="282" t="s">
        <v>953</v>
      </c>
      <c r="F123" s="284">
        <v>0</v>
      </c>
      <c r="G123" s="284">
        <v>0</v>
      </c>
      <c r="H123" s="284">
        <v>0</v>
      </c>
      <c r="I123" s="286">
        <f>SUM(F123:H123)</f>
        <v>0</v>
      </c>
    </row>
    <row r="124" spans="1:9" ht="12.75">
      <c r="A124" s="273"/>
      <c r="B124" s="273" t="s">
        <v>474</v>
      </c>
      <c r="C124" s="781" t="s">
        <v>475</v>
      </c>
      <c r="D124" s="781"/>
      <c r="E124" s="781"/>
      <c r="F124" s="274">
        <v>71690</v>
      </c>
      <c r="G124" s="274">
        <v>0</v>
      </c>
      <c r="H124" s="274">
        <v>0</v>
      </c>
      <c r="I124" s="296">
        <f t="shared" si="1"/>
        <v>71690</v>
      </c>
    </row>
    <row r="125" spans="1:9" ht="12.75">
      <c r="A125" s="283"/>
      <c r="B125" s="283"/>
      <c r="C125" s="282" t="s">
        <v>18</v>
      </c>
      <c r="D125" s="282" t="s">
        <v>678</v>
      </c>
      <c r="E125" s="282" t="s">
        <v>476</v>
      </c>
      <c r="F125" s="284">
        <v>0</v>
      </c>
      <c r="G125" s="284">
        <v>0</v>
      </c>
      <c r="H125" s="284">
        <v>0</v>
      </c>
      <c r="I125" s="286">
        <f t="shared" si="1"/>
        <v>0</v>
      </c>
    </row>
    <row r="126" spans="1:9" ht="12.75">
      <c r="A126" s="273"/>
      <c r="B126" s="273" t="s">
        <v>477</v>
      </c>
      <c r="C126" s="781" t="s">
        <v>478</v>
      </c>
      <c r="D126" s="781"/>
      <c r="E126" s="781"/>
      <c r="F126" s="274">
        <v>0</v>
      </c>
      <c r="G126" s="274">
        <v>0</v>
      </c>
      <c r="H126" s="274">
        <v>0</v>
      </c>
      <c r="I126" s="296">
        <f t="shared" si="1"/>
        <v>0</v>
      </c>
    </row>
    <row r="127" spans="1:9" ht="12.75">
      <c r="A127" s="273"/>
      <c r="B127" s="273" t="s">
        <v>479</v>
      </c>
      <c r="C127" s="781" t="s">
        <v>480</v>
      </c>
      <c r="D127" s="781"/>
      <c r="E127" s="781"/>
      <c r="F127" s="274">
        <v>0</v>
      </c>
      <c r="G127" s="274">
        <v>0</v>
      </c>
      <c r="H127" s="274">
        <v>0</v>
      </c>
      <c r="I127" s="296">
        <f t="shared" si="1"/>
        <v>0</v>
      </c>
    </row>
    <row r="128" spans="1:9" ht="12.75">
      <c r="A128" s="273"/>
      <c r="B128" s="273" t="s">
        <v>481</v>
      </c>
      <c r="C128" s="781" t="s">
        <v>482</v>
      </c>
      <c r="D128" s="781"/>
      <c r="E128" s="781"/>
      <c r="F128" s="274">
        <v>0</v>
      </c>
      <c r="G128" s="274">
        <v>0</v>
      </c>
      <c r="H128" s="274">
        <v>0</v>
      </c>
      <c r="I128" s="296">
        <f t="shared" si="1"/>
        <v>0</v>
      </c>
    </row>
    <row r="129" spans="1:9" s="299" customFormat="1" ht="12.75">
      <c r="A129" s="297" t="s">
        <v>483</v>
      </c>
      <c r="B129" s="782" t="s">
        <v>484</v>
      </c>
      <c r="C129" s="782"/>
      <c r="D129" s="782"/>
      <c r="E129" s="782"/>
      <c r="F129" s="298">
        <f>SUM(F130+F131+F132+F133+F143)</f>
        <v>14668</v>
      </c>
      <c r="G129" s="298">
        <f>SUM(G130+G131+G132+G133+G143)</f>
        <v>0</v>
      </c>
      <c r="H129" s="298">
        <f>SUM(H130+H131+H132+H133+H143)</f>
        <v>0</v>
      </c>
      <c r="I129" s="298">
        <f t="shared" si="1"/>
        <v>14668</v>
      </c>
    </row>
    <row r="130" spans="1:9" ht="12.75">
      <c r="A130" s="273"/>
      <c r="B130" s="273" t="s">
        <v>485</v>
      </c>
      <c r="C130" s="781" t="s">
        <v>486</v>
      </c>
      <c r="D130" s="781"/>
      <c r="E130" s="781"/>
      <c r="F130" s="274">
        <v>0</v>
      </c>
      <c r="G130" s="274">
        <v>0</v>
      </c>
      <c r="H130" s="274">
        <v>0</v>
      </c>
      <c r="I130" s="296">
        <f t="shared" si="1"/>
        <v>0</v>
      </c>
    </row>
    <row r="131" spans="1:9" ht="12.75">
      <c r="A131" s="273"/>
      <c r="B131" s="273" t="s">
        <v>487</v>
      </c>
      <c r="C131" s="781" t="s">
        <v>873</v>
      </c>
      <c r="D131" s="781"/>
      <c r="E131" s="781"/>
      <c r="F131" s="274">
        <v>0</v>
      </c>
      <c r="G131" s="274">
        <v>0</v>
      </c>
      <c r="H131" s="274">
        <v>0</v>
      </c>
      <c r="I131" s="296">
        <f t="shared" si="1"/>
        <v>0</v>
      </c>
    </row>
    <row r="132" spans="1:9" ht="26.25" customHeight="1">
      <c r="A132" s="273"/>
      <c r="B132" s="273" t="s">
        <v>492</v>
      </c>
      <c r="C132" s="783" t="s">
        <v>874</v>
      </c>
      <c r="D132" s="783"/>
      <c r="E132" s="783"/>
      <c r="F132" s="274">
        <v>0</v>
      </c>
      <c r="G132" s="274">
        <v>0</v>
      </c>
      <c r="H132" s="274">
        <v>0</v>
      </c>
      <c r="I132" s="296">
        <f t="shared" si="1"/>
        <v>0</v>
      </c>
    </row>
    <row r="133" spans="1:9" ht="12.75">
      <c r="A133" s="273"/>
      <c r="B133" s="273" t="s">
        <v>872</v>
      </c>
      <c r="C133" s="781" t="s">
        <v>491</v>
      </c>
      <c r="D133" s="781"/>
      <c r="E133" s="781"/>
      <c r="F133" s="274">
        <f>SUM(F134:F142)</f>
        <v>14668</v>
      </c>
      <c r="G133" s="274">
        <v>0</v>
      </c>
      <c r="H133" s="274">
        <v>0</v>
      </c>
      <c r="I133" s="296">
        <f t="shared" si="1"/>
        <v>14668</v>
      </c>
    </row>
    <row r="134" spans="1:9" ht="12.75">
      <c r="A134" s="285"/>
      <c r="B134" s="285"/>
      <c r="C134" s="282" t="s">
        <v>18</v>
      </c>
      <c r="D134" s="282" t="s">
        <v>284</v>
      </c>
      <c r="E134" s="282" t="s">
        <v>311</v>
      </c>
      <c r="F134" s="284">
        <v>0</v>
      </c>
      <c r="G134" s="284">
        <v>0</v>
      </c>
      <c r="H134" s="284">
        <v>0</v>
      </c>
      <c r="I134" s="286">
        <f t="shared" si="1"/>
        <v>0</v>
      </c>
    </row>
    <row r="135" spans="1:9" ht="12.75">
      <c r="A135" s="285"/>
      <c r="B135" s="285"/>
      <c r="C135" s="282"/>
      <c r="D135" s="282" t="s">
        <v>286</v>
      </c>
      <c r="E135" s="282" t="s">
        <v>901</v>
      </c>
      <c r="F135" s="284">
        <v>0</v>
      </c>
      <c r="G135" s="284">
        <v>0</v>
      </c>
      <c r="H135" s="284">
        <v>0</v>
      </c>
      <c r="I135" s="286">
        <f t="shared" si="1"/>
        <v>0</v>
      </c>
    </row>
    <row r="136" spans="1:9" ht="12.75">
      <c r="A136" s="285"/>
      <c r="B136" s="285"/>
      <c r="C136" s="282"/>
      <c r="D136" s="282" t="s">
        <v>288</v>
      </c>
      <c r="E136" s="282" t="s">
        <v>312</v>
      </c>
      <c r="F136" s="284">
        <v>0</v>
      </c>
      <c r="G136" s="284">
        <v>0</v>
      </c>
      <c r="H136" s="284">
        <v>0</v>
      </c>
      <c r="I136" s="286">
        <f t="shared" si="1"/>
        <v>0</v>
      </c>
    </row>
    <row r="137" spans="1:9" ht="12.75">
      <c r="A137" s="285"/>
      <c r="B137" s="285"/>
      <c r="C137" s="282"/>
      <c r="D137" s="282" t="s">
        <v>290</v>
      </c>
      <c r="E137" s="282" t="s">
        <v>313</v>
      </c>
      <c r="F137" s="284">
        <v>0</v>
      </c>
      <c r="G137" s="284">
        <v>0</v>
      </c>
      <c r="H137" s="284">
        <v>0</v>
      </c>
      <c r="I137" s="286">
        <f t="shared" si="1"/>
        <v>0</v>
      </c>
    </row>
    <row r="138" spans="1:9" ht="12.75">
      <c r="A138" s="285"/>
      <c r="B138" s="285"/>
      <c r="C138" s="282"/>
      <c r="D138" s="282" t="s">
        <v>292</v>
      </c>
      <c r="E138" s="282" t="s">
        <v>314</v>
      </c>
      <c r="F138" s="284">
        <v>0</v>
      </c>
      <c r="G138" s="284">
        <v>0</v>
      </c>
      <c r="H138" s="284">
        <v>0</v>
      </c>
      <c r="I138" s="286">
        <f t="shared" si="1"/>
        <v>0</v>
      </c>
    </row>
    <row r="139" spans="1:9" ht="12.75">
      <c r="A139" s="285"/>
      <c r="B139" s="285"/>
      <c r="C139" s="282"/>
      <c r="D139" s="282" t="s">
        <v>294</v>
      </c>
      <c r="E139" s="282" t="s">
        <v>828</v>
      </c>
      <c r="F139" s="284">
        <v>0</v>
      </c>
      <c r="G139" s="284">
        <v>0</v>
      </c>
      <c r="H139" s="284">
        <v>0</v>
      </c>
      <c r="I139" s="286">
        <f t="shared" si="1"/>
        <v>0</v>
      </c>
    </row>
    <row r="140" spans="1:9" ht="12.75">
      <c r="A140" s="285"/>
      <c r="B140" s="285"/>
      <c r="C140" s="282"/>
      <c r="D140" s="282" t="s">
        <v>296</v>
      </c>
      <c r="E140" s="282" t="s">
        <v>827</v>
      </c>
      <c r="F140" s="697">
        <v>0</v>
      </c>
      <c r="G140" s="284">
        <v>0</v>
      </c>
      <c r="H140" s="284">
        <v>0</v>
      </c>
      <c r="I140" s="286">
        <f t="shared" si="1"/>
        <v>0</v>
      </c>
    </row>
    <row r="141" spans="1:9" ht="12.75">
      <c r="A141" s="285"/>
      <c r="B141" s="285"/>
      <c r="C141" s="282"/>
      <c r="D141" s="282" t="s">
        <v>298</v>
      </c>
      <c r="E141" s="282" t="s">
        <v>317</v>
      </c>
      <c r="F141" s="284">
        <v>14668</v>
      </c>
      <c r="G141" s="284">
        <v>0</v>
      </c>
      <c r="H141" s="284">
        <v>0</v>
      </c>
      <c r="I141" s="286">
        <f>SUM(F141:H141)</f>
        <v>14668</v>
      </c>
    </row>
    <row r="142" spans="1:9" ht="12.75">
      <c r="A142" s="285"/>
      <c r="B142" s="285"/>
      <c r="C142" s="282"/>
      <c r="D142" s="282" t="s">
        <v>300</v>
      </c>
      <c r="E142" s="282" t="s">
        <v>902</v>
      </c>
      <c r="F142" s="284">
        <v>0</v>
      </c>
      <c r="G142" s="284">
        <v>0</v>
      </c>
      <c r="H142" s="284">
        <v>0</v>
      </c>
      <c r="I142" s="286">
        <f t="shared" si="1"/>
        <v>0</v>
      </c>
    </row>
    <row r="143" spans="1:9" ht="12.75">
      <c r="A143" s="273"/>
      <c r="B143" s="273" t="s">
        <v>875</v>
      </c>
      <c r="C143" s="781" t="s">
        <v>493</v>
      </c>
      <c r="D143" s="781"/>
      <c r="E143" s="781"/>
      <c r="F143" s="274">
        <v>0</v>
      </c>
      <c r="G143" s="274">
        <v>0</v>
      </c>
      <c r="H143" s="274">
        <v>0</v>
      </c>
      <c r="I143" s="296">
        <f t="shared" si="1"/>
        <v>0</v>
      </c>
    </row>
    <row r="144" spans="1:9" s="299" customFormat="1" ht="12.75">
      <c r="A144" s="297" t="s">
        <v>494</v>
      </c>
      <c r="B144" s="782" t="s">
        <v>495</v>
      </c>
      <c r="C144" s="782"/>
      <c r="D144" s="782"/>
      <c r="E144" s="782"/>
      <c r="F144" s="298">
        <f>SUM(F145+F146+F147+F148+F158)</f>
        <v>43540</v>
      </c>
      <c r="G144" s="298">
        <f>SUM(G145+G146+G147+G148+G158)</f>
        <v>0</v>
      </c>
      <c r="H144" s="298">
        <f>SUM(H145+H146+H147+H148+H158)</f>
        <v>0</v>
      </c>
      <c r="I144" s="298">
        <f t="shared" si="1"/>
        <v>43540</v>
      </c>
    </row>
    <row r="145" spans="1:9" ht="12.75">
      <c r="A145" s="273"/>
      <c r="B145" s="273" t="s">
        <v>496</v>
      </c>
      <c r="C145" s="781" t="s">
        <v>497</v>
      </c>
      <c r="D145" s="781"/>
      <c r="E145" s="781"/>
      <c r="F145" s="274">
        <v>0</v>
      </c>
      <c r="G145" s="274">
        <v>0</v>
      </c>
      <c r="H145" s="274">
        <v>0</v>
      </c>
      <c r="I145" s="296">
        <f t="shared" si="1"/>
        <v>0</v>
      </c>
    </row>
    <row r="146" spans="1:9" ht="12.75">
      <c r="A146" s="273"/>
      <c r="B146" s="273" t="s">
        <v>498</v>
      </c>
      <c r="C146" s="781" t="s">
        <v>876</v>
      </c>
      <c r="D146" s="781"/>
      <c r="E146" s="781"/>
      <c r="F146" s="274">
        <v>0</v>
      </c>
      <c r="G146" s="274">
        <v>0</v>
      </c>
      <c r="H146" s="274">
        <v>0</v>
      </c>
      <c r="I146" s="296">
        <f t="shared" si="1"/>
        <v>0</v>
      </c>
    </row>
    <row r="147" spans="1:9" ht="25.5" customHeight="1">
      <c r="A147" s="273"/>
      <c r="B147" s="273" t="s">
        <v>500</v>
      </c>
      <c r="C147" s="783" t="s">
        <v>877</v>
      </c>
      <c r="D147" s="783"/>
      <c r="E147" s="783"/>
      <c r="F147" s="274">
        <v>0</v>
      </c>
      <c r="G147" s="274">
        <v>0</v>
      </c>
      <c r="H147" s="274">
        <v>0</v>
      </c>
      <c r="I147" s="296">
        <f t="shared" si="1"/>
        <v>0</v>
      </c>
    </row>
    <row r="148" spans="1:9" ht="12.75">
      <c r="A148" s="285"/>
      <c r="B148" s="273" t="s">
        <v>878</v>
      </c>
      <c r="C148" s="781" t="s">
        <v>499</v>
      </c>
      <c r="D148" s="781"/>
      <c r="E148" s="781"/>
      <c r="F148" s="274">
        <f>SUM(F149:F157)</f>
        <v>40540</v>
      </c>
      <c r="G148" s="274">
        <f>SUM(G149:G157)</f>
        <v>0</v>
      </c>
      <c r="H148" s="274">
        <f>SUM(H149:H157)</f>
        <v>0</v>
      </c>
      <c r="I148" s="296">
        <f t="shared" si="1"/>
        <v>40540</v>
      </c>
    </row>
    <row r="149" spans="1:9" ht="12.75">
      <c r="A149" s="285"/>
      <c r="B149" s="285"/>
      <c r="C149" s="282" t="s">
        <v>18</v>
      </c>
      <c r="D149" s="282" t="s">
        <v>284</v>
      </c>
      <c r="E149" s="282" t="s">
        <v>311</v>
      </c>
      <c r="F149" s="284">
        <v>0</v>
      </c>
      <c r="G149" s="284">
        <v>0</v>
      </c>
      <c r="H149" s="284">
        <v>0</v>
      </c>
      <c r="I149" s="286">
        <f aca="true" t="shared" si="2" ref="I149:I155">SUM(F149:H149)</f>
        <v>0</v>
      </c>
    </row>
    <row r="150" spans="1:9" ht="12.75">
      <c r="A150" s="285"/>
      <c r="B150" s="285"/>
      <c r="C150" s="282"/>
      <c r="D150" s="282" t="s">
        <v>286</v>
      </c>
      <c r="E150" s="282" t="s">
        <v>901</v>
      </c>
      <c r="F150" s="284">
        <v>0</v>
      </c>
      <c r="G150" s="284">
        <v>0</v>
      </c>
      <c r="H150" s="284">
        <v>0</v>
      </c>
      <c r="I150" s="286">
        <f t="shared" si="2"/>
        <v>0</v>
      </c>
    </row>
    <row r="151" spans="1:9" ht="12.75">
      <c r="A151" s="285"/>
      <c r="B151" s="285"/>
      <c r="C151" s="282"/>
      <c r="D151" s="282" t="s">
        <v>288</v>
      </c>
      <c r="E151" s="282" t="s">
        <v>312</v>
      </c>
      <c r="F151" s="284">
        <v>0</v>
      </c>
      <c r="G151" s="284">
        <v>0</v>
      </c>
      <c r="H151" s="284">
        <v>0</v>
      </c>
      <c r="I151" s="286">
        <f t="shared" si="2"/>
        <v>0</v>
      </c>
    </row>
    <row r="152" spans="1:9" ht="12.75">
      <c r="A152" s="285"/>
      <c r="B152" s="285"/>
      <c r="C152" s="282"/>
      <c r="D152" s="282" t="s">
        <v>290</v>
      </c>
      <c r="E152" s="282" t="s">
        <v>313</v>
      </c>
      <c r="F152" s="284">
        <v>0</v>
      </c>
      <c r="G152" s="284">
        <v>0</v>
      </c>
      <c r="H152" s="284">
        <v>0</v>
      </c>
      <c r="I152" s="286">
        <f t="shared" si="2"/>
        <v>0</v>
      </c>
    </row>
    <row r="153" spans="1:9" ht="12.75">
      <c r="A153" s="285"/>
      <c r="B153" s="285"/>
      <c r="C153" s="282"/>
      <c r="D153" s="282" t="s">
        <v>292</v>
      </c>
      <c r="E153" s="282" t="s">
        <v>314</v>
      </c>
      <c r="F153" s="284">
        <v>0</v>
      </c>
      <c r="G153" s="284">
        <v>0</v>
      </c>
      <c r="H153" s="284">
        <v>0</v>
      </c>
      <c r="I153" s="286">
        <f t="shared" si="2"/>
        <v>0</v>
      </c>
    </row>
    <row r="154" spans="1:9" ht="12.75">
      <c r="A154" s="285"/>
      <c r="B154" s="285"/>
      <c r="C154" s="282"/>
      <c r="D154" s="282" t="s">
        <v>294</v>
      </c>
      <c r="E154" s="282" t="s">
        <v>828</v>
      </c>
      <c r="F154" s="284">
        <v>0</v>
      </c>
      <c r="G154" s="284">
        <v>0</v>
      </c>
      <c r="H154" s="284">
        <v>0</v>
      </c>
      <c r="I154" s="286">
        <f t="shared" si="2"/>
        <v>0</v>
      </c>
    </row>
    <row r="155" spans="1:9" ht="12.75">
      <c r="A155" s="285"/>
      <c r="B155" s="285"/>
      <c r="C155" s="282"/>
      <c r="D155" s="282" t="s">
        <v>296</v>
      </c>
      <c r="E155" s="282" t="s">
        <v>827</v>
      </c>
      <c r="F155" s="697">
        <v>40540</v>
      </c>
      <c r="G155" s="284">
        <v>0</v>
      </c>
      <c r="H155" s="284">
        <v>0</v>
      </c>
      <c r="I155" s="286">
        <f t="shared" si="2"/>
        <v>40540</v>
      </c>
    </row>
    <row r="156" spans="1:9" ht="12.75">
      <c r="A156" s="285"/>
      <c r="B156" s="285"/>
      <c r="C156" s="282"/>
      <c r="D156" s="282" t="s">
        <v>298</v>
      </c>
      <c r="E156" s="282" t="s">
        <v>317</v>
      </c>
      <c r="F156" s="284">
        <v>0</v>
      </c>
      <c r="G156" s="284">
        <v>0</v>
      </c>
      <c r="H156" s="284">
        <v>0</v>
      </c>
      <c r="I156" s="286">
        <f>SUM(F156:H156)</f>
        <v>0</v>
      </c>
    </row>
    <row r="157" spans="1:9" ht="12.75">
      <c r="A157" s="285"/>
      <c r="B157" s="285"/>
      <c r="C157" s="282"/>
      <c r="D157" s="282" t="s">
        <v>300</v>
      </c>
      <c r="E157" s="282" t="s">
        <v>902</v>
      </c>
      <c r="F157" s="284">
        <v>0</v>
      </c>
      <c r="G157" s="284">
        <v>0</v>
      </c>
      <c r="H157" s="284">
        <v>0</v>
      </c>
      <c r="I157" s="286">
        <f>SUM(F157:H157)</f>
        <v>0</v>
      </c>
    </row>
    <row r="158" spans="1:9" ht="12.75">
      <c r="A158" s="285"/>
      <c r="B158" s="273" t="s">
        <v>879</v>
      </c>
      <c r="C158" s="781" t="s">
        <v>501</v>
      </c>
      <c r="D158" s="781"/>
      <c r="E158" s="781"/>
      <c r="F158" s="274">
        <f>SUM(F159:F169)</f>
        <v>3000</v>
      </c>
      <c r="G158" s="274">
        <f>SUM(G159:G169)</f>
        <v>0</v>
      </c>
      <c r="H158" s="274">
        <f>SUM(H159:H169)</f>
        <v>0</v>
      </c>
      <c r="I158" s="296">
        <f t="shared" si="1"/>
        <v>3000</v>
      </c>
    </row>
    <row r="159" spans="1:9" ht="12.75">
      <c r="A159" s="285"/>
      <c r="B159" s="285"/>
      <c r="C159" s="282" t="s">
        <v>18</v>
      </c>
      <c r="D159" s="282" t="s">
        <v>284</v>
      </c>
      <c r="E159" s="282" t="s">
        <v>311</v>
      </c>
      <c r="F159" s="284">
        <v>3000</v>
      </c>
      <c r="G159" s="284">
        <v>0</v>
      </c>
      <c r="H159" s="284">
        <v>0</v>
      </c>
      <c r="I159" s="286">
        <f t="shared" si="1"/>
        <v>3000</v>
      </c>
    </row>
    <row r="160" spans="1:9" ht="12.75">
      <c r="A160" s="285"/>
      <c r="B160" s="285"/>
      <c r="C160" s="282"/>
      <c r="D160" s="282" t="s">
        <v>286</v>
      </c>
      <c r="E160" s="282" t="s">
        <v>901</v>
      </c>
      <c r="F160" s="284">
        <v>0</v>
      </c>
      <c r="G160" s="284">
        <v>0</v>
      </c>
      <c r="H160" s="284">
        <v>0</v>
      </c>
      <c r="I160" s="286">
        <f t="shared" si="1"/>
        <v>0</v>
      </c>
    </row>
    <row r="161" spans="1:9" ht="12.75">
      <c r="A161" s="285"/>
      <c r="B161" s="285"/>
      <c r="C161" s="282"/>
      <c r="D161" s="282" t="s">
        <v>288</v>
      </c>
      <c r="E161" s="282" t="s">
        <v>312</v>
      </c>
      <c r="F161" s="284">
        <v>0</v>
      </c>
      <c r="G161" s="284">
        <v>0</v>
      </c>
      <c r="H161" s="284">
        <v>0</v>
      </c>
      <c r="I161" s="286">
        <f t="shared" si="1"/>
        <v>0</v>
      </c>
    </row>
    <row r="162" spans="1:9" ht="12.75">
      <c r="A162" s="285"/>
      <c r="B162" s="285"/>
      <c r="C162" s="282"/>
      <c r="D162" s="282" t="s">
        <v>290</v>
      </c>
      <c r="E162" s="282" t="s">
        <v>313</v>
      </c>
      <c r="F162" s="284">
        <v>0</v>
      </c>
      <c r="G162" s="284">
        <v>0</v>
      </c>
      <c r="H162" s="284">
        <v>0</v>
      </c>
      <c r="I162" s="286">
        <f t="shared" si="1"/>
        <v>0</v>
      </c>
    </row>
    <row r="163" spans="1:9" ht="12.75">
      <c r="A163" s="285"/>
      <c r="B163" s="285"/>
      <c r="C163" s="282"/>
      <c r="D163" s="282" t="s">
        <v>292</v>
      </c>
      <c r="E163" s="282" t="s">
        <v>314</v>
      </c>
      <c r="F163" s="284">
        <v>0</v>
      </c>
      <c r="G163" s="284">
        <v>0</v>
      </c>
      <c r="H163" s="284">
        <v>0</v>
      </c>
      <c r="I163" s="286">
        <f t="shared" si="1"/>
        <v>0</v>
      </c>
    </row>
    <row r="164" spans="1:9" ht="12.75">
      <c r="A164" s="285"/>
      <c r="B164" s="285"/>
      <c r="C164" s="282"/>
      <c r="D164" s="282" t="s">
        <v>294</v>
      </c>
      <c r="E164" s="282" t="s">
        <v>828</v>
      </c>
      <c r="F164" s="284">
        <v>0</v>
      </c>
      <c r="G164" s="284">
        <v>0</v>
      </c>
      <c r="H164" s="284">
        <v>0</v>
      </c>
      <c r="I164" s="286">
        <f t="shared" si="1"/>
        <v>0</v>
      </c>
    </row>
    <row r="165" spans="1:9" ht="12.75">
      <c r="A165" s="285"/>
      <c r="B165" s="285"/>
      <c r="C165" s="282"/>
      <c r="D165" s="282" t="s">
        <v>296</v>
      </c>
      <c r="E165" s="282" t="s">
        <v>827</v>
      </c>
      <c r="F165" s="697">
        <v>0</v>
      </c>
      <c r="G165" s="284">
        <v>0</v>
      </c>
      <c r="H165" s="284">
        <v>0</v>
      </c>
      <c r="I165" s="286">
        <f t="shared" si="1"/>
        <v>0</v>
      </c>
    </row>
    <row r="166" spans="1:9" ht="12.75">
      <c r="A166" s="285"/>
      <c r="B166" s="285"/>
      <c r="C166" s="282"/>
      <c r="D166" s="282" t="s">
        <v>298</v>
      </c>
      <c r="E166" s="282" t="s">
        <v>317</v>
      </c>
      <c r="F166" s="284">
        <v>0</v>
      </c>
      <c r="G166" s="284">
        <v>0</v>
      </c>
      <c r="H166" s="284">
        <v>0</v>
      </c>
      <c r="I166" s="286">
        <f>SUM(F166:H166)</f>
        <v>0</v>
      </c>
    </row>
    <row r="167" spans="1:9" ht="12.75">
      <c r="A167" s="285"/>
      <c r="B167" s="285"/>
      <c r="C167" s="282"/>
      <c r="D167" s="282" t="s">
        <v>300</v>
      </c>
      <c r="E167" s="282" t="s">
        <v>318</v>
      </c>
      <c r="F167" s="284">
        <v>0</v>
      </c>
      <c r="G167" s="284">
        <v>0</v>
      </c>
      <c r="H167" s="284">
        <v>0</v>
      </c>
      <c r="I167" s="286">
        <f>SUM(F167:H167)</f>
        <v>0</v>
      </c>
    </row>
    <row r="168" spans="1:9" ht="12.75">
      <c r="A168" s="285"/>
      <c r="B168" s="285"/>
      <c r="C168" s="282"/>
      <c r="D168" s="282" t="s">
        <v>302</v>
      </c>
      <c r="E168" s="282" t="s">
        <v>319</v>
      </c>
      <c r="F168" s="284">
        <v>0</v>
      </c>
      <c r="G168" s="284">
        <v>0</v>
      </c>
      <c r="H168" s="284">
        <v>0</v>
      </c>
      <c r="I168" s="286">
        <f>SUM(F168:H168)</f>
        <v>0</v>
      </c>
    </row>
    <row r="169" spans="1:9" ht="12.75">
      <c r="A169" s="285"/>
      <c r="B169" s="285"/>
      <c r="C169" s="282"/>
      <c r="D169" s="282" t="s">
        <v>903</v>
      </c>
      <c r="E169" s="282" t="s">
        <v>320</v>
      </c>
      <c r="F169" s="284">
        <v>0</v>
      </c>
      <c r="G169" s="284">
        <v>0</v>
      </c>
      <c r="H169" s="284">
        <v>0</v>
      </c>
      <c r="I169" s="286">
        <f>SUM(F169:H169)</f>
        <v>0</v>
      </c>
    </row>
    <row r="170" spans="1:9" s="299" customFormat="1" ht="12.75">
      <c r="A170" s="297" t="s">
        <v>502</v>
      </c>
      <c r="B170" s="782" t="s">
        <v>503</v>
      </c>
      <c r="C170" s="782"/>
      <c r="D170" s="782"/>
      <c r="E170" s="782"/>
      <c r="F170" s="298">
        <f>SUM(F171+F194+F195+F196)</f>
        <v>8153</v>
      </c>
      <c r="G170" s="298">
        <f>SUM(G171+G194+G195+G196)</f>
        <v>0</v>
      </c>
      <c r="H170" s="298">
        <f>SUM(H171+H194+H195+H196)</f>
        <v>0</v>
      </c>
      <c r="I170" s="298">
        <f>SUM(I171+I194+I195+I196)</f>
        <v>8153</v>
      </c>
    </row>
    <row r="171" spans="1:9" ht="12.75">
      <c r="A171" s="285"/>
      <c r="B171" s="273" t="s">
        <v>504</v>
      </c>
      <c r="C171" s="781" t="s">
        <v>505</v>
      </c>
      <c r="D171" s="781"/>
      <c r="E171" s="781"/>
      <c r="F171" s="274">
        <f>SUM(F172+F176+F181+F186+F187+F188+F189+F190+F191)</f>
        <v>8153</v>
      </c>
      <c r="G171" s="274">
        <f>SUM(G172+G176+G181+G186+G187+G188+G189+G190+G191)</f>
        <v>0</v>
      </c>
      <c r="H171" s="274">
        <f>SUM(H172+H176+H181+H186+H187+H188+H189+H190+H191)</f>
        <v>0</v>
      </c>
      <c r="I171" s="296">
        <f t="shared" si="1"/>
        <v>8153</v>
      </c>
    </row>
    <row r="172" spans="1:9" ht="12.75">
      <c r="A172" s="280"/>
      <c r="B172" s="280"/>
      <c r="C172" s="280" t="s">
        <v>506</v>
      </c>
      <c r="D172" s="280" t="s">
        <v>954</v>
      </c>
      <c r="E172" s="280"/>
      <c r="F172" s="281">
        <f>SUM(F173:F175)</f>
        <v>0</v>
      </c>
      <c r="G172" s="281">
        <f>SUM(G173:G175)</f>
        <v>0</v>
      </c>
      <c r="H172" s="281">
        <f>SUM(H173:H175)</f>
        <v>0</v>
      </c>
      <c r="I172" s="294">
        <f t="shared" si="1"/>
        <v>0</v>
      </c>
    </row>
    <row r="173" spans="1:9" ht="12.75">
      <c r="A173" s="275"/>
      <c r="B173" s="275"/>
      <c r="C173" s="275"/>
      <c r="D173" s="275" t="s">
        <v>507</v>
      </c>
      <c r="E173" s="275" t="s">
        <v>880</v>
      </c>
      <c r="F173" s="276"/>
      <c r="G173" s="276">
        <v>0</v>
      </c>
      <c r="H173" s="276">
        <v>0</v>
      </c>
      <c r="I173" s="295">
        <f t="shared" si="1"/>
        <v>0</v>
      </c>
    </row>
    <row r="174" spans="1:9" ht="12.75">
      <c r="A174" s="275"/>
      <c r="B174" s="275"/>
      <c r="C174" s="275"/>
      <c r="D174" s="275" t="s">
        <v>508</v>
      </c>
      <c r="E174" s="275" t="s">
        <v>509</v>
      </c>
      <c r="F174" s="276">
        <v>0</v>
      </c>
      <c r="G174" s="276">
        <v>0</v>
      </c>
      <c r="H174" s="276">
        <v>0</v>
      </c>
      <c r="I174" s="295">
        <f t="shared" si="1"/>
        <v>0</v>
      </c>
    </row>
    <row r="175" spans="1:9" ht="12.75">
      <c r="A175" s="275"/>
      <c r="B175" s="275"/>
      <c r="C175" s="275"/>
      <c r="D175" s="275" t="s">
        <v>510</v>
      </c>
      <c r="E175" s="275" t="s">
        <v>881</v>
      </c>
      <c r="F175" s="276">
        <v>0</v>
      </c>
      <c r="G175" s="276">
        <v>0</v>
      </c>
      <c r="H175" s="276">
        <v>0</v>
      </c>
      <c r="I175" s="295">
        <f t="shared" si="1"/>
        <v>0</v>
      </c>
    </row>
    <row r="176" spans="1:9" ht="12.75">
      <c r="A176" s="280"/>
      <c r="B176" s="280"/>
      <c r="C176" s="280" t="s">
        <v>511</v>
      </c>
      <c r="D176" s="280" t="s">
        <v>512</v>
      </c>
      <c r="E176" s="280"/>
      <c r="F176" s="281">
        <f>SUM(F177:F180)</f>
        <v>0</v>
      </c>
      <c r="G176" s="281">
        <f>SUM(G177:G180)</f>
        <v>0</v>
      </c>
      <c r="H176" s="281">
        <f>SUM(H177:H180)</f>
        <v>0</v>
      </c>
      <c r="I176" s="294">
        <f t="shared" si="1"/>
        <v>0</v>
      </c>
    </row>
    <row r="177" spans="1:9" ht="12.75">
      <c r="A177" s="280"/>
      <c r="B177" s="280"/>
      <c r="C177" s="280"/>
      <c r="D177" s="275" t="s">
        <v>882</v>
      </c>
      <c r="E177" s="275" t="s">
        <v>883</v>
      </c>
      <c r="F177" s="281">
        <v>0</v>
      </c>
      <c r="G177" s="281">
        <v>0</v>
      </c>
      <c r="H177" s="281">
        <v>0</v>
      </c>
      <c r="I177" s="294">
        <f t="shared" si="1"/>
        <v>0</v>
      </c>
    </row>
    <row r="178" spans="1:9" ht="12.75">
      <c r="A178" s="280"/>
      <c r="B178" s="280"/>
      <c r="C178" s="280"/>
      <c r="D178" s="275" t="s">
        <v>884</v>
      </c>
      <c r="E178" s="275" t="s">
        <v>885</v>
      </c>
      <c r="F178" s="281">
        <v>0</v>
      </c>
      <c r="G178" s="281">
        <v>0</v>
      </c>
      <c r="H178" s="281">
        <v>0</v>
      </c>
      <c r="I178" s="294">
        <f t="shared" si="1"/>
        <v>0</v>
      </c>
    </row>
    <row r="179" spans="1:9" ht="12.75">
      <c r="A179" s="280"/>
      <c r="B179" s="280"/>
      <c r="C179" s="280"/>
      <c r="D179" s="275" t="s">
        <v>886</v>
      </c>
      <c r="E179" s="275" t="s">
        <v>887</v>
      </c>
      <c r="F179" s="281">
        <v>0</v>
      </c>
      <c r="G179" s="281">
        <v>0</v>
      </c>
      <c r="H179" s="281">
        <v>0</v>
      </c>
      <c r="I179" s="294">
        <f t="shared" si="1"/>
        <v>0</v>
      </c>
    </row>
    <row r="180" spans="1:9" ht="12.75">
      <c r="A180" s="280"/>
      <c r="B180" s="280"/>
      <c r="C180" s="280"/>
      <c r="D180" s="275" t="s">
        <v>888</v>
      </c>
      <c r="E180" s="275" t="s">
        <v>889</v>
      </c>
      <c r="F180" s="281">
        <v>0</v>
      </c>
      <c r="G180" s="281">
        <v>0</v>
      </c>
      <c r="H180" s="281">
        <v>0</v>
      </c>
      <c r="I180" s="294">
        <f t="shared" si="1"/>
        <v>0</v>
      </c>
    </row>
    <row r="181" spans="1:9" ht="12.75">
      <c r="A181" s="280"/>
      <c r="B181" s="280"/>
      <c r="C181" s="280" t="s">
        <v>513</v>
      </c>
      <c r="D181" s="280" t="s">
        <v>514</v>
      </c>
      <c r="E181" s="280"/>
      <c r="F181" s="281">
        <f>SUM(F182,F185)</f>
        <v>8153</v>
      </c>
      <c r="G181" s="281">
        <f>SUM(G182,G185)</f>
        <v>0</v>
      </c>
      <c r="H181" s="281">
        <f>SUM(H182,H185)</f>
        <v>0</v>
      </c>
      <c r="I181" s="294">
        <f t="shared" si="1"/>
        <v>8153</v>
      </c>
    </row>
    <row r="182" spans="1:9" ht="12.75">
      <c r="A182" s="275"/>
      <c r="B182" s="275"/>
      <c r="C182" s="275"/>
      <c r="D182" s="275" t="s">
        <v>515</v>
      </c>
      <c r="E182" s="275" t="s">
        <v>516</v>
      </c>
      <c r="F182" s="276">
        <f>SUM(F183:F184)</f>
        <v>8153</v>
      </c>
      <c r="G182" s="276">
        <f>SUM(G183:G184)</f>
        <v>0</v>
      </c>
      <c r="H182" s="276">
        <f>SUM(H183:H184)</f>
        <v>0</v>
      </c>
      <c r="I182" s="295">
        <f aca="true" t="shared" si="3" ref="I182:I196">SUM(F182:H182)</f>
        <v>8153</v>
      </c>
    </row>
    <row r="183" spans="1:9" s="615" customFormat="1" ht="12.75">
      <c r="A183" s="277"/>
      <c r="B183" s="277"/>
      <c r="C183" s="277"/>
      <c r="D183" s="277"/>
      <c r="E183" s="614" t="s">
        <v>118</v>
      </c>
      <c r="F183" s="278">
        <v>470</v>
      </c>
      <c r="G183" s="278">
        <v>0</v>
      </c>
      <c r="H183" s="278"/>
      <c r="I183" s="279">
        <f t="shared" si="3"/>
        <v>470</v>
      </c>
    </row>
    <row r="184" spans="1:9" s="615" customFormat="1" ht="12.75">
      <c r="A184" s="277"/>
      <c r="B184" s="277"/>
      <c r="C184" s="277"/>
      <c r="D184" s="277"/>
      <c r="E184" s="614" t="s">
        <v>119</v>
      </c>
      <c r="F184" s="278">
        <v>7683</v>
      </c>
      <c r="G184" s="278">
        <v>0</v>
      </c>
      <c r="H184" s="278">
        <v>0</v>
      </c>
      <c r="I184" s="279">
        <f t="shared" si="3"/>
        <v>7683</v>
      </c>
    </row>
    <row r="185" spans="1:9" ht="12.75">
      <c r="A185" s="275"/>
      <c r="B185" s="275"/>
      <c r="C185" s="275"/>
      <c r="D185" s="275" t="s">
        <v>517</v>
      </c>
      <c r="E185" s="275" t="s">
        <v>518</v>
      </c>
      <c r="F185" s="276">
        <v>0</v>
      </c>
      <c r="G185" s="276">
        <v>0</v>
      </c>
      <c r="H185" s="276">
        <v>0</v>
      </c>
      <c r="I185" s="295">
        <f t="shared" si="3"/>
        <v>0</v>
      </c>
    </row>
    <row r="186" spans="1:9" ht="12.75">
      <c r="A186" s="280"/>
      <c r="B186" s="280"/>
      <c r="C186" s="280" t="s">
        <v>519</v>
      </c>
      <c r="D186" s="280" t="s">
        <v>955</v>
      </c>
      <c r="E186" s="280"/>
      <c r="F186" s="281">
        <v>0</v>
      </c>
      <c r="G186" s="281">
        <v>0</v>
      </c>
      <c r="H186" s="281">
        <v>0</v>
      </c>
      <c r="I186" s="294">
        <f t="shared" si="3"/>
        <v>0</v>
      </c>
    </row>
    <row r="187" spans="1:9" ht="12.75">
      <c r="A187" s="280"/>
      <c r="B187" s="280"/>
      <c r="C187" s="280" t="s">
        <v>520</v>
      </c>
      <c r="D187" s="280" t="s">
        <v>956</v>
      </c>
      <c r="E187" s="280"/>
      <c r="F187" s="281">
        <v>0</v>
      </c>
      <c r="G187" s="281">
        <v>0</v>
      </c>
      <c r="H187" s="281">
        <v>0</v>
      </c>
      <c r="I187" s="294">
        <f t="shared" si="3"/>
        <v>0</v>
      </c>
    </row>
    <row r="188" spans="1:9" ht="12.75">
      <c r="A188" s="280"/>
      <c r="B188" s="280"/>
      <c r="C188" s="280" t="s">
        <v>521</v>
      </c>
      <c r="D188" s="280" t="s">
        <v>522</v>
      </c>
      <c r="E188" s="280"/>
      <c r="F188" s="281">
        <v>0</v>
      </c>
      <c r="G188" s="281">
        <v>0</v>
      </c>
      <c r="H188" s="281">
        <v>0</v>
      </c>
      <c r="I188" s="294">
        <f t="shared" si="3"/>
        <v>0</v>
      </c>
    </row>
    <row r="189" spans="1:9" ht="12.75">
      <c r="A189" s="280"/>
      <c r="B189" s="280"/>
      <c r="C189" s="280" t="s">
        <v>523</v>
      </c>
      <c r="D189" s="280" t="s">
        <v>890</v>
      </c>
      <c r="E189" s="280"/>
      <c r="F189" s="281">
        <v>0</v>
      </c>
      <c r="G189" s="281">
        <v>0</v>
      </c>
      <c r="H189" s="281">
        <v>0</v>
      </c>
      <c r="I189" s="294">
        <f t="shared" si="3"/>
        <v>0</v>
      </c>
    </row>
    <row r="190" spans="1:9" ht="12.75">
      <c r="A190" s="280"/>
      <c r="B190" s="280"/>
      <c r="C190" s="280" t="s">
        <v>524</v>
      </c>
      <c r="D190" s="280" t="s">
        <v>525</v>
      </c>
      <c r="E190" s="280"/>
      <c r="F190" s="281">
        <v>0</v>
      </c>
      <c r="G190" s="281">
        <v>0</v>
      </c>
      <c r="H190" s="281">
        <v>0</v>
      </c>
      <c r="I190" s="294">
        <f t="shared" si="3"/>
        <v>0</v>
      </c>
    </row>
    <row r="191" spans="1:9" ht="12.75">
      <c r="A191" s="280"/>
      <c r="B191" s="280"/>
      <c r="C191" s="280" t="s">
        <v>891</v>
      </c>
      <c r="D191" s="280" t="s">
        <v>892</v>
      </c>
      <c r="E191" s="280"/>
      <c r="F191" s="281">
        <v>0</v>
      </c>
      <c r="G191" s="281">
        <v>0</v>
      </c>
      <c r="H191" s="281">
        <v>0</v>
      </c>
      <c r="I191" s="294">
        <f t="shared" si="3"/>
        <v>0</v>
      </c>
    </row>
    <row r="192" spans="1:9" ht="12.75">
      <c r="A192" s="280"/>
      <c r="B192" s="280"/>
      <c r="C192" s="280"/>
      <c r="D192" s="275" t="s">
        <v>893</v>
      </c>
      <c r="E192" s="275" t="s">
        <v>894</v>
      </c>
      <c r="F192" s="278">
        <v>0</v>
      </c>
      <c r="G192" s="278">
        <v>0</v>
      </c>
      <c r="H192" s="278">
        <v>0</v>
      </c>
      <c r="I192" s="294">
        <f t="shared" si="3"/>
        <v>0</v>
      </c>
    </row>
    <row r="193" spans="1:9" ht="12.75">
      <c r="A193" s="280"/>
      <c r="B193" s="280"/>
      <c r="C193" s="280"/>
      <c r="D193" s="275" t="s">
        <v>895</v>
      </c>
      <c r="E193" s="275" t="s">
        <v>896</v>
      </c>
      <c r="F193" s="278">
        <v>0</v>
      </c>
      <c r="G193" s="278">
        <v>0</v>
      </c>
      <c r="H193" s="278">
        <v>0</v>
      </c>
      <c r="I193" s="294">
        <f t="shared" si="3"/>
        <v>0</v>
      </c>
    </row>
    <row r="194" spans="1:9" ht="12.75">
      <c r="A194" s="285"/>
      <c r="B194" s="273" t="s">
        <v>526</v>
      </c>
      <c r="C194" s="781" t="s">
        <v>527</v>
      </c>
      <c r="D194" s="781"/>
      <c r="E194" s="781"/>
      <c r="F194" s="274">
        <v>0</v>
      </c>
      <c r="G194" s="274">
        <v>0</v>
      </c>
      <c r="H194" s="274">
        <v>0</v>
      </c>
      <c r="I194" s="296">
        <f t="shared" si="3"/>
        <v>0</v>
      </c>
    </row>
    <row r="195" spans="1:9" ht="12.75">
      <c r="A195" s="285"/>
      <c r="B195" s="273" t="s">
        <v>528</v>
      </c>
      <c r="C195" s="781" t="s">
        <v>529</v>
      </c>
      <c r="D195" s="781"/>
      <c r="E195" s="781"/>
      <c r="F195" s="274">
        <v>0</v>
      </c>
      <c r="G195" s="274">
        <v>0</v>
      </c>
      <c r="H195" s="274">
        <v>0</v>
      </c>
      <c r="I195" s="296">
        <f>SUM(F195:H195)</f>
        <v>0</v>
      </c>
    </row>
    <row r="196" spans="1:9" ht="12.75">
      <c r="A196" s="285"/>
      <c r="B196" s="273" t="s">
        <v>897</v>
      </c>
      <c r="C196" s="781" t="s">
        <v>898</v>
      </c>
      <c r="D196" s="781"/>
      <c r="E196" s="781"/>
      <c r="F196" s="274">
        <v>0</v>
      </c>
      <c r="G196" s="274">
        <v>0</v>
      </c>
      <c r="H196" s="274">
        <v>0</v>
      </c>
      <c r="I196" s="296">
        <f t="shared" si="3"/>
        <v>0</v>
      </c>
    </row>
    <row r="197" spans="1:9" ht="12.75">
      <c r="A197" s="285"/>
      <c r="B197" s="285"/>
      <c r="C197" s="285"/>
      <c r="D197" s="285"/>
      <c r="E197" s="285"/>
      <c r="F197" s="272"/>
      <c r="G197" s="271"/>
      <c r="H197" s="271"/>
      <c r="I197" s="272"/>
    </row>
    <row r="198" spans="1:9" s="293" customFormat="1" ht="15.75">
      <c r="A198" s="792" t="s">
        <v>677</v>
      </c>
      <c r="B198" s="792"/>
      <c r="C198" s="792"/>
      <c r="D198" s="792"/>
      <c r="E198" s="792"/>
      <c r="F198" s="292">
        <f>SUM(F170+F144+F129+F121+F85+F56+F40+F7)</f>
        <v>1145473</v>
      </c>
      <c r="G198" s="292">
        <f>SUM(G170+G144+G129+G121+G85+G56+G40+G7)</f>
        <v>8544</v>
      </c>
      <c r="H198" s="292">
        <f>SUM(H170+H144+H129+H121+H85+H56+H40+H7)</f>
        <v>1798</v>
      </c>
      <c r="I198" s="292">
        <f>SUM(F198:H198)</f>
        <v>1155815</v>
      </c>
    </row>
  </sheetData>
  <sheetProtection/>
  <mergeCells count="54">
    <mergeCell ref="C16:E16"/>
    <mergeCell ref="C17:E17"/>
    <mergeCell ref="C28:E28"/>
    <mergeCell ref="C45:E45"/>
    <mergeCell ref="A5:E5"/>
    <mergeCell ref="B7:E7"/>
    <mergeCell ref="C8:E8"/>
    <mergeCell ref="C15:E15"/>
    <mergeCell ref="B40:E40"/>
    <mergeCell ref="C29:E29"/>
    <mergeCell ref="C57:E57"/>
    <mergeCell ref="C75:E75"/>
    <mergeCell ref="B85:E85"/>
    <mergeCell ref="B129:E129"/>
    <mergeCell ref="C124:E124"/>
    <mergeCell ref="C126:E126"/>
    <mergeCell ref="D110:E110"/>
    <mergeCell ref="C43:E43"/>
    <mergeCell ref="C41:E41"/>
    <mergeCell ref="D118:E118"/>
    <mergeCell ref="B121:E121"/>
    <mergeCell ref="C44:E44"/>
    <mergeCell ref="D111:E111"/>
    <mergeCell ref="C128:E128"/>
    <mergeCell ref="B56:E56"/>
    <mergeCell ref="C122:E122"/>
    <mergeCell ref="D106:E106"/>
    <mergeCell ref="C148:E148"/>
    <mergeCell ref="C146:E146"/>
    <mergeCell ref="C158:E158"/>
    <mergeCell ref="C145:E145"/>
    <mergeCell ref="C194:E194"/>
    <mergeCell ref="C131:E131"/>
    <mergeCell ref="C132:E132"/>
    <mergeCell ref="C59:E59"/>
    <mergeCell ref="D103:E103"/>
    <mergeCell ref="C58:E58"/>
    <mergeCell ref="C60:E60"/>
    <mergeCell ref="C63:E63"/>
    <mergeCell ref="A198:E198"/>
    <mergeCell ref="C130:E130"/>
    <mergeCell ref="C133:E133"/>
    <mergeCell ref="C143:E143"/>
    <mergeCell ref="B144:E144"/>
    <mergeCell ref="C196:E196"/>
    <mergeCell ref="B170:E170"/>
    <mergeCell ref="C147:E147"/>
    <mergeCell ref="C195:E195"/>
    <mergeCell ref="C171:E171"/>
    <mergeCell ref="F1:I1"/>
    <mergeCell ref="B6:E6"/>
    <mergeCell ref="A2:I2"/>
    <mergeCell ref="C127:E127"/>
    <mergeCell ref="C42:E42"/>
  </mergeCells>
  <printOptions horizontalCentered="1"/>
  <pageMargins left="0.5118110236220472" right="0.5118110236220472" top="0.4724409448818898" bottom="0.4724409448818898" header="0.31496062992125984" footer="0.31496062992125984"/>
  <pageSetup horizontalDpi="600" verticalDpi="600" orientation="portrait" paperSize="9" scale="63" r:id="rId1"/>
  <rowBreaks count="2" manualBreakCount="2">
    <brk id="84" max="255" man="1"/>
    <brk id="16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2" sqref="I2"/>
    </sheetView>
  </sheetViews>
  <sheetFormatPr defaultColWidth="8.875" defaultRowHeight="12.75"/>
  <cols>
    <col min="1" max="1" width="4.125" style="178" bestFit="1" customWidth="1"/>
    <col min="2" max="2" width="14.625" style="172" customWidth="1"/>
    <col min="3" max="9" width="16.75390625" style="172" customWidth="1"/>
    <col min="10" max="10" width="13.875" style="172" bestFit="1" customWidth="1"/>
    <col min="11" max="11" width="14.25390625" style="172" bestFit="1" customWidth="1"/>
    <col min="12" max="16384" width="8.875" style="172" customWidth="1"/>
  </cols>
  <sheetData>
    <row r="1" ht="15.75">
      <c r="I1" s="637" t="s">
        <v>1060</v>
      </c>
    </row>
    <row r="3" spans="1:9" ht="40.5" customHeight="1">
      <c r="A3" s="1054" t="s">
        <v>258</v>
      </c>
      <c r="B3" s="1055"/>
      <c r="C3" s="1055"/>
      <c r="D3" s="1055"/>
      <c r="E3" s="1055"/>
      <c r="F3" s="1055"/>
      <c r="G3" s="1055"/>
      <c r="H3" s="1055"/>
      <c r="I3" s="1055"/>
    </row>
    <row r="4" spans="2:9" ht="16.5" thickBot="1">
      <c r="B4" s="173"/>
      <c r="C4" s="173"/>
      <c r="D4" s="173"/>
      <c r="E4" s="173"/>
      <c r="F4" s="173"/>
      <c r="G4" s="173"/>
      <c r="H4" s="173"/>
      <c r="I4" s="173"/>
    </row>
    <row r="5" spans="1:9" ht="15.75">
      <c r="A5" s="1056" t="s">
        <v>669</v>
      </c>
      <c r="B5" s="1058" t="s">
        <v>645</v>
      </c>
      <c r="C5" s="1058" t="s">
        <v>652</v>
      </c>
      <c r="D5" s="1058"/>
      <c r="E5" s="1058"/>
      <c r="F5" s="1058"/>
      <c r="G5" s="1058"/>
      <c r="H5" s="1058"/>
      <c r="I5" s="1060" t="s">
        <v>657</v>
      </c>
    </row>
    <row r="6" spans="1:9" s="174" customFormat="1" ht="102.75" customHeight="1">
      <c r="A6" s="1057"/>
      <c r="B6" s="1059"/>
      <c r="C6" s="175" t="s">
        <v>647</v>
      </c>
      <c r="D6" s="175" t="s">
        <v>649</v>
      </c>
      <c r="E6" s="175" t="s">
        <v>658</v>
      </c>
      <c r="F6" s="175" t="s">
        <v>650</v>
      </c>
      <c r="G6" s="175" t="s">
        <v>646</v>
      </c>
      <c r="H6" s="175" t="s">
        <v>651</v>
      </c>
      <c r="I6" s="1061"/>
    </row>
    <row r="7" spans="1:9" s="178" customFormat="1" ht="12">
      <c r="A7" s="1057"/>
      <c r="B7" s="180" t="s">
        <v>663</v>
      </c>
      <c r="C7" s="179" t="s">
        <v>664</v>
      </c>
      <c r="D7" s="179" t="s">
        <v>665</v>
      </c>
      <c r="E7" s="179" t="s">
        <v>666</v>
      </c>
      <c r="F7" s="179" t="s">
        <v>667</v>
      </c>
      <c r="G7" s="179" t="s">
        <v>668</v>
      </c>
      <c r="H7" s="179" t="s">
        <v>671</v>
      </c>
      <c r="I7" s="182" t="s">
        <v>672</v>
      </c>
    </row>
    <row r="8" spans="1:9" s="709" customFormat="1" ht="15.75">
      <c r="A8" s="704">
        <v>1</v>
      </c>
      <c r="B8" s="705" t="s">
        <v>680</v>
      </c>
      <c r="C8" s="706">
        <v>147000</v>
      </c>
      <c r="D8" s="707">
        <v>130089</v>
      </c>
      <c r="E8" s="707">
        <v>130</v>
      </c>
      <c r="F8" s="707">
        <v>0</v>
      </c>
      <c r="G8" s="706">
        <v>6497</v>
      </c>
      <c r="H8" s="707">
        <v>0</v>
      </c>
      <c r="I8" s="708">
        <f aca="true" t="shared" si="0" ref="I8:I13">SUM(C8:H8)</f>
        <v>283716</v>
      </c>
    </row>
    <row r="9" spans="1:9" ht="15.75">
      <c r="A9" s="177">
        <v>2</v>
      </c>
      <c r="B9" s="181" t="s">
        <v>681</v>
      </c>
      <c r="C9" s="773">
        <v>145000</v>
      </c>
      <c r="D9" s="774">
        <v>18000</v>
      </c>
      <c r="E9" s="774">
        <v>2800</v>
      </c>
      <c r="F9" s="774">
        <v>1000</v>
      </c>
      <c r="G9" s="773">
        <v>5000</v>
      </c>
      <c r="H9" s="774">
        <v>0</v>
      </c>
      <c r="I9" s="176">
        <f t="shared" si="0"/>
        <v>171800</v>
      </c>
    </row>
    <row r="10" spans="1:9" ht="15.75">
      <c r="A10" s="177">
        <v>3</v>
      </c>
      <c r="B10" s="181" t="s">
        <v>682</v>
      </c>
      <c r="C10" s="773">
        <v>150000</v>
      </c>
      <c r="D10" s="774">
        <v>16000</v>
      </c>
      <c r="E10" s="774">
        <v>2600</v>
      </c>
      <c r="F10" s="774">
        <v>800</v>
      </c>
      <c r="G10" s="773">
        <v>5000</v>
      </c>
      <c r="H10" s="774">
        <v>0</v>
      </c>
      <c r="I10" s="176">
        <f t="shared" si="0"/>
        <v>174400</v>
      </c>
    </row>
    <row r="11" spans="1:9" ht="15.75">
      <c r="A11" s="177">
        <v>4</v>
      </c>
      <c r="B11" s="181" t="s">
        <v>683</v>
      </c>
      <c r="C11" s="773">
        <v>152000</v>
      </c>
      <c r="D11" s="774">
        <v>10000</v>
      </c>
      <c r="E11" s="774">
        <v>2400</v>
      </c>
      <c r="F11" s="774">
        <v>800</v>
      </c>
      <c r="G11" s="773">
        <v>5000</v>
      </c>
      <c r="H11" s="774">
        <v>0</v>
      </c>
      <c r="I11" s="176">
        <f t="shared" si="0"/>
        <v>170200</v>
      </c>
    </row>
    <row r="12" spans="1:9" ht="15.75">
      <c r="A12" s="177">
        <v>5</v>
      </c>
      <c r="B12" s="181" t="s">
        <v>684</v>
      </c>
      <c r="C12" s="773">
        <v>127035</v>
      </c>
      <c r="D12" s="774">
        <v>6000</v>
      </c>
      <c r="E12" s="774">
        <v>2640</v>
      </c>
      <c r="F12" s="774">
        <v>100</v>
      </c>
      <c r="G12" s="773">
        <v>3800</v>
      </c>
      <c r="H12" s="774">
        <v>0</v>
      </c>
      <c r="I12" s="176">
        <f t="shared" si="0"/>
        <v>139575</v>
      </c>
    </row>
    <row r="13" spans="1:9" ht="15.75">
      <c r="A13" s="177">
        <v>6</v>
      </c>
      <c r="B13" s="181" t="s">
        <v>685</v>
      </c>
      <c r="C13" s="773">
        <v>128585</v>
      </c>
      <c r="D13" s="774">
        <v>6000</v>
      </c>
      <c r="E13" s="774">
        <v>2660</v>
      </c>
      <c r="F13" s="774">
        <v>100</v>
      </c>
      <c r="G13" s="773">
        <v>3500</v>
      </c>
      <c r="H13" s="774">
        <v>0</v>
      </c>
      <c r="I13" s="176">
        <f t="shared" si="0"/>
        <v>140845</v>
      </c>
    </row>
    <row r="14" spans="1:9" ht="16.5" thickBot="1">
      <c r="A14" s="775">
        <v>7</v>
      </c>
      <c r="B14" s="776" t="s">
        <v>686</v>
      </c>
      <c r="C14" s="777">
        <v>130615</v>
      </c>
      <c r="D14" s="778">
        <v>6000</v>
      </c>
      <c r="E14" s="778">
        <v>2710</v>
      </c>
      <c r="F14" s="778">
        <v>100</v>
      </c>
      <c r="G14" s="777">
        <v>3400</v>
      </c>
      <c r="H14" s="778">
        <v>0</v>
      </c>
      <c r="I14" s="779">
        <f>SUM(C14:H14)</f>
        <v>142825</v>
      </c>
    </row>
    <row r="16" ht="15.75">
      <c r="E16" s="709"/>
    </row>
  </sheetData>
  <sheetProtection/>
  <mergeCells count="5">
    <mergeCell ref="A3:I3"/>
    <mergeCell ref="A5:A7"/>
    <mergeCell ref="B5:B6"/>
    <mergeCell ref="C5:H5"/>
    <mergeCell ref="I5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N46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5.125" style="74" bestFit="1" customWidth="1"/>
    <col min="2" max="2" width="8.875" style="64" customWidth="1"/>
    <col min="3" max="3" width="68.00390625" style="64" customWidth="1"/>
    <col min="4" max="4" width="9.75390625" style="64" bestFit="1" customWidth="1"/>
    <col min="5" max="5" width="10.375" style="64" bestFit="1" customWidth="1"/>
    <col min="6" max="6" width="14.375" style="64" bestFit="1" customWidth="1"/>
    <col min="7" max="7" width="9.75390625" style="64" bestFit="1" customWidth="1"/>
    <col min="8" max="8" width="11.25390625" style="64" customWidth="1"/>
    <col min="9" max="9" width="9.625" style="64" customWidth="1"/>
    <col min="10" max="10" width="11.25390625" style="64" customWidth="1"/>
    <col min="11" max="11" width="14.375" style="64" bestFit="1" customWidth="1"/>
    <col min="12" max="12" width="15.125" style="64" customWidth="1"/>
    <col min="13" max="13" width="9.125" style="64" customWidth="1"/>
    <col min="14" max="14" width="12.375" style="64" bestFit="1" customWidth="1"/>
    <col min="15" max="16384" width="9.125" style="64" customWidth="1"/>
  </cols>
  <sheetData>
    <row r="1" spans="9:12" ht="15">
      <c r="I1" s="612"/>
      <c r="L1" s="613" t="s">
        <v>1061</v>
      </c>
    </row>
    <row r="2" spans="1:12" s="50" customFormat="1" ht="15.75">
      <c r="A2" s="1071" t="s">
        <v>925</v>
      </c>
      <c r="B2" s="1071"/>
      <c r="C2" s="1071"/>
      <c r="D2" s="1071"/>
      <c r="E2" s="1071"/>
      <c r="F2" s="1071"/>
      <c r="G2" s="1071"/>
      <c r="H2" s="1071"/>
      <c r="I2" s="1071"/>
      <c r="J2" s="1071"/>
      <c r="K2" s="1071"/>
      <c r="L2" s="49"/>
    </row>
    <row r="3" spans="1:12" s="50" customFormat="1" ht="15.75">
      <c r="A3" s="1072" t="s">
        <v>926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51"/>
    </row>
    <row r="4" ht="13.5" thickBot="1"/>
    <row r="5" spans="1:14" s="57" customFormat="1" ht="40.5" customHeight="1">
      <c r="A5" s="1073" t="s">
        <v>687</v>
      </c>
      <c r="B5" s="1073"/>
      <c r="C5" s="1074"/>
      <c r="D5" s="1075" t="s">
        <v>679</v>
      </c>
      <c r="E5" s="1073"/>
      <c r="F5" s="1076"/>
      <c r="G5" s="1077" t="s">
        <v>909</v>
      </c>
      <c r="H5" s="1078"/>
      <c r="I5" s="1078"/>
      <c r="J5" s="1079"/>
      <c r="K5" s="1080"/>
      <c r="L5" s="1064" t="s">
        <v>581</v>
      </c>
      <c r="N5" s="57" t="s">
        <v>730</v>
      </c>
    </row>
    <row r="6" spans="1:12" s="57" customFormat="1" ht="25.5">
      <c r="A6" s="1068" t="s">
        <v>688</v>
      </c>
      <c r="B6" s="1069"/>
      <c r="C6" s="52" t="s">
        <v>689</v>
      </c>
      <c r="D6" s="53" t="s">
        <v>690</v>
      </c>
      <c r="E6" s="55" t="s">
        <v>691</v>
      </c>
      <c r="F6" s="56" t="s">
        <v>729</v>
      </c>
      <c r="G6" s="53" t="s">
        <v>693</v>
      </c>
      <c r="H6" s="54" t="s">
        <v>708</v>
      </c>
      <c r="I6" s="54" t="s">
        <v>694</v>
      </c>
      <c r="J6" s="54" t="s">
        <v>708</v>
      </c>
      <c r="K6" s="56" t="s">
        <v>692</v>
      </c>
      <c r="L6" s="1065"/>
    </row>
    <row r="7" spans="1:12" s="171" customFormat="1" ht="12" customHeight="1">
      <c r="A7" s="1070" t="s">
        <v>663</v>
      </c>
      <c r="B7" s="1070"/>
      <c r="C7" s="166" t="s">
        <v>664</v>
      </c>
      <c r="D7" s="167" t="s">
        <v>665</v>
      </c>
      <c r="E7" s="168" t="s">
        <v>666</v>
      </c>
      <c r="F7" s="169" t="s">
        <v>667</v>
      </c>
      <c r="G7" s="167" t="s">
        <v>668</v>
      </c>
      <c r="H7" s="170" t="s">
        <v>671</v>
      </c>
      <c r="I7" s="170" t="s">
        <v>672</v>
      </c>
      <c r="J7" s="170" t="s">
        <v>611</v>
      </c>
      <c r="K7" s="169" t="s">
        <v>612</v>
      </c>
      <c r="L7" s="608" t="s">
        <v>613</v>
      </c>
    </row>
    <row r="8" spans="1:14" s="217" customFormat="1" ht="28.5" customHeight="1">
      <c r="A8" s="221" t="s">
        <v>715</v>
      </c>
      <c r="B8" s="222"/>
      <c r="C8" s="223" t="s">
        <v>727</v>
      </c>
      <c r="D8" s="224"/>
      <c r="E8" s="225"/>
      <c r="F8" s="226">
        <f>F9+F10+F15+F16+F17</f>
        <v>191333053</v>
      </c>
      <c r="G8" s="224"/>
      <c r="H8" s="227"/>
      <c r="I8" s="227"/>
      <c r="J8" s="225"/>
      <c r="K8" s="226"/>
      <c r="L8" s="609">
        <f aca="true" t="shared" si="0" ref="L8:L14">F8+K8</f>
        <v>191333053</v>
      </c>
      <c r="M8" s="216"/>
      <c r="N8" s="640">
        <f>SUM(N9:N17)</f>
        <v>191333053</v>
      </c>
    </row>
    <row r="9" spans="1:14" s="213" customFormat="1" ht="21.75" customHeight="1">
      <c r="A9" s="205"/>
      <c r="B9" s="206" t="s">
        <v>806</v>
      </c>
      <c r="C9" s="207" t="s">
        <v>709</v>
      </c>
      <c r="D9" s="555">
        <v>26.67</v>
      </c>
      <c r="E9" s="209">
        <v>4580000</v>
      </c>
      <c r="F9" s="210">
        <f>D9*E9</f>
        <v>122148600.00000001</v>
      </c>
      <c r="G9" s="208"/>
      <c r="H9" s="211"/>
      <c r="I9" s="211"/>
      <c r="J9" s="209"/>
      <c r="K9" s="210"/>
      <c r="L9" s="610">
        <f t="shared" si="0"/>
        <v>122148600.00000001</v>
      </c>
      <c r="M9" s="212"/>
      <c r="N9" s="219">
        <f>SUM(L9)</f>
        <v>122148600.00000001</v>
      </c>
    </row>
    <row r="10" spans="1:14" s="213" customFormat="1" ht="19.5" customHeight="1">
      <c r="A10" s="205"/>
      <c r="B10" s="206" t="s">
        <v>807</v>
      </c>
      <c r="C10" s="207" t="s">
        <v>236</v>
      </c>
      <c r="D10" s="208"/>
      <c r="E10" s="209"/>
      <c r="F10" s="210">
        <f>SUM(F11:F14)</f>
        <v>63440780</v>
      </c>
      <c r="G10" s="208"/>
      <c r="H10" s="211"/>
      <c r="I10" s="211"/>
      <c r="J10" s="209"/>
      <c r="K10" s="210"/>
      <c r="L10" s="610">
        <f t="shared" si="0"/>
        <v>63440780</v>
      </c>
      <c r="M10" s="212"/>
      <c r="N10" s="219">
        <f>SUM(L11:L14)</f>
        <v>63440780</v>
      </c>
    </row>
    <row r="11" spans="1:14" ht="12.75">
      <c r="A11" s="58"/>
      <c r="B11" s="203" t="s">
        <v>808</v>
      </c>
      <c r="C11" s="204" t="s">
        <v>710</v>
      </c>
      <c r="D11" s="59"/>
      <c r="E11" s="60"/>
      <c r="F11" s="61">
        <v>18212410</v>
      </c>
      <c r="G11" s="59"/>
      <c r="H11" s="62"/>
      <c r="I11" s="62"/>
      <c r="J11" s="60"/>
      <c r="K11" s="61"/>
      <c r="L11" s="611">
        <f t="shared" si="0"/>
        <v>18212410</v>
      </c>
      <c r="M11" s="63"/>
      <c r="N11" s="219"/>
    </row>
    <row r="12" spans="1:14" ht="12.75">
      <c r="A12" s="58"/>
      <c r="B12" s="203" t="s">
        <v>809</v>
      </c>
      <c r="C12" s="204" t="s">
        <v>711</v>
      </c>
      <c r="D12" s="59"/>
      <c r="E12" s="60"/>
      <c r="F12" s="61">
        <v>30176000</v>
      </c>
      <c r="G12" s="59"/>
      <c r="H12" s="62"/>
      <c r="I12" s="62"/>
      <c r="J12" s="60"/>
      <c r="K12" s="61"/>
      <c r="L12" s="611">
        <f t="shared" si="0"/>
        <v>30176000</v>
      </c>
      <c r="M12" s="63"/>
      <c r="N12" s="219"/>
    </row>
    <row r="13" spans="1:14" ht="12.75">
      <c r="A13" s="58"/>
      <c r="B13" s="203" t="s">
        <v>810</v>
      </c>
      <c r="C13" s="204" t="s">
        <v>712</v>
      </c>
      <c r="D13" s="59"/>
      <c r="E13" s="60"/>
      <c r="F13" s="61">
        <v>0</v>
      </c>
      <c r="G13" s="59"/>
      <c r="H13" s="62"/>
      <c r="I13" s="62"/>
      <c r="J13" s="60"/>
      <c r="K13" s="61"/>
      <c r="L13" s="611">
        <f t="shared" si="0"/>
        <v>0</v>
      </c>
      <c r="M13" s="63"/>
      <c r="N13" s="219"/>
    </row>
    <row r="14" spans="1:14" ht="12.75">
      <c r="A14" s="58"/>
      <c r="B14" s="203" t="s">
        <v>811</v>
      </c>
      <c r="C14" s="204" t="s">
        <v>713</v>
      </c>
      <c r="D14" s="59"/>
      <c r="E14" s="60"/>
      <c r="F14" s="61">
        <v>15052370</v>
      </c>
      <c r="G14" s="59"/>
      <c r="H14" s="62"/>
      <c r="I14" s="62"/>
      <c r="J14" s="60"/>
      <c r="K14" s="61"/>
      <c r="L14" s="611">
        <f t="shared" si="0"/>
        <v>15052370</v>
      </c>
      <c r="M14" s="63"/>
      <c r="N14" s="219"/>
    </row>
    <row r="15" spans="1:14" s="213" customFormat="1" ht="12.75">
      <c r="A15" s="205"/>
      <c r="B15" s="206" t="s">
        <v>812</v>
      </c>
      <c r="C15" s="214" t="s">
        <v>237</v>
      </c>
      <c r="D15" s="208"/>
      <c r="E15" s="209"/>
      <c r="F15" s="210">
        <v>4999073</v>
      </c>
      <c r="G15" s="208"/>
      <c r="H15" s="211"/>
      <c r="I15" s="211"/>
      <c r="J15" s="209"/>
      <c r="K15" s="210"/>
      <c r="L15" s="610">
        <f>F15+K15</f>
        <v>4999073</v>
      </c>
      <c r="M15" s="212"/>
      <c r="N15" s="219">
        <f>SUM(L15)</f>
        <v>4999073</v>
      </c>
    </row>
    <row r="16" spans="1:14" s="213" customFormat="1" ht="12.75">
      <c r="A16" s="205"/>
      <c r="B16" s="206" t="s">
        <v>813</v>
      </c>
      <c r="C16" s="214" t="s">
        <v>204</v>
      </c>
      <c r="D16" s="208">
        <v>292</v>
      </c>
      <c r="E16" s="209">
        <v>2550</v>
      </c>
      <c r="F16" s="210">
        <f>D16*E16</f>
        <v>744600</v>
      </c>
      <c r="G16" s="208"/>
      <c r="H16" s="211"/>
      <c r="I16" s="211"/>
      <c r="J16" s="209"/>
      <c r="K16" s="210"/>
      <c r="L16" s="610">
        <f>F16+K16</f>
        <v>744600</v>
      </c>
      <c r="M16" s="212"/>
      <c r="N16" s="219">
        <f>SUM(L16)</f>
        <v>744600</v>
      </c>
    </row>
    <row r="17" spans="1:14" s="213" customFormat="1" ht="12.75">
      <c r="A17" s="205"/>
      <c r="B17" s="206" t="s">
        <v>814</v>
      </c>
      <c r="C17" s="214" t="s">
        <v>927</v>
      </c>
      <c r="D17" s="208"/>
      <c r="E17" s="209"/>
      <c r="F17" s="210"/>
      <c r="G17" s="208"/>
      <c r="H17" s="211"/>
      <c r="I17" s="211"/>
      <c r="J17" s="209"/>
      <c r="K17" s="210"/>
      <c r="L17" s="610">
        <f>F17+K17</f>
        <v>0</v>
      </c>
      <c r="M17" s="212"/>
      <c r="N17" s="219">
        <f>SUM(L17)</f>
        <v>0</v>
      </c>
    </row>
    <row r="18" spans="1:14" ht="25.5">
      <c r="A18" s="221" t="s">
        <v>714</v>
      </c>
      <c r="B18" s="228"/>
      <c r="C18" s="223" t="s">
        <v>238</v>
      </c>
      <c r="D18" s="229"/>
      <c r="E18" s="230"/>
      <c r="F18" s="231"/>
      <c r="G18" s="229"/>
      <c r="H18" s="232"/>
      <c r="I18" s="232"/>
      <c r="J18" s="230"/>
      <c r="K18" s="231">
        <f>K19+K25+K26+K27</f>
        <v>138612976</v>
      </c>
      <c r="L18" s="606">
        <f>F18+K18</f>
        <v>138612976</v>
      </c>
      <c r="M18" s="63"/>
      <c r="N18" s="639">
        <f>SUM(N25:N27,N24+N23+N19)</f>
        <v>138612976</v>
      </c>
    </row>
    <row r="19" spans="1:14" s="213" customFormat="1" ht="25.5">
      <c r="A19" s="218"/>
      <c r="B19" s="206" t="s">
        <v>716</v>
      </c>
      <c r="C19" s="207" t="s">
        <v>239</v>
      </c>
      <c r="D19" s="208"/>
      <c r="E19" s="209"/>
      <c r="F19" s="210"/>
      <c r="G19" s="208"/>
      <c r="H19" s="211"/>
      <c r="I19" s="211"/>
      <c r="J19" s="209"/>
      <c r="K19" s="210">
        <f>SUM(K20:K24)</f>
        <v>111641900</v>
      </c>
      <c r="L19" s="610">
        <f>SUM(K19,F19)</f>
        <v>111641900</v>
      </c>
      <c r="M19" s="212"/>
      <c r="N19" s="219">
        <f>SUM(L20:L22)</f>
        <v>110980400</v>
      </c>
    </row>
    <row r="20" spans="1:14" ht="12.75">
      <c r="A20" s="58"/>
      <c r="B20" s="203" t="s">
        <v>718</v>
      </c>
      <c r="C20" s="204" t="s">
        <v>717</v>
      </c>
      <c r="D20" s="59"/>
      <c r="E20" s="60"/>
      <c r="F20" s="61"/>
      <c r="G20" s="59">
        <v>19</v>
      </c>
      <c r="H20" s="62">
        <v>4308000</v>
      </c>
      <c r="I20" s="558">
        <v>17.9</v>
      </c>
      <c r="J20" s="60">
        <v>4308000</v>
      </c>
      <c r="K20" s="61">
        <f>(G20/12*8*H20)+(I20/12*4*J20)</f>
        <v>80272400</v>
      </c>
      <c r="L20" s="611">
        <f aca="true" t="shared" si="1" ref="L20:L34">F20+K20</f>
        <v>80272400</v>
      </c>
      <c r="M20" s="63"/>
      <c r="N20" s="219"/>
    </row>
    <row r="21" spans="1:14" ht="25.5">
      <c r="A21" s="58"/>
      <c r="B21" s="203" t="s">
        <v>719</v>
      </c>
      <c r="C21" s="699" t="s">
        <v>932</v>
      </c>
      <c r="D21" s="59"/>
      <c r="E21" s="60"/>
      <c r="F21" s="61"/>
      <c r="G21" s="59">
        <v>15</v>
      </c>
      <c r="H21" s="62">
        <v>1800000</v>
      </c>
      <c r="I21" s="62">
        <v>14</v>
      </c>
      <c r="J21" s="60">
        <v>1800000</v>
      </c>
      <c r="K21" s="61">
        <f>(G21/12*8*H21)+(I21/12*4*J21)</f>
        <v>26400000</v>
      </c>
      <c r="L21" s="611">
        <f t="shared" si="1"/>
        <v>26400000</v>
      </c>
      <c r="M21" s="63"/>
      <c r="N21" s="219"/>
    </row>
    <row r="22" spans="1:14" ht="25.5">
      <c r="A22" s="58"/>
      <c r="B22" s="203" t="s">
        <v>240</v>
      </c>
      <c r="C22" s="699" t="s">
        <v>931</v>
      </c>
      <c r="D22" s="59"/>
      <c r="E22" s="60"/>
      <c r="F22" s="61"/>
      <c r="G22" s="59">
        <v>1</v>
      </c>
      <c r="H22" s="62">
        <v>4308000</v>
      </c>
      <c r="I22" s="558">
        <v>1</v>
      </c>
      <c r="J22" s="60">
        <v>4308000</v>
      </c>
      <c r="K22" s="61">
        <f>(G22/12*8*H22)+(I22/12*4*J22)</f>
        <v>4308000</v>
      </c>
      <c r="L22" s="611">
        <f t="shared" si="1"/>
        <v>4308000</v>
      </c>
      <c r="M22" s="63"/>
      <c r="N22" s="219"/>
    </row>
    <row r="23" spans="1:14" ht="12.75">
      <c r="A23" s="58"/>
      <c r="B23" s="203" t="s">
        <v>928</v>
      </c>
      <c r="C23" s="699" t="s">
        <v>929</v>
      </c>
      <c r="D23" s="59"/>
      <c r="E23" s="60"/>
      <c r="F23" s="61"/>
      <c r="G23" s="59"/>
      <c r="H23" s="62"/>
      <c r="I23" s="558">
        <v>17.9</v>
      </c>
      <c r="J23" s="60">
        <v>35000</v>
      </c>
      <c r="K23" s="61">
        <f>I23*J23</f>
        <v>626500</v>
      </c>
      <c r="L23" s="611">
        <f t="shared" si="1"/>
        <v>626500</v>
      </c>
      <c r="M23" s="63"/>
      <c r="N23" s="219">
        <v>626500</v>
      </c>
    </row>
    <row r="24" spans="1:14" ht="25.5">
      <c r="A24" s="58"/>
      <c r="B24" s="203" t="s">
        <v>928</v>
      </c>
      <c r="C24" s="699" t="s">
        <v>930</v>
      </c>
      <c r="D24" s="59"/>
      <c r="E24" s="60"/>
      <c r="F24" s="61"/>
      <c r="G24" s="59"/>
      <c r="H24" s="62"/>
      <c r="I24" s="558">
        <v>1</v>
      </c>
      <c r="J24" s="60">
        <v>35000</v>
      </c>
      <c r="K24" s="61">
        <f>I24*J24</f>
        <v>35000</v>
      </c>
      <c r="L24" s="611">
        <f t="shared" si="1"/>
        <v>35000</v>
      </c>
      <c r="M24" s="63"/>
      <c r="N24" s="219">
        <v>35000</v>
      </c>
    </row>
    <row r="25" spans="1:14" s="213" customFormat="1" ht="18" customHeight="1">
      <c r="A25" s="205"/>
      <c r="B25" s="206" t="s">
        <v>720</v>
      </c>
      <c r="C25" s="214" t="s">
        <v>721</v>
      </c>
      <c r="D25" s="220"/>
      <c r="E25" s="215"/>
      <c r="F25" s="210"/>
      <c r="G25" s="557">
        <v>206</v>
      </c>
      <c r="H25" s="211">
        <v>80000</v>
      </c>
      <c r="I25" s="559">
        <v>192</v>
      </c>
      <c r="J25" s="209">
        <v>80000</v>
      </c>
      <c r="K25" s="210">
        <v>16106666</v>
      </c>
      <c r="L25" s="610">
        <f t="shared" si="1"/>
        <v>16106666</v>
      </c>
      <c r="M25" s="212"/>
      <c r="N25" s="219">
        <f>SUM(L25)</f>
        <v>16106666</v>
      </c>
    </row>
    <row r="26" spans="1:14" s="213" customFormat="1" ht="18" customHeight="1">
      <c r="A26" s="205"/>
      <c r="B26" s="206" t="s">
        <v>815</v>
      </c>
      <c r="C26" s="214" t="s">
        <v>816</v>
      </c>
      <c r="D26" s="642"/>
      <c r="E26" s="643"/>
      <c r="F26" s="210"/>
      <c r="G26" s="557"/>
      <c r="H26" s="211"/>
      <c r="I26" s="559"/>
      <c r="J26" s="209"/>
      <c r="K26" s="210">
        <v>6037500</v>
      </c>
      <c r="L26" s="610">
        <f>F26+K26</f>
        <v>6037500</v>
      </c>
      <c r="M26" s="212"/>
      <c r="N26" s="219">
        <f>SUM(L26)</f>
        <v>6037500</v>
      </c>
    </row>
    <row r="27" spans="1:14" s="213" customFormat="1" ht="26.25" customHeight="1">
      <c r="A27" s="205"/>
      <c r="B27" s="206" t="s">
        <v>817</v>
      </c>
      <c r="C27" s="207" t="s">
        <v>818</v>
      </c>
      <c r="D27" s="220"/>
      <c r="E27" s="215"/>
      <c r="F27" s="210"/>
      <c r="G27" s="557"/>
      <c r="H27" s="211"/>
      <c r="I27" s="559"/>
      <c r="J27" s="209"/>
      <c r="K27" s="210">
        <f>SUM(K28:K30)</f>
        <v>4826910</v>
      </c>
      <c r="L27" s="610">
        <f>F27+K27</f>
        <v>4826910</v>
      </c>
      <c r="M27" s="212"/>
      <c r="N27" s="219">
        <f>SUM(L28:L30)</f>
        <v>4826910</v>
      </c>
    </row>
    <row r="28" spans="1:14" ht="12.75">
      <c r="A28" s="58"/>
      <c r="B28" s="203" t="s">
        <v>962</v>
      </c>
      <c r="C28" s="204" t="s">
        <v>961</v>
      </c>
      <c r="D28" s="59"/>
      <c r="E28" s="60"/>
      <c r="F28" s="61"/>
      <c r="G28" s="59">
        <v>8</v>
      </c>
      <c r="H28" s="62">
        <v>384000</v>
      </c>
      <c r="I28" s="62"/>
      <c r="J28" s="60"/>
      <c r="K28" s="61">
        <f>G28*H28</f>
        <v>3072000</v>
      </c>
      <c r="L28" s="611">
        <f>SUM(K28)</f>
        <v>3072000</v>
      </c>
      <c r="M28" s="63"/>
      <c r="N28" s="219"/>
    </row>
    <row r="29" spans="1:14" ht="12.75">
      <c r="A29" s="58"/>
      <c r="B29" s="203" t="s">
        <v>963</v>
      </c>
      <c r="C29" s="204" t="s">
        <v>964</v>
      </c>
      <c r="D29" s="59"/>
      <c r="E29" s="60"/>
      <c r="F29" s="61"/>
      <c r="G29" s="59">
        <v>1</v>
      </c>
      <c r="H29" s="62">
        <v>352000</v>
      </c>
      <c r="I29" s="62"/>
      <c r="J29" s="60"/>
      <c r="K29" s="61">
        <f>G29*H29</f>
        <v>352000</v>
      </c>
      <c r="L29" s="611">
        <f>SUM(K29)</f>
        <v>352000</v>
      </c>
      <c r="M29" s="63"/>
      <c r="N29" s="219"/>
    </row>
    <row r="30" spans="1:14" ht="12.75">
      <c r="A30" s="58"/>
      <c r="B30" s="203" t="s">
        <v>965</v>
      </c>
      <c r="C30" s="204" t="s">
        <v>819</v>
      </c>
      <c r="D30" s="59"/>
      <c r="E30" s="60"/>
      <c r="F30" s="61"/>
      <c r="G30" s="59">
        <v>1</v>
      </c>
      <c r="H30" s="62">
        <v>1402910</v>
      </c>
      <c r="I30" s="62"/>
      <c r="J30" s="60"/>
      <c r="K30" s="61">
        <f>G30*H30</f>
        <v>1402910</v>
      </c>
      <c r="L30" s="611">
        <f>SUM(K30)</f>
        <v>1402910</v>
      </c>
      <c r="M30" s="63"/>
      <c r="N30" s="219"/>
    </row>
    <row r="31" spans="1:14" s="213" customFormat="1" ht="25.5">
      <c r="A31" s="221" t="s">
        <v>722</v>
      </c>
      <c r="B31" s="234"/>
      <c r="C31" s="223" t="s">
        <v>241</v>
      </c>
      <c r="D31" s="235"/>
      <c r="E31" s="236"/>
      <c r="F31" s="231">
        <f>SUM(F32:F34,F37)</f>
        <v>131686077</v>
      </c>
      <c r="G31" s="237"/>
      <c r="H31" s="233"/>
      <c r="I31" s="238"/>
      <c r="J31" s="236"/>
      <c r="K31" s="231">
        <f>SUM(K32:K34,K37)</f>
        <v>16800000</v>
      </c>
      <c r="L31" s="606">
        <f t="shared" si="1"/>
        <v>148486077</v>
      </c>
      <c r="M31" s="212"/>
      <c r="N31" s="639">
        <f>SUM(N32:N34)+N37</f>
        <v>148486077</v>
      </c>
    </row>
    <row r="32" spans="1:14" s="213" customFormat="1" ht="18" customHeight="1">
      <c r="A32" s="205"/>
      <c r="B32" s="206" t="s">
        <v>723</v>
      </c>
      <c r="C32" s="214" t="s">
        <v>820</v>
      </c>
      <c r="D32" s="220"/>
      <c r="E32" s="215"/>
      <c r="F32" s="210">
        <v>51450</v>
      </c>
      <c r="G32" s="557"/>
      <c r="H32" s="211"/>
      <c r="I32" s="559"/>
      <c r="J32" s="209"/>
      <c r="K32" s="210"/>
      <c r="L32" s="610">
        <f t="shared" si="1"/>
        <v>51450</v>
      </c>
      <c r="M32" s="212"/>
      <c r="N32" s="219">
        <f>SUM(L32)</f>
        <v>51450</v>
      </c>
    </row>
    <row r="33" spans="1:14" s="213" customFormat="1" ht="18" customHeight="1">
      <c r="A33" s="205"/>
      <c r="B33" s="206" t="s">
        <v>724</v>
      </c>
      <c r="C33" s="214" t="s">
        <v>821</v>
      </c>
      <c r="D33" s="220"/>
      <c r="E33" s="215"/>
      <c r="F33" s="210">
        <v>62748353</v>
      </c>
      <c r="G33" s="557"/>
      <c r="H33" s="211"/>
      <c r="I33" s="559"/>
      <c r="J33" s="209"/>
      <c r="K33" s="210"/>
      <c r="L33" s="610">
        <f t="shared" si="1"/>
        <v>62748353</v>
      </c>
      <c r="M33" s="212"/>
      <c r="N33" s="219">
        <f>SUM(L33)</f>
        <v>62748353</v>
      </c>
    </row>
    <row r="34" spans="1:14" s="213" customFormat="1" ht="18" customHeight="1">
      <c r="A34" s="205"/>
      <c r="B34" s="206" t="s">
        <v>725</v>
      </c>
      <c r="C34" s="214" t="s">
        <v>726</v>
      </c>
      <c r="D34" s="220"/>
      <c r="E34" s="215"/>
      <c r="F34" s="210">
        <f>SUM(F35:F36)</f>
        <v>0</v>
      </c>
      <c r="G34" s="557"/>
      <c r="H34" s="211"/>
      <c r="I34" s="559"/>
      <c r="J34" s="209"/>
      <c r="K34" s="210">
        <f>SUM(K35:K36)</f>
        <v>16800000</v>
      </c>
      <c r="L34" s="610">
        <f t="shared" si="1"/>
        <v>16800000</v>
      </c>
      <c r="M34" s="212"/>
      <c r="N34" s="219">
        <f>SUM(L35:L36)</f>
        <v>16800000</v>
      </c>
    </row>
    <row r="35" spans="1:14" ht="12.75">
      <c r="A35" s="58"/>
      <c r="B35" s="70" t="s">
        <v>933</v>
      </c>
      <c r="C35" s="204" t="s">
        <v>934</v>
      </c>
      <c r="D35" s="59"/>
      <c r="E35" s="60"/>
      <c r="F35" s="61"/>
      <c r="G35" s="67"/>
      <c r="H35" s="62"/>
      <c r="I35" s="66"/>
      <c r="J35" s="60"/>
      <c r="K35" s="61">
        <v>3300000</v>
      </c>
      <c r="L35" s="611">
        <f aca="true" t="shared" si="2" ref="L35:L43">F35+K35</f>
        <v>3300000</v>
      </c>
      <c r="M35" s="63"/>
      <c r="N35" s="63"/>
    </row>
    <row r="36" spans="1:14" ht="12.75">
      <c r="A36" s="58"/>
      <c r="B36" s="70" t="s">
        <v>936</v>
      </c>
      <c r="C36" s="204" t="s">
        <v>935</v>
      </c>
      <c r="D36" s="59"/>
      <c r="E36" s="60"/>
      <c r="F36" s="61"/>
      <c r="G36" s="67"/>
      <c r="H36" s="62"/>
      <c r="I36" s="66"/>
      <c r="J36" s="60"/>
      <c r="K36" s="61">
        <v>13500000</v>
      </c>
      <c r="L36" s="611">
        <f t="shared" si="2"/>
        <v>13500000</v>
      </c>
      <c r="M36" s="63"/>
      <c r="N36" s="63"/>
    </row>
    <row r="37" spans="1:14" s="213" customFormat="1" ht="18" customHeight="1">
      <c r="A37" s="205"/>
      <c r="B37" s="206" t="s">
        <v>242</v>
      </c>
      <c r="C37" s="214" t="s">
        <v>243</v>
      </c>
      <c r="D37" s="220"/>
      <c r="E37" s="215"/>
      <c r="F37" s="210">
        <f>SUM(F38:F40)</f>
        <v>68886274</v>
      </c>
      <c r="G37" s="557"/>
      <c r="H37" s="211"/>
      <c r="I37" s="559"/>
      <c r="J37" s="209"/>
      <c r="K37" s="210">
        <f>SUM(K38:K40)</f>
        <v>0</v>
      </c>
      <c r="L37" s="610">
        <f t="shared" si="2"/>
        <v>68886274</v>
      </c>
      <c r="M37" s="212"/>
      <c r="N37" s="219">
        <f>SUM(L38:L40)</f>
        <v>68886274</v>
      </c>
    </row>
    <row r="38" spans="1:14" ht="16.5" customHeight="1">
      <c r="A38" s="58"/>
      <c r="B38" s="70" t="s">
        <v>823</v>
      </c>
      <c r="C38" s="560" t="s">
        <v>822</v>
      </c>
      <c r="D38" s="561">
        <v>13.5</v>
      </c>
      <c r="E38" s="65">
        <v>1632000</v>
      </c>
      <c r="F38" s="61">
        <f>E38*D38</f>
        <v>22032000</v>
      </c>
      <c r="G38" s="556"/>
      <c r="H38" s="62"/>
      <c r="I38" s="558"/>
      <c r="J38" s="60"/>
      <c r="K38" s="61"/>
      <c r="L38" s="638">
        <f t="shared" si="2"/>
        <v>22032000</v>
      </c>
      <c r="M38" s="63"/>
      <c r="N38" s="219"/>
    </row>
    <row r="39" spans="1:14" ht="12.75">
      <c r="A39" s="58"/>
      <c r="B39" s="70" t="s">
        <v>244</v>
      </c>
      <c r="C39" s="560" t="s">
        <v>245</v>
      </c>
      <c r="D39" s="561"/>
      <c r="E39" s="60"/>
      <c r="F39" s="61">
        <v>45201274</v>
      </c>
      <c r="G39" s="59"/>
      <c r="H39" s="62"/>
      <c r="I39" s="62"/>
      <c r="J39" s="60"/>
      <c r="K39" s="61"/>
      <c r="L39" s="638">
        <f>F39+K39</f>
        <v>45201274</v>
      </c>
      <c r="M39" s="63"/>
      <c r="N39" s="63"/>
    </row>
    <row r="40" spans="1:14" ht="12.75">
      <c r="A40" s="58"/>
      <c r="B40" s="70" t="s">
        <v>937</v>
      </c>
      <c r="C40" s="560" t="s">
        <v>938</v>
      </c>
      <c r="D40" s="561"/>
      <c r="E40" s="60"/>
      <c r="F40" s="61">
        <v>1653000</v>
      </c>
      <c r="G40" s="59"/>
      <c r="H40" s="62"/>
      <c r="I40" s="62"/>
      <c r="J40" s="60"/>
      <c r="K40" s="61"/>
      <c r="L40" s="638">
        <f t="shared" si="2"/>
        <v>1653000</v>
      </c>
      <c r="M40" s="63"/>
      <c r="N40" s="63"/>
    </row>
    <row r="41" spans="1:14" s="213" customFormat="1" ht="12.75">
      <c r="A41" s="221" t="s">
        <v>728</v>
      </c>
      <c r="B41" s="234"/>
      <c r="C41" s="223" t="s">
        <v>706</v>
      </c>
      <c r="D41" s="235"/>
      <c r="E41" s="236"/>
      <c r="F41" s="231">
        <f>SUM(F43)</f>
        <v>10319280</v>
      </c>
      <c r="G41" s="237"/>
      <c r="H41" s="233"/>
      <c r="I41" s="238"/>
      <c r="J41" s="236"/>
      <c r="K41" s="231"/>
      <c r="L41" s="606">
        <f t="shared" si="2"/>
        <v>10319280</v>
      </c>
      <c r="M41" s="212"/>
      <c r="N41" s="639">
        <f>SUM(L43)</f>
        <v>10319280</v>
      </c>
    </row>
    <row r="42" spans="1:14" s="213" customFormat="1" ht="18" customHeight="1">
      <c r="A42" s="205"/>
      <c r="B42" s="206" t="s">
        <v>825</v>
      </c>
      <c r="C42" s="214" t="s">
        <v>826</v>
      </c>
      <c r="D42" s="220"/>
      <c r="E42" s="215"/>
      <c r="F42" s="210"/>
      <c r="G42" s="557"/>
      <c r="H42" s="211"/>
      <c r="I42" s="559"/>
      <c r="J42" s="209"/>
      <c r="K42" s="210"/>
      <c r="L42" s="610"/>
      <c r="M42" s="212"/>
      <c r="N42" s="219"/>
    </row>
    <row r="43" spans="1:14" ht="25.5">
      <c r="A43" s="58"/>
      <c r="B43" s="70" t="s">
        <v>824</v>
      </c>
      <c r="C43" s="560" t="s">
        <v>246</v>
      </c>
      <c r="D43" s="59">
        <v>9052</v>
      </c>
      <c r="E43" s="60">
        <v>1140</v>
      </c>
      <c r="F43" s="61">
        <f>D43*E43</f>
        <v>10319280</v>
      </c>
      <c r="G43" s="69"/>
      <c r="H43" s="68"/>
      <c r="I43" s="66"/>
      <c r="J43" s="65"/>
      <c r="K43" s="61"/>
      <c r="L43" s="611">
        <f t="shared" si="2"/>
        <v>10319280</v>
      </c>
      <c r="M43" s="63"/>
      <c r="N43" s="63"/>
    </row>
    <row r="44" spans="1:14" s="73" customFormat="1" ht="15">
      <c r="A44" s="1066" t="s">
        <v>731</v>
      </c>
      <c r="B44" s="1066"/>
      <c r="C44" s="1067"/>
      <c r="D44" s="239" t="s">
        <v>695</v>
      </c>
      <c r="E44" s="240" t="s">
        <v>695</v>
      </c>
      <c r="F44" s="241">
        <f>SUM(F41,F31,F18,F8)</f>
        <v>333338410</v>
      </c>
      <c r="G44" s="239" t="s">
        <v>695</v>
      </c>
      <c r="H44" s="242" t="s">
        <v>695</v>
      </c>
      <c r="I44" s="242" t="s">
        <v>695</v>
      </c>
      <c r="J44" s="240" t="s">
        <v>695</v>
      </c>
      <c r="K44" s="241">
        <f>SUM(K41,K31,K18,K8)</f>
        <v>155412976</v>
      </c>
      <c r="L44" s="607">
        <f>SUM(L41,L31,L18,L8)</f>
        <v>488751386</v>
      </c>
      <c r="M44" s="71"/>
      <c r="N44" s="72">
        <f>SUM(N41,N31,N18,N8)</f>
        <v>488751386</v>
      </c>
    </row>
    <row r="45" ht="15" customHeight="1"/>
    <row r="46" spans="1:14" s="73" customFormat="1" ht="16.5">
      <c r="A46" s="1062" t="s">
        <v>247</v>
      </c>
      <c r="B46" s="1062"/>
      <c r="C46" s="1063"/>
      <c r="D46" s="562" t="s">
        <v>695</v>
      </c>
      <c r="E46" s="563" t="s">
        <v>695</v>
      </c>
      <c r="F46" s="564">
        <f>SUM(F44)</f>
        <v>333338410</v>
      </c>
      <c r="G46" s="562" t="s">
        <v>695</v>
      </c>
      <c r="H46" s="565" t="s">
        <v>695</v>
      </c>
      <c r="I46" s="565" t="s">
        <v>695</v>
      </c>
      <c r="J46" s="563" t="s">
        <v>695</v>
      </c>
      <c r="K46" s="564">
        <f>SUM(K44)</f>
        <v>155412976</v>
      </c>
      <c r="L46" s="605">
        <f>SUM(K46+F46)</f>
        <v>488751386</v>
      </c>
      <c r="M46" s="71"/>
      <c r="N46" s="72">
        <f>SUM(N44)</f>
        <v>488751386</v>
      </c>
    </row>
  </sheetData>
  <sheetProtection/>
  <mergeCells count="10">
    <mergeCell ref="A46:C46"/>
    <mergeCell ref="L5:L6"/>
    <mergeCell ref="A44:C44"/>
    <mergeCell ref="A6:B6"/>
    <mergeCell ref="A7:B7"/>
    <mergeCell ref="A2:K2"/>
    <mergeCell ref="A3:K3"/>
    <mergeCell ref="A5:C5"/>
    <mergeCell ref="D5:F5"/>
    <mergeCell ref="G5:K5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I1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5" max="5" width="40.375" style="0" customWidth="1"/>
    <col min="6" max="6" width="13.625" style="0" customWidth="1"/>
    <col min="7" max="7" width="13.125" style="0" customWidth="1"/>
    <col min="8" max="8" width="14.875" style="0" customWidth="1"/>
    <col min="9" max="9" width="12.625" style="0" customWidth="1"/>
  </cols>
  <sheetData>
    <row r="1" spans="1:9" s="4" customFormat="1" ht="12.75">
      <c r="A1" s="798" t="s">
        <v>1052</v>
      </c>
      <c r="B1" s="799"/>
      <c r="C1" s="799"/>
      <c r="D1" s="799"/>
      <c r="E1" s="799"/>
      <c r="F1" s="799"/>
      <c r="G1" s="799"/>
      <c r="H1" s="799"/>
      <c r="I1" s="799"/>
    </row>
    <row r="2" spans="1:9" s="4" customFormat="1" ht="9.75" customHeight="1">
      <c r="A2" s="644"/>
      <c r="B2" s="645"/>
      <c r="C2" s="645"/>
      <c r="D2" s="645"/>
      <c r="E2" s="645"/>
      <c r="F2" s="645"/>
      <c r="G2" s="645"/>
      <c r="H2" s="645"/>
      <c r="I2" s="645"/>
    </row>
    <row r="3" spans="1:9" s="4" customFormat="1" ht="16.5">
      <c r="A3" s="805" t="s">
        <v>911</v>
      </c>
      <c r="B3" s="805"/>
      <c r="C3" s="805"/>
      <c r="D3" s="805"/>
      <c r="E3" s="805"/>
      <c r="F3" s="805"/>
      <c r="G3" s="805"/>
      <c r="H3" s="805"/>
      <c r="I3" s="805"/>
    </row>
    <row r="4" spans="1:9" s="4" customFormat="1" ht="12.75">
      <c r="A4" s="644"/>
      <c r="B4" s="645"/>
      <c r="C4" s="645"/>
      <c r="D4" s="645"/>
      <c r="E4" s="645"/>
      <c r="F4" s="645"/>
      <c r="G4" s="645"/>
      <c r="H4" s="645"/>
      <c r="I4" s="645"/>
    </row>
    <row r="5" spans="1:9" ht="78" customHeight="1">
      <c r="A5" s="814" t="s">
        <v>0</v>
      </c>
      <c r="B5" s="815"/>
      <c r="C5" s="815"/>
      <c r="D5" s="815"/>
      <c r="E5" s="816"/>
      <c r="F5" s="129" t="s">
        <v>200</v>
      </c>
      <c r="G5" s="129" t="s">
        <v>590</v>
      </c>
      <c r="H5" s="129" t="s">
        <v>909</v>
      </c>
      <c r="I5" s="646" t="s">
        <v>580</v>
      </c>
    </row>
    <row r="6" spans="1:9" s="575" customFormat="1" ht="15">
      <c r="A6" s="647" t="s">
        <v>663</v>
      </c>
      <c r="B6" s="817" t="s">
        <v>664</v>
      </c>
      <c r="C6" s="818"/>
      <c r="D6" s="818"/>
      <c r="E6" s="819"/>
      <c r="F6" s="648" t="s">
        <v>665</v>
      </c>
      <c r="G6" s="648" t="s">
        <v>666</v>
      </c>
      <c r="H6" s="648" t="s">
        <v>667</v>
      </c>
      <c r="I6" s="648" t="s">
        <v>668</v>
      </c>
    </row>
    <row r="7" spans="1:9" s="291" customFormat="1" ht="14.25" customHeight="1">
      <c r="A7" s="649" t="s">
        <v>1</v>
      </c>
      <c r="B7" s="813" t="s">
        <v>546</v>
      </c>
      <c r="C7" s="813"/>
      <c r="D7" s="813"/>
      <c r="E7" s="813"/>
      <c r="F7" s="650">
        <f>SUM(F8+F18)</f>
        <v>121446</v>
      </c>
      <c r="G7" s="650">
        <f>SUM(G8+G18)</f>
        <v>72985</v>
      </c>
      <c r="H7" s="650">
        <f>157608-774-4974</f>
        <v>151860</v>
      </c>
      <c r="I7" s="650">
        <f>SUM(F7:H7)</f>
        <v>346291</v>
      </c>
    </row>
    <row r="8" spans="1:9" ht="12.75" hidden="1">
      <c r="A8" s="651"/>
      <c r="B8" s="651" t="s">
        <v>2</v>
      </c>
      <c r="C8" s="797" t="s">
        <v>3</v>
      </c>
      <c r="D8" s="797"/>
      <c r="E8" s="797"/>
      <c r="F8" s="652">
        <f>SUM(F9:F16)</f>
        <v>99049</v>
      </c>
      <c r="G8" s="652">
        <f>SUM(G9:G16)</f>
        <v>72785</v>
      </c>
      <c r="H8" s="652">
        <f>SUM(H9:H16)</f>
        <v>0</v>
      </c>
      <c r="I8" s="653">
        <f>SUM(F8:H8)</f>
        <v>171834</v>
      </c>
    </row>
    <row r="9" spans="1:9" ht="12.75" hidden="1">
      <c r="A9" s="654"/>
      <c r="B9" s="654"/>
      <c r="C9" s="654"/>
      <c r="D9" s="654" t="s">
        <v>4</v>
      </c>
      <c r="E9" s="654" t="s">
        <v>5</v>
      </c>
      <c r="F9" s="655">
        <v>86058</v>
      </c>
      <c r="G9" s="655">
        <f>64943+1444</f>
        <v>66387</v>
      </c>
      <c r="H9" s="655"/>
      <c r="I9" s="653">
        <f aca="true" t="shared" si="0" ref="I9:I17">SUM(F9:H9)</f>
        <v>152445</v>
      </c>
    </row>
    <row r="10" spans="1:9" ht="12.75" hidden="1">
      <c r="A10" s="654"/>
      <c r="B10" s="654"/>
      <c r="C10" s="654"/>
      <c r="D10" s="654" t="s">
        <v>829</v>
      </c>
      <c r="E10" s="654" t="s">
        <v>830</v>
      </c>
      <c r="F10" s="655"/>
      <c r="G10" s="655">
        <v>464</v>
      </c>
      <c r="H10" s="655"/>
      <c r="I10" s="653">
        <f t="shared" si="0"/>
        <v>464</v>
      </c>
    </row>
    <row r="11" spans="1:9" ht="12.75" hidden="1">
      <c r="A11" s="654"/>
      <c r="B11" s="654"/>
      <c r="C11" s="654"/>
      <c r="D11" s="654" t="s">
        <v>6</v>
      </c>
      <c r="E11" s="654" t="s">
        <v>7</v>
      </c>
      <c r="F11" s="655">
        <v>11492</v>
      </c>
      <c r="G11" s="655"/>
      <c r="H11" s="655"/>
      <c r="I11" s="653">
        <f t="shared" si="0"/>
        <v>11492</v>
      </c>
    </row>
    <row r="12" spans="1:9" ht="12.75" hidden="1">
      <c r="A12" s="654"/>
      <c r="B12" s="654"/>
      <c r="C12" s="654"/>
      <c r="D12" s="654" t="s">
        <v>8</v>
      </c>
      <c r="E12" s="654" t="s">
        <v>9</v>
      </c>
      <c r="F12" s="655">
        <v>664</v>
      </c>
      <c r="G12" s="655"/>
      <c r="H12" s="655"/>
      <c r="I12" s="653">
        <f t="shared" si="0"/>
        <v>664</v>
      </c>
    </row>
    <row r="13" spans="1:9" ht="12.75" hidden="1">
      <c r="A13" s="654"/>
      <c r="B13" s="654"/>
      <c r="C13" s="654"/>
      <c r="D13" s="654" t="s">
        <v>10</v>
      </c>
      <c r="E13" s="654" t="s">
        <v>11</v>
      </c>
      <c r="F13" s="655"/>
      <c r="G13" s="655">
        <v>5000</v>
      </c>
      <c r="H13" s="655"/>
      <c r="I13" s="653">
        <f t="shared" si="0"/>
        <v>5000</v>
      </c>
    </row>
    <row r="14" spans="1:9" ht="12.75" hidden="1">
      <c r="A14" s="654"/>
      <c r="B14" s="654"/>
      <c r="C14" s="654"/>
      <c r="D14" s="654" t="s">
        <v>12</v>
      </c>
      <c r="E14" s="654" t="s">
        <v>13</v>
      </c>
      <c r="F14" s="655">
        <v>48</v>
      </c>
      <c r="G14" s="655">
        <v>170</v>
      </c>
      <c r="H14" s="655"/>
      <c r="I14" s="653">
        <f t="shared" si="0"/>
        <v>218</v>
      </c>
    </row>
    <row r="15" spans="1:9" ht="12.75" hidden="1">
      <c r="A15" s="654"/>
      <c r="B15" s="654"/>
      <c r="C15" s="654"/>
      <c r="D15" s="654" t="s">
        <v>14</v>
      </c>
      <c r="E15" s="654" t="s">
        <v>15</v>
      </c>
      <c r="F15" s="655">
        <v>674</v>
      </c>
      <c r="G15" s="655">
        <v>614</v>
      </c>
      <c r="H15" s="655"/>
      <c r="I15" s="653">
        <f t="shared" si="0"/>
        <v>1288</v>
      </c>
    </row>
    <row r="16" spans="1:9" ht="12.75" hidden="1">
      <c r="A16" s="654"/>
      <c r="B16" s="654"/>
      <c r="C16" s="654"/>
      <c r="D16" s="654" t="s">
        <v>16</v>
      </c>
      <c r="E16" s="654" t="s">
        <v>17</v>
      </c>
      <c r="F16" s="655">
        <v>113</v>
      </c>
      <c r="G16" s="655">
        <v>150</v>
      </c>
      <c r="H16" s="655"/>
      <c r="I16" s="653">
        <f t="shared" si="0"/>
        <v>263</v>
      </c>
    </row>
    <row r="17" spans="1:9" ht="12.75" hidden="1">
      <c r="A17" s="656"/>
      <c r="B17" s="656"/>
      <c r="C17" s="657"/>
      <c r="D17" s="658" t="s">
        <v>18</v>
      </c>
      <c r="E17" s="658" t="s">
        <v>19</v>
      </c>
      <c r="F17" s="659">
        <v>113</v>
      </c>
      <c r="G17" s="659"/>
      <c r="H17" s="659"/>
      <c r="I17" s="659">
        <f t="shared" si="0"/>
        <v>113</v>
      </c>
    </row>
    <row r="18" spans="1:9" ht="12.75" hidden="1">
      <c r="A18" s="651"/>
      <c r="B18" s="651" t="s">
        <v>20</v>
      </c>
      <c r="C18" s="797" t="s">
        <v>21</v>
      </c>
      <c r="D18" s="797"/>
      <c r="E18" s="797"/>
      <c r="F18" s="652">
        <f>SUM(F19:F21)</f>
        <v>22397</v>
      </c>
      <c r="G18" s="652">
        <f>SUM(G19:G21)</f>
        <v>200</v>
      </c>
      <c r="H18" s="652">
        <f>SUM(H19:H21)</f>
        <v>0</v>
      </c>
      <c r="I18" s="653">
        <f aca="true" t="shared" si="1" ref="I18:I28">SUM(F18:H18)</f>
        <v>22597</v>
      </c>
    </row>
    <row r="19" spans="1:9" ht="13.5" customHeight="1" hidden="1">
      <c r="A19" s="660"/>
      <c r="B19" s="660"/>
      <c r="C19" s="660" t="s">
        <v>22</v>
      </c>
      <c r="D19" s="660" t="s">
        <v>23</v>
      </c>
      <c r="E19" s="660"/>
      <c r="F19" s="661">
        <v>20648</v>
      </c>
      <c r="G19" s="661"/>
      <c r="H19" s="661"/>
      <c r="I19" s="653">
        <f t="shared" si="1"/>
        <v>20648</v>
      </c>
    </row>
    <row r="20" spans="1:9" ht="16.5" customHeight="1" hidden="1">
      <c r="A20" s="660"/>
      <c r="B20" s="660"/>
      <c r="C20" s="660" t="s">
        <v>24</v>
      </c>
      <c r="D20" s="811" t="s">
        <v>25</v>
      </c>
      <c r="E20" s="812"/>
      <c r="F20" s="661">
        <v>622</v>
      </c>
      <c r="G20" s="661"/>
      <c r="H20" s="661"/>
      <c r="I20" s="653">
        <f t="shared" si="1"/>
        <v>622</v>
      </c>
    </row>
    <row r="21" spans="1:9" ht="12.75" hidden="1">
      <c r="A21" s="660"/>
      <c r="B21" s="660"/>
      <c r="C21" s="660" t="s">
        <v>26</v>
      </c>
      <c r="D21" s="803" t="s">
        <v>27</v>
      </c>
      <c r="E21" s="804"/>
      <c r="F21" s="661">
        <v>1127</v>
      </c>
      <c r="G21" s="661">
        <v>200</v>
      </c>
      <c r="H21" s="661"/>
      <c r="I21" s="653">
        <f t="shared" si="1"/>
        <v>1327</v>
      </c>
    </row>
    <row r="22" spans="1:9" s="291" customFormat="1" ht="13.5" customHeight="1">
      <c r="A22" s="649" t="s">
        <v>28</v>
      </c>
      <c r="B22" s="813" t="s">
        <v>29</v>
      </c>
      <c r="C22" s="813"/>
      <c r="D22" s="813"/>
      <c r="E22" s="813"/>
      <c r="F22" s="650">
        <f>SUM(F23:F27)</f>
        <v>34927</v>
      </c>
      <c r="G22" s="650">
        <f>SUM(G23:G27)</f>
        <v>19867</v>
      </c>
      <c r="H22" s="650">
        <f>44071-209-1343</f>
        <v>42519</v>
      </c>
      <c r="I22" s="650">
        <f t="shared" si="1"/>
        <v>97313</v>
      </c>
    </row>
    <row r="23" spans="1:9" ht="12.75" hidden="1">
      <c r="A23" s="654"/>
      <c r="B23" s="654"/>
      <c r="C23" s="654"/>
      <c r="D23" s="662" t="s">
        <v>18</v>
      </c>
      <c r="E23" s="662" t="s">
        <v>30</v>
      </c>
      <c r="F23" s="655">
        <v>31909</v>
      </c>
      <c r="G23" s="655">
        <f>17790+390</f>
        <v>18180</v>
      </c>
      <c r="H23" s="655"/>
      <c r="I23" s="663">
        <f t="shared" si="1"/>
        <v>50089</v>
      </c>
    </row>
    <row r="24" spans="1:9" ht="12.75" hidden="1">
      <c r="A24" s="654"/>
      <c r="B24" s="654"/>
      <c r="C24" s="654"/>
      <c r="D24" s="662"/>
      <c r="E24" s="662" t="s">
        <v>31</v>
      </c>
      <c r="F24" s="655">
        <v>2411</v>
      </c>
      <c r="G24" s="655">
        <v>1447</v>
      </c>
      <c r="H24" s="655"/>
      <c r="I24" s="663">
        <f t="shared" si="1"/>
        <v>3858</v>
      </c>
    </row>
    <row r="25" spans="1:9" ht="12.75" hidden="1">
      <c r="A25" s="654"/>
      <c r="B25" s="654"/>
      <c r="C25" s="654"/>
      <c r="D25" s="662"/>
      <c r="E25" s="662" t="s">
        <v>32</v>
      </c>
      <c r="F25" s="655"/>
      <c r="G25" s="655"/>
      <c r="H25" s="655"/>
      <c r="I25" s="663">
        <f t="shared" si="1"/>
        <v>0</v>
      </c>
    </row>
    <row r="26" spans="1:9" ht="12.75" hidden="1">
      <c r="A26" s="654"/>
      <c r="B26" s="654"/>
      <c r="C26" s="654"/>
      <c r="D26" s="662"/>
      <c r="E26" s="662" t="s">
        <v>33</v>
      </c>
      <c r="F26" s="655">
        <v>391</v>
      </c>
      <c r="G26" s="655">
        <v>154</v>
      </c>
      <c r="H26" s="655"/>
      <c r="I26" s="663">
        <f t="shared" si="1"/>
        <v>545</v>
      </c>
    </row>
    <row r="27" spans="1:9" ht="12.75" hidden="1">
      <c r="A27" s="654"/>
      <c r="B27" s="654"/>
      <c r="C27" s="654"/>
      <c r="D27" s="662"/>
      <c r="E27" s="662" t="s">
        <v>34</v>
      </c>
      <c r="F27" s="655">
        <v>216</v>
      </c>
      <c r="G27" s="655">
        <v>86</v>
      </c>
      <c r="H27" s="655"/>
      <c r="I27" s="663">
        <f t="shared" si="1"/>
        <v>302</v>
      </c>
    </row>
    <row r="28" spans="1:9" s="291" customFormat="1" ht="12" customHeight="1">
      <c r="A28" s="649" t="s">
        <v>35</v>
      </c>
      <c r="B28" s="813" t="s">
        <v>36</v>
      </c>
      <c r="C28" s="813"/>
      <c r="D28" s="813"/>
      <c r="E28" s="813"/>
      <c r="F28" s="650">
        <f>SUM(F52+F49+F35+F32+F29)</f>
        <v>251632</v>
      </c>
      <c r="G28" s="650">
        <f>SUM(G52+G49+G35+G32+G29)</f>
        <v>23194</v>
      </c>
      <c r="H28" s="650">
        <f>57291-674-394</f>
        <v>56223</v>
      </c>
      <c r="I28" s="650">
        <f t="shared" si="1"/>
        <v>331049</v>
      </c>
    </row>
    <row r="29" spans="1:9" ht="12.75" hidden="1">
      <c r="A29" s="651"/>
      <c r="B29" s="651" t="s">
        <v>37</v>
      </c>
      <c r="C29" s="797" t="s">
        <v>38</v>
      </c>
      <c r="D29" s="797"/>
      <c r="E29" s="797"/>
      <c r="F29" s="652">
        <f>SUM(F30:F31)</f>
        <v>79619</v>
      </c>
      <c r="G29" s="652">
        <f>SUM(G30:G31)</f>
        <v>2016</v>
      </c>
      <c r="H29" s="652">
        <f>SUM(H30:H31)</f>
        <v>0</v>
      </c>
      <c r="I29" s="652">
        <f>SUM(I30:I31)</f>
        <v>81635</v>
      </c>
    </row>
    <row r="30" spans="1:9" ht="12.75" hidden="1">
      <c r="A30" s="660"/>
      <c r="B30" s="660"/>
      <c r="C30" s="660" t="s">
        <v>39</v>
      </c>
      <c r="D30" s="660" t="s">
        <v>40</v>
      </c>
      <c r="E30" s="660"/>
      <c r="F30" s="661">
        <v>5182</v>
      </c>
      <c r="G30" s="661">
        <v>200</v>
      </c>
      <c r="H30" s="664"/>
      <c r="I30" s="665">
        <f>SUM(F30:H30)</f>
        <v>5382</v>
      </c>
    </row>
    <row r="31" spans="1:9" ht="12.75" hidden="1">
      <c r="A31" s="660"/>
      <c r="B31" s="660"/>
      <c r="C31" s="660" t="s">
        <v>41</v>
      </c>
      <c r="D31" s="660" t="s">
        <v>42</v>
      </c>
      <c r="E31" s="660"/>
      <c r="F31" s="661">
        <v>74437</v>
      </c>
      <c r="G31" s="661">
        <v>1816</v>
      </c>
      <c r="H31" s="664"/>
      <c r="I31" s="665">
        <f>SUM(F31:H31)</f>
        <v>76253</v>
      </c>
    </row>
    <row r="32" spans="1:9" ht="12.75" hidden="1">
      <c r="A32" s="651"/>
      <c r="B32" s="651" t="s">
        <v>43</v>
      </c>
      <c r="C32" s="797" t="s">
        <v>44</v>
      </c>
      <c r="D32" s="797"/>
      <c r="E32" s="797"/>
      <c r="F32" s="652">
        <f>SUM(F33:F34)</f>
        <v>3332</v>
      </c>
      <c r="G32" s="652">
        <f>SUM(G33:G34)</f>
        <v>3872</v>
      </c>
      <c r="H32" s="652">
        <f>SUM(H33:H34)</f>
        <v>0</v>
      </c>
      <c r="I32" s="652">
        <f>SUM(I33:I34)</f>
        <v>7204</v>
      </c>
    </row>
    <row r="33" spans="1:9" ht="12.75" hidden="1">
      <c r="A33" s="660"/>
      <c r="B33" s="660"/>
      <c r="C33" s="660" t="s">
        <v>45</v>
      </c>
      <c r="D33" s="660" t="s">
        <v>46</v>
      </c>
      <c r="E33" s="660"/>
      <c r="F33" s="661">
        <v>2452</v>
      </c>
      <c r="G33" s="661">
        <v>2498</v>
      </c>
      <c r="H33" s="661"/>
      <c r="I33" s="663">
        <f>SUM(F33:H33)</f>
        <v>4950</v>
      </c>
    </row>
    <row r="34" spans="1:9" ht="12.75" hidden="1">
      <c r="A34" s="660"/>
      <c r="B34" s="660"/>
      <c r="C34" s="660" t="s">
        <v>47</v>
      </c>
      <c r="D34" s="660" t="s">
        <v>48</v>
      </c>
      <c r="E34" s="660"/>
      <c r="F34" s="661">
        <v>880</v>
      </c>
      <c r="G34" s="661">
        <v>1374</v>
      </c>
      <c r="H34" s="661"/>
      <c r="I34" s="663">
        <f>SUM(F34:H34)</f>
        <v>2254</v>
      </c>
    </row>
    <row r="35" spans="1:9" ht="12.75" hidden="1">
      <c r="A35" s="651"/>
      <c r="B35" s="651" t="s">
        <v>49</v>
      </c>
      <c r="C35" s="797" t="s">
        <v>50</v>
      </c>
      <c r="D35" s="797"/>
      <c r="E35" s="797"/>
      <c r="F35" s="652">
        <f>SUM(F36+F41+F42+F43+F44+F46+F47)</f>
        <v>121943</v>
      </c>
      <c r="G35" s="652">
        <f>SUM(G36+G41+G42+G43+G44+G46+G47)</f>
        <v>13254</v>
      </c>
      <c r="H35" s="652">
        <f>SUM(H36+H41+H42+H43+H44+H46+H47)</f>
        <v>0</v>
      </c>
      <c r="I35" s="652">
        <f>SUM(I36+I41+I42+I43+I44+I46+I47)</f>
        <v>135197</v>
      </c>
    </row>
    <row r="36" spans="1:9" ht="12.75" hidden="1">
      <c r="A36" s="660"/>
      <c r="B36" s="660"/>
      <c r="C36" s="660" t="s">
        <v>51</v>
      </c>
      <c r="D36" s="660" t="s">
        <v>52</v>
      </c>
      <c r="E36" s="660"/>
      <c r="F36" s="661">
        <f>SUM(F37:F40)</f>
        <v>37871</v>
      </c>
      <c r="G36" s="661">
        <f>SUM(G37:G40)</f>
        <v>2400</v>
      </c>
      <c r="H36" s="661">
        <f>SUM(H37:H40)</f>
        <v>0</v>
      </c>
      <c r="I36" s="663">
        <f>SUM(F36:H36)</f>
        <v>40271</v>
      </c>
    </row>
    <row r="37" spans="1:9" ht="12.75" hidden="1">
      <c r="A37" s="654"/>
      <c r="B37" s="654"/>
      <c r="C37" s="654"/>
      <c r="D37" s="662" t="s">
        <v>18</v>
      </c>
      <c r="E37" s="662" t="s">
        <v>53</v>
      </c>
      <c r="F37" s="655">
        <v>20600</v>
      </c>
      <c r="G37" s="655">
        <v>935</v>
      </c>
      <c r="H37" s="655"/>
      <c r="I37" s="663">
        <f aca="true" t="shared" si="2" ref="I37:I48">SUM(F37:H37)</f>
        <v>21535</v>
      </c>
    </row>
    <row r="38" spans="1:9" ht="12.75" hidden="1">
      <c r="A38" s="654"/>
      <c r="B38" s="654"/>
      <c r="C38" s="654"/>
      <c r="D38" s="662"/>
      <c r="E38" s="662" t="s">
        <v>54</v>
      </c>
      <c r="F38" s="655">
        <v>14615</v>
      </c>
      <c r="G38" s="655">
        <v>1265</v>
      </c>
      <c r="H38" s="655"/>
      <c r="I38" s="663">
        <f t="shared" si="2"/>
        <v>15880</v>
      </c>
    </row>
    <row r="39" spans="1:9" ht="12.75" hidden="1">
      <c r="A39" s="654"/>
      <c r="B39" s="654"/>
      <c r="C39" s="654"/>
      <c r="D39" s="662"/>
      <c r="E39" s="662" t="s">
        <v>55</v>
      </c>
      <c r="F39" s="655">
        <v>300</v>
      </c>
      <c r="G39" s="655"/>
      <c r="H39" s="655"/>
      <c r="I39" s="663">
        <f t="shared" si="2"/>
        <v>300</v>
      </c>
    </row>
    <row r="40" spans="1:9" ht="12.75" hidden="1">
      <c r="A40" s="654"/>
      <c r="B40" s="654"/>
      <c r="C40" s="654"/>
      <c r="D40" s="662"/>
      <c r="E40" s="662" t="s">
        <v>56</v>
      </c>
      <c r="F40" s="655">
        <v>2356</v>
      </c>
      <c r="G40" s="655">
        <v>200</v>
      </c>
      <c r="H40" s="655"/>
      <c r="I40" s="663">
        <f t="shared" si="2"/>
        <v>2556</v>
      </c>
    </row>
    <row r="41" spans="1:9" ht="12.75" hidden="1">
      <c r="A41" s="660"/>
      <c r="B41" s="660"/>
      <c r="C41" s="660" t="s">
        <v>57</v>
      </c>
      <c r="D41" s="660" t="s">
        <v>58</v>
      </c>
      <c r="E41" s="660"/>
      <c r="F41" s="661">
        <v>260</v>
      </c>
      <c r="G41" s="661"/>
      <c r="H41" s="661"/>
      <c r="I41" s="663">
        <f t="shared" si="2"/>
        <v>260</v>
      </c>
    </row>
    <row r="42" spans="1:9" ht="12.75" hidden="1">
      <c r="A42" s="660"/>
      <c r="B42" s="660"/>
      <c r="C42" s="660" t="s">
        <v>59</v>
      </c>
      <c r="D42" s="660" t="s">
        <v>60</v>
      </c>
      <c r="E42" s="660"/>
      <c r="F42" s="661">
        <v>917</v>
      </c>
      <c r="G42" s="661">
        <v>1243</v>
      </c>
      <c r="H42" s="661"/>
      <c r="I42" s="663">
        <f t="shared" si="2"/>
        <v>2160</v>
      </c>
    </row>
    <row r="43" spans="1:9" ht="12.75" hidden="1">
      <c r="A43" s="660"/>
      <c r="B43" s="660"/>
      <c r="C43" s="660" t="s">
        <v>61</v>
      </c>
      <c r="D43" s="660" t="s">
        <v>62</v>
      </c>
      <c r="E43" s="660"/>
      <c r="F43" s="661">
        <v>4254</v>
      </c>
      <c r="G43" s="661">
        <v>355</v>
      </c>
      <c r="H43" s="661"/>
      <c r="I43" s="663">
        <f t="shared" si="2"/>
        <v>4609</v>
      </c>
    </row>
    <row r="44" spans="1:9" ht="12.75" hidden="1">
      <c r="A44" s="660"/>
      <c r="B44" s="660"/>
      <c r="C44" s="660" t="s">
        <v>63</v>
      </c>
      <c r="D44" s="660" t="s">
        <v>64</v>
      </c>
      <c r="E44" s="660"/>
      <c r="F44" s="661">
        <v>2852</v>
      </c>
      <c r="G44" s="661">
        <v>5239</v>
      </c>
      <c r="H44" s="661">
        <v>0</v>
      </c>
      <c r="I44" s="663">
        <f t="shared" si="2"/>
        <v>8091</v>
      </c>
    </row>
    <row r="45" spans="1:9" ht="12.75" hidden="1">
      <c r="A45" s="654"/>
      <c r="B45" s="654"/>
      <c r="C45" s="654"/>
      <c r="D45" s="662" t="s">
        <v>18</v>
      </c>
      <c r="E45" s="662" t="s">
        <v>65</v>
      </c>
      <c r="F45" s="659">
        <v>2499</v>
      </c>
      <c r="G45" s="659">
        <v>3031</v>
      </c>
      <c r="H45" s="655">
        <v>0</v>
      </c>
      <c r="I45" s="663">
        <f t="shared" si="2"/>
        <v>5530</v>
      </c>
    </row>
    <row r="46" spans="1:9" ht="12.75" hidden="1">
      <c r="A46" s="660"/>
      <c r="B46" s="660"/>
      <c r="C46" s="660" t="s">
        <v>66</v>
      </c>
      <c r="D46" s="660" t="s">
        <v>67</v>
      </c>
      <c r="E46" s="660"/>
      <c r="F46" s="661">
        <v>14840</v>
      </c>
      <c r="G46" s="661">
        <v>431</v>
      </c>
      <c r="H46" s="661"/>
      <c r="I46" s="663">
        <f t="shared" si="2"/>
        <v>15271</v>
      </c>
    </row>
    <row r="47" spans="1:9" ht="12.75" hidden="1">
      <c r="A47" s="660"/>
      <c r="B47" s="660"/>
      <c r="C47" s="660" t="s">
        <v>68</v>
      </c>
      <c r="D47" s="660" t="s">
        <v>69</v>
      </c>
      <c r="E47" s="660"/>
      <c r="F47" s="661">
        <f>62567-1500-118</f>
        <v>60949</v>
      </c>
      <c r="G47" s="661">
        <v>3586</v>
      </c>
      <c r="H47" s="661"/>
      <c r="I47" s="663">
        <f t="shared" si="2"/>
        <v>64535</v>
      </c>
    </row>
    <row r="48" spans="1:9" ht="12.75" hidden="1">
      <c r="A48" s="654"/>
      <c r="B48" s="654"/>
      <c r="C48" s="654"/>
      <c r="D48" s="662" t="s">
        <v>18</v>
      </c>
      <c r="E48" s="662" t="s">
        <v>19</v>
      </c>
      <c r="F48" s="659">
        <v>2876</v>
      </c>
      <c r="G48" s="659"/>
      <c r="H48" s="655"/>
      <c r="I48" s="663">
        <f t="shared" si="2"/>
        <v>2876</v>
      </c>
    </row>
    <row r="49" spans="1:9" ht="12.75" hidden="1">
      <c r="A49" s="651"/>
      <c r="B49" s="651" t="s">
        <v>70</v>
      </c>
      <c r="C49" s="797" t="s">
        <v>71</v>
      </c>
      <c r="D49" s="797"/>
      <c r="E49" s="797"/>
      <c r="F49" s="652">
        <f>SUM(F50:F51)</f>
        <v>1143</v>
      </c>
      <c r="G49" s="652">
        <f>SUM(G50:G51)</f>
        <v>300</v>
      </c>
      <c r="H49" s="652">
        <f>SUM(H50:H51)</f>
        <v>0</v>
      </c>
      <c r="I49" s="652">
        <f>SUM(I50:I51)</f>
        <v>1443</v>
      </c>
    </row>
    <row r="50" spans="1:9" ht="12.75" hidden="1">
      <c r="A50" s="660"/>
      <c r="B50" s="660"/>
      <c r="C50" s="660" t="s">
        <v>72</v>
      </c>
      <c r="D50" s="660" t="s">
        <v>73</v>
      </c>
      <c r="E50" s="660"/>
      <c r="F50" s="661">
        <v>1065</v>
      </c>
      <c r="G50" s="661">
        <v>300</v>
      </c>
      <c r="H50" s="661"/>
      <c r="I50" s="663">
        <f>SUM(F50:H50)</f>
        <v>1365</v>
      </c>
    </row>
    <row r="51" spans="1:9" ht="12.75" hidden="1">
      <c r="A51" s="660"/>
      <c r="B51" s="660"/>
      <c r="C51" s="660" t="s">
        <v>74</v>
      </c>
      <c r="D51" s="660" t="s">
        <v>75</v>
      </c>
      <c r="E51" s="660"/>
      <c r="F51" s="661">
        <v>78</v>
      </c>
      <c r="G51" s="661"/>
      <c r="H51" s="661"/>
      <c r="I51" s="663">
        <f>SUM(F51:H51)</f>
        <v>78</v>
      </c>
    </row>
    <row r="52" spans="1:9" ht="12.75" hidden="1">
      <c r="A52" s="651"/>
      <c r="B52" s="651" t="s">
        <v>76</v>
      </c>
      <c r="C52" s="797" t="s">
        <v>77</v>
      </c>
      <c r="D52" s="797"/>
      <c r="E52" s="797"/>
      <c r="F52" s="666">
        <f>SUM(F53:F55)</f>
        <v>45595</v>
      </c>
      <c r="G52" s="666">
        <f>SUM(G53:G55)</f>
        <v>3752</v>
      </c>
      <c r="H52" s="666">
        <f>SUM(H53:H55)</f>
        <v>0</v>
      </c>
      <c r="I52" s="666">
        <f>SUM(I53:I55)</f>
        <v>49347</v>
      </c>
    </row>
    <row r="53" spans="1:9" ht="12.75" hidden="1">
      <c r="A53" s="660"/>
      <c r="B53" s="660"/>
      <c r="C53" s="660" t="s">
        <v>78</v>
      </c>
      <c r="D53" s="660" t="s">
        <v>79</v>
      </c>
      <c r="E53" s="660"/>
      <c r="F53" s="661">
        <f>41424-32</f>
        <v>41392</v>
      </c>
      <c r="G53" s="661">
        <v>3542</v>
      </c>
      <c r="H53" s="661"/>
      <c r="I53" s="663">
        <f>SUM(F53:H53)</f>
        <v>44934</v>
      </c>
    </row>
    <row r="54" spans="1:9" ht="12.75" hidden="1">
      <c r="A54" s="660"/>
      <c r="B54" s="660"/>
      <c r="C54" s="660" t="s">
        <v>80</v>
      </c>
      <c r="D54" s="660" t="s">
        <v>81</v>
      </c>
      <c r="E54" s="660"/>
      <c r="F54" s="661">
        <f>334+1276</f>
        <v>1610</v>
      </c>
      <c r="G54" s="661"/>
      <c r="H54" s="661"/>
      <c r="I54" s="663">
        <f>SUM(F54:H54)</f>
        <v>1610</v>
      </c>
    </row>
    <row r="55" spans="1:9" ht="12.75" hidden="1">
      <c r="A55" s="660"/>
      <c r="B55" s="660"/>
      <c r="C55" s="660" t="s">
        <v>82</v>
      </c>
      <c r="D55" s="660" t="s">
        <v>83</v>
      </c>
      <c r="E55" s="660"/>
      <c r="F55" s="661">
        <f>2603-10</f>
        <v>2593</v>
      </c>
      <c r="G55" s="661">
        <v>210</v>
      </c>
      <c r="H55" s="661"/>
      <c r="I55" s="663">
        <f>SUM(F55:H55)</f>
        <v>2803</v>
      </c>
    </row>
    <row r="56" spans="1:9" s="291" customFormat="1" ht="12.75">
      <c r="A56" s="649" t="s">
        <v>84</v>
      </c>
      <c r="B56" s="813" t="s">
        <v>85</v>
      </c>
      <c r="C56" s="813"/>
      <c r="D56" s="813"/>
      <c r="E56" s="813"/>
      <c r="F56" s="650">
        <f>SUM(F70+F69+F67+F62+F61+F58+F57)</f>
        <v>4506</v>
      </c>
      <c r="G56" s="650">
        <f>SUM(G70+G69+G67+G62+G61+G58+G57)</f>
        <v>12329</v>
      </c>
      <c r="H56" s="650">
        <f>SUM(H70+H69+H67+H62+H61+H58+H57)</f>
        <v>0</v>
      </c>
      <c r="I56" s="650">
        <f>SUM(I70+I69+I67+I62+I61+I58+I57)</f>
        <v>16835</v>
      </c>
    </row>
    <row r="57" spans="1:9" ht="12.75">
      <c r="A57" s="651"/>
      <c r="B57" s="651" t="s">
        <v>86</v>
      </c>
      <c r="C57" s="806" t="s">
        <v>87</v>
      </c>
      <c r="D57" s="807"/>
      <c r="E57" s="808"/>
      <c r="F57" s="652">
        <v>0</v>
      </c>
      <c r="G57" s="652">
        <v>0</v>
      </c>
      <c r="H57" s="652">
        <v>0</v>
      </c>
      <c r="I57" s="653">
        <f>SUM(F57:H57)</f>
        <v>0</v>
      </c>
    </row>
    <row r="58" spans="1:9" ht="12.75">
      <c r="A58" s="651"/>
      <c r="B58" s="651" t="s">
        <v>88</v>
      </c>
      <c r="C58" s="797" t="s">
        <v>89</v>
      </c>
      <c r="D58" s="797"/>
      <c r="E58" s="797"/>
      <c r="F58" s="652">
        <f>SUM(F59:F60)</f>
        <v>0</v>
      </c>
      <c r="G58" s="652">
        <f>SUM(G59:G60)</f>
        <v>12276</v>
      </c>
      <c r="H58" s="652">
        <f>SUM(H59:H60)</f>
        <v>0</v>
      </c>
      <c r="I58" s="653">
        <f aca="true" t="shared" si="3" ref="I58:I72">SUM(F58:H58)</f>
        <v>12276</v>
      </c>
    </row>
    <row r="59" spans="1:9" ht="12.75">
      <c r="A59" s="660"/>
      <c r="B59" s="660"/>
      <c r="C59" s="660"/>
      <c r="D59" s="809" t="s">
        <v>90</v>
      </c>
      <c r="E59" s="810"/>
      <c r="F59" s="661"/>
      <c r="G59" s="661">
        <v>12000</v>
      </c>
      <c r="H59" s="661">
        <v>0</v>
      </c>
      <c r="I59" s="653">
        <f t="shared" si="3"/>
        <v>12000</v>
      </c>
    </row>
    <row r="60" spans="1:9" ht="22.5" customHeight="1">
      <c r="A60" s="660"/>
      <c r="B60" s="660"/>
      <c r="C60" s="660"/>
      <c r="D60" s="811" t="s">
        <v>91</v>
      </c>
      <c r="E60" s="812"/>
      <c r="F60" s="661"/>
      <c r="G60" s="661">
        <v>276</v>
      </c>
      <c r="H60" s="661">
        <v>0</v>
      </c>
      <c r="I60" s="653">
        <f t="shared" si="3"/>
        <v>276</v>
      </c>
    </row>
    <row r="61" spans="1:9" ht="12.75">
      <c r="A61" s="651"/>
      <c r="B61" s="651" t="s">
        <v>259</v>
      </c>
      <c r="C61" s="797" t="s">
        <v>260</v>
      </c>
      <c r="D61" s="797"/>
      <c r="E61" s="797"/>
      <c r="F61" s="652">
        <v>0</v>
      </c>
      <c r="G61" s="652">
        <v>0</v>
      </c>
      <c r="H61" s="652">
        <v>0</v>
      </c>
      <c r="I61" s="653">
        <f t="shared" si="3"/>
        <v>0</v>
      </c>
    </row>
    <row r="62" spans="1:9" ht="12" customHeight="1">
      <c r="A62" s="651"/>
      <c r="B62" s="651" t="s">
        <v>261</v>
      </c>
      <c r="C62" s="806" t="s">
        <v>262</v>
      </c>
      <c r="D62" s="807"/>
      <c r="E62" s="808"/>
      <c r="F62" s="652">
        <f>SUM(F63:F64)</f>
        <v>0</v>
      </c>
      <c r="G62" s="652">
        <f>SUM(G63:G64)</f>
        <v>0</v>
      </c>
      <c r="H62" s="652">
        <f>SUM(H63:H64)</f>
        <v>0</v>
      </c>
      <c r="I62" s="653">
        <f t="shared" si="3"/>
        <v>0</v>
      </c>
    </row>
    <row r="63" spans="1:9" ht="18" customHeight="1" hidden="1">
      <c r="A63" s="660"/>
      <c r="B63" s="660"/>
      <c r="C63" s="660"/>
      <c r="D63" s="811" t="s">
        <v>263</v>
      </c>
      <c r="E63" s="812"/>
      <c r="F63" s="661">
        <v>0</v>
      </c>
      <c r="G63" s="661">
        <v>0</v>
      </c>
      <c r="H63" s="661">
        <v>0</v>
      </c>
      <c r="I63" s="653">
        <f t="shared" si="3"/>
        <v>0</v>
      </c>
    </row>
    <row r="64" spans="1:9" ht="12.75" hidden="1">
      <c r="A64" s="660"/>
      <c r="B64" s="660"/>
      <c r="C64" s="660"/>
      <c r="D64" s="809" t="s">
        <v>264</v>
      </c>
      <c r="E64" s="810"/>
      <c r="F64" s="661">
        <v>0</v>
      </c>
      <c r="G64" s="661">
        <v>0</v>
      </c>
      <c r="H64" s="661">
        <v>0</v>
      </c>
      <c r="I64" s="653">
        <f t="shared" si="3"/>
        <v>0</v>
      </c>
    </row>
    <row r="65" spans="1:9" ht="13.5" customHeight="1">
      <c r="A65" s="660"/>
      <c r="B65" s="660" t="s">
        <v>265</v>
      </c>
      <c r="C65" s="660" t="s">
        <v>266</v>
      </c>
      <c r="D65" s="701"/>
      <c r="E65" s="702"/>
      <c r="F65" s="661">
        <v>0</v>
      </c>
      <c r="G65" s="661">
        <v>0</v>
      </c>
      <c r="H65" s="661">
        <v>0</v>
      </c>
      <c r="I65" s="653">
        <f t="shared" si="3"/>
        <v>0</v>
      </c>
    </row>
    <row r="66" spans="1:9" ht="12.75">
      <c r="A66" s="660"/>
      <c r="B66" s="660"/>
      <c r="C66" s="660"/>
      <c r="D66" s="809" t="s">
        <v>267</v>
      </c>
      <c r="E66" s="810"/>
      <c r="F66" s="661">
        <v>0</v>
      </c>
      <c r="G66" s="661"/>
      <c r="H66" s="661">
        <v>0</v>
      </c>
      <c r="I66" s="653">
        <f t="shared" si="3"/>
        <v>0</v>
      </c>
    </row>
    <row r="67" spans="1:9" ht="12.75">
      <c r="A67" s="651"/>
      <c r="B67" s="651" t="s">
        <v>268</v>
      </c>
      <c r="C67" s="806" t="s">
        <v>269</v>
      </c>
      <c r="D67" s="807"/>
      <c r="E67" s="808"/>
      <c r="F67" s="652">
        <f>SUM(F68)</f>
        <v>0</v>
      </c>
      <c r="G67" s="652">
        <f>SUM(G68)</f>
        <v>53</v>
      </c>
      <c r="H67" s="652">
        <f>SUM(H68)</f>
        <v>0</v>
      </c>
      <c r="I67" s="653">
        <f t="shared" si="3"/>
        <v>53</v>
      </c>
    </row>
    <row r="68" spans="1:9" ht="12.75">
      <c r="A68" s="660"/>
      <c r="B68" s="660"/>
      <c r="C68" s="660"/>
      <c r="D68" s="809" t="s">
        <v>270</v>
      </c>
      <c r="E68" s="810"/>
      <c r="F68" s="661">
        <v>0</v>
      </c>
      <c r="G68" s="661">
        <v>53</v>
      </c>
      <c r="H68" s="661">
        <v>0</v>
      </c>
      <c r="I68" s="653">
        <f t="shared" si="3"/>
        <v>53</v>
      </c>
    </row>
    <row r="69" spans="1:9" ht="12.75">
      <c r="A69" s="651"/>
      <c r="B69" s="651" t="s">
        <v>271</v>
      </c>
      <c r="C69" s="797" t="s">
        <v>92</v>
      </c>
      <c r="D69" s="797"/>
      <c r="E69" s="797"/>
      <c r="F69" s="652">
        <v>0</v>
      </c>
      <c r="G69" s="652">
        <v>0</v>
      </c>
      <c r="H69" s="652">
        <v>0</v>
      </c>
      <c r="I69" s="653">
        <f t="shared" si="3"/>
        <v>0</v>
      </c>
    </row>
    <row r="70" spans="1:9" ht="12.75">
      <c r="A70" s="651"/>
      <c r="B70" s="651" t="s">
        <v>272</v>
      </c>
      <c r="C70" s="806" t="s">
        <v>273</v>
      </c>
      <c r="D70" s="807"/>
      <c r="E70" s="808"/>
      <c r="F70" s="652">
        <f>SUM(F71:F72)</f>
        <v>4506</v>
      </c>
      <c r="G70" s="652">
        <f>SUM(G71:G72)</f>
        <v>0</v>
      </c>
      <c r="H70" s="652">
        <f>SUM(H71:H72)</f>
        <v>0</v>
      </c>
      <c r="I70" s="653">
        <f t="shared" si="3"/>
        <v>4506</v>
      </c>
    </row>
    <row r="71" spans="1:9" ht="12.75">
      <c r="A71" s="660"/>
      <c r="B71" s="660"/>
      <c r="C71" s="660"/>
      <c r="D71" s="809" t="s">
        <v>958</v>
      </c>
      <c r="E71" s="810"/>
      <c r="F71" s="661">
        <v>1500</v>
      </c>
      <c r="G71" s="661">
        <v>0</v>
      </c>
      <c r="H71" s="661">
        <v>0</v>
      </c>
      <c r="I71" s="653">
        <f t="shared" si="3"/>
        <v>1500</v>
      </c>
    </row>
    <row r="72" spans="1:9" s="291" customFormat="1" ht="12.75">
      <c r="A72" s="660"/>
      <c r="B72" s="660"/>
      <c r="C72" s="660"/>
      <c r="D72" s="809" t="s">
        <v>957</v>
      </c>
      <c r="E72" s="810"/>
      <c r="F72" s="661">
        <v>3006</v>
      </c>
      <c r="G72" s="661">
        <v>0</v>
      </c>
      <c r="H72" s="661">
        <v>0</v>
      </c>
      <c r="I72" s="653">
        <f t="shared" si="3"/>
        <v>3006</v>
      </c>
    </row>
    <row r="73" spans="1:9" ht="12" customHeight="1">
      <c r="A73" s="649" t="s">
        <v>274</v>
      </c>
      <c r="B73" s="800" t="s">
        <v>275</v>
      </c>
      <c r="C73" s="801"/>
      <c r="D73" s="801"/>
      <c r="E73" s="802"/>
      <c r="F73" s="650">
        <f>SUM(F106+F95+F93+F92+F91+F90+F79+F78+F77+F76+F74+F75)</f>
        <v>338607</v>
      </c>
      <c r="G73" s="650">
        <f>SUM(G106+G95+G93+G92+G91+G90+G79+G78+G77+G76+G74+G75)</f>
        <v>0</v>
      </c>
      <c r="H73" s="650">
        <f>SUM(H106+H95+H93+H92+H91+H90+H79+H78+H77+H76+H74+H75)</f>
        <v>0</v>
      </c>
      <c r="I73" s="650">
        <f>SUM(F73:H73)</f>
        <v>338607</v>
      </c>
    </row>
    <row r="74" spans="1:9" ht="12.75" hidden="1">
      <c r="A74" s="660"/>
      <c r="B74" s="660"/>
      <c r="C74" s="660" t="s">
        <v>276</v>
      </c>
      <c r="D74" s="660" t="s">
        <v>277</v>
      </c>
      <c r="E74" s="660"/>
      <c r="F74" s="661">
        <v>0</v>
      </c>
      <c r="G74" s="661">
        <v>0</v>
      </c>
      <c r="H74" s="661">
        <v>0</v>
      </c>
      <c r="I74" s="663">
        <f>SUM(F74:H74)</f>
        <v>0</v>
      </c>
    </row>
    <row r="75" spans="1:9" ht="12.75" hidden="1">
      <c r="A75" s="660"/>
      <c r="B75" s="660"/>
      <c r="C75" s="660" t="s">
        <v>278</v>
      </c>
      <c r="D75" s="660" t="s">
        <v>279</v>
      </c>
      <c r="E75" s="660"/>
      <c r="F75" s="661">
        <v>0</v>
      </c>
      <c r="G75" s="661">
        <v>0</v>
      </c>
      <c r="H75" s="661">
        <v>0</v>
      </c>
      <c r="I75" s="663">
        <f aca="true" t="shared" si="4" ref="I75:I113">SUM(F75:H75)</f>
        <v>0</v>
      </c>
    </row>
    <row r="76" spans="1:9" ht="12.75" hidden="1">
      <c r="A76" s="660"/>
      <c r="B76" s="660"/>
      <c r="C76" s="660" t="s">
        <v>280</v>
      </c>
      <c r="D76" s="803" t="s">
        <v>281</v>
      </c>
      <c r="E76" s="804"/>
      <c r="F76" s="661">
        <v>0</v>
      </c>
      <c r="G76" s="661">
        <v>0</v>
      </c>
      <c r="H76" s="661">
        <v>0</v>
      </c>
      <c r="I76" s="663">
        <f t="shared" si="4"/>
        <v>0</v>
      </c>
    </row>
    <row r="77" spans="1:9" ht="12.75" hidden="1">
      <c r="A77" s="660"/>
      <c r="B77" s="660"/>
      <c r="C77" s="660" t="s">
        <v>282</v>
      </c>
      <c r="D77" s="803" t="s">
        <v>283</v>
      </c>
      <c r="E77" s="804"/>
      <c r="F77" s="661">
        <v>0</v>
      </c>
      <c r="G77" s="661">
        <v>0</v>
      </c>
      <c r="H77" s="661">
        <v>0</v>
      </c>
      <c r="I77" s="663">
        <f t="shared" si="4"/>
        <v>0</v>
      </c>
    </row>
    <row r="78" spans="1:9" ht="12.75" hidden="1">
      <c r="A78" s="660"/>
      <c r="B78" s="660"/>
      <c r="C78" s="660" t="s">
        <v>304</v>
      </c>
      <c r="D78" s="803" t="s">
        <v>305</v>
      </c>
      <c r="E78" s="804"/>
      <c r="F78" s="661">
        <v>0</v>
      </c>
      <c r="G78" s="661">
        <v>0</v>
      </c>
      <c r="H78" s="661">
        <v>0</v>
      </c>
      <c r="I78" s="663">
        <f t="shared" si="4"/>
        <v>0</v>
      </c>
    </row>
    <row r="79" spans="1:9" ht="12.75">
      <c r="A79" s="660"/>
      <c r="B79" s="660"/>
      <c r="C79" s="660" t="s">
        <v>306</v>
      </c>
      <c r="D79" s="803" t="s">
        <v>307</v>
      </c>
      <c r="E79" s="804"/>
      <c r="F79" s="661">
        <f>SUM(F80:F89)</f>
        <v>937</v>
      </c>
      <c r="G79" s="661">
        <f>SUM(G80:G89)</f>
        <v>0</v>
      </c>
      <c r="H79" s="661">
        <f>SUM(H80:H89)</f>
        <v>0</v>
      </c>
      <c r="I79" s="663">
        <f t="shared" si="4"/>
        <v>937</v>
      </c>
    </row>
    <row r="80" spans="1:9" ht="12.75" hidden="1">
      <c r="A80" s="667"/>
      <c r="B80" s="667"/>
      <c r="C80" s="662" t="s">
        <v>18</v>
      </c>
      <c r="D80" s="662" t="s">
        <v>284</v>
      </c>
      <c r="E80" s="662" t="s">
        <v>285</v>
      </c>
      <c r="F80" s="668">
        <v>0</v>
      </c>
      <c r="G80" s="668">
        <v>0</v>
      </c>
      <c r="H80" s="668">
        <v>0</v>
      </c>
      <c r="I80" s="663">
        <f t="shared" si="4"/>
        <v>0</v>
      </c>
    </row>
    <row r="81" spans="1:9" ht="12.75" hidden="1">
      <c r="A81" s="667"/>
      <c r="B81" s="667"/>
      <c r="C81" s="662"/>
      <c r="D81" s="662" t="s">
        <v>286</v>
      </c>
      <c r="E81" s="662" t="s">
        <v>287</v>
      </c>
      <c r="F81" s="668">
        <v>0</v>
      </c>
      <c r="G81" s="668">
        <v>0</v>
      </c>
      <c r="H81" s="668">
        <v>0</v>
      </c>
      <c r="I81" s="663">
        <f t="shared" si="4"/>
        <v>0</v>
      </c>
    </row>
    <row r="82" spans="1:9" ht="12.75" hidden="1">
      <c r="A82" s="667"/>
      <c r="B82" s="667"/>
      <c r="C82" s="662"/>
      <c r="D82" s="662" t="s">
        <v>288</v>
      </c>
      <c r="E82" s="662" t="s">
        <v>289</v>
      </c>
      <c r="F82" s="668">
        <v>0</v>
      </c>
      <c r="G82" s="668">
        <v>0</v>
      </c>
      <c r="H82" s="668">
        <v>0</v>
      </c>
      <c r="I82" s="663">
        <f t="shared" si="4"/>
        <v>0</v>
      </c>
    </row>
    <row r="83" spans="1:9" ht="12.75" hidden="1">
      <c r="A83" s="667"/>
      <c r="B83" s="667"/>
      <c r="C83" s="662"/>
      <c r="D83" s="662" t="s">
        <v>290</v>
      </c>
      <c r="E83" s="662" t="s">
        <v>291</v>
      </c>
      <c r="F83" s="668">
        <v>0</v>
      </c>
      <c r="G83" s="668">
        <v>0</v>
      </c>
      <c r="H83" s="668">
        <v>0</v>
      </c>
      <c r="I83" s="663">
        <f t="shared" si="4"/>
        <v>0</v>
      </c>
    </row>
    <row r="84" spans="1:9" ht="12.75" hidden="1">
      <c r="A84" s="667"/>
      <c r="B84" s="667"/>
      <c r="C84" s="662"/>
      <c r="D84" s="662" t="s">
        <v>292</v>
      </c>
      <c r="E84" s="662" t="s">
        <v>293</v>
      </c>
      <c r="F84" s="668">
        <v>0</v>
      </c>
      <c r="G84" s="668">
        <v>0</v>
      </c>
      <c r="H84" s="668">
        <v>0</v>
      </c>
      <c r="I84" s="663">
        <f t="shared" si="4"/>
        <v>0</v>
      </c>
    </row>
    <row r="85" spans="1:9" ht="12.75" hidden="1">
      <c r="A85" s="667"/>
      <c r="B85" s="667"/>
      <c r="C85" s="662"/>
      <c r="D85" s="662" t="s">
        <v>294</v>
      </c>
      <c r="E85" s="662" t="s">
        <v>295</v>
      </c>
      <c r="F85" s="668">
        <v>0</v>
      </c>
      <c r="G85" s="668">
        <v>0</v>
      </c>
      <c r="H85" s="668">
        <v>0</v>
      </c>
      <c r="I85" s="663">
        <f t="shared" si="4"/>
        <v>0</v>
      </c>
    </row>
    <row r="86" spans="1:9" ht="12.75" hidden="1">
      <c r="A86" s="667"/>
      <c r="B86" s="667"/>
      <c r="C86" s="662"/>
      <c r="D86" s="662" t="s">
        <v>296</v>
      </c>
      <c r="E86" s="662" t="s">
        <v>297</v>
      </c>
      <c r="F86" s="668">
        <v>250</v>
      </c>
      <c r="G86" s="668">
        <v>0</v>
      </c>
      <c r="H86" s="668">
        <v>0</v>
      </c>
      <c r="I86" s="663">
        <f t="shared" si="4"/>
        <v>250</v>
      </c>
    </row>
    <row r="87" spans="1:9" ht="12.75" hidden="1">
      <c r="A87" s="667"/>
      <c r="B87" s="667"/>
      <c r="C87" s="662"/>
      <c r="D87" s="662" t="s">
        <v>298</v>
      </c>
      <c r="E87" s="662" t="s">
        <v>299</v>
      </c>
      <c r="F87" s="668">
        <v>687</v>
      </c>
      <c r="G87" s="668">
        <v>0</v>
      </c>
      <c r="H87" s="668">
        <v>0</v>
      </c>
      <c r="I87" s="663">
        <f t="shared" si="4"/>
        <v>687</v>
      </c>
    </row>
    <row r="88" spans="1:9" ht="12.75" hidden="1">
      <c r="A88" s="667"/>
      <c r="B88" s="667"/>
      <c r="C88" s="662"/>
      <c r="D88" s="662" t="s">
        <v>300</v>
      </c>
      <c r="E88" s="662" t="s">
        <v>301</v>
      </c>
      <c r="F88" s="668">
        <v>0</v>
      </c>
      <c r="G88" s="668">
        <v>0</v>
      </c>
      <c r="H88" s="668">
        <v>0</v>
      </c>
      <c r="I88" s="663">
        <f t="shared" si="4"/>
        <v>0</v>
      </c>
    </row>
    <row r="89" spans="1:9" ht="12.75" hidden="1">
      <c r="A89" s="667"/>
      <c r="B89" s="667"/>
      <c r="C89" s="662"/>
      <c r="D89" s="662" t="s">
        <v>302</v>
      </c>
      <c r="E89" s="662" t="s">
        <v>303</v>
      </c>
      <c r="F89" s="668">
        <v>0</v>
      </c>
      <c r="G89" s="668">
        <v>0</v>
      </c>
      <c r="H89" s="668">
        <v>0</v>
      </c>
      <c r="I89" s="663">
        <f t="shared" si="4"/>
        <v>0</v>
      </c>
    </row>
    <row r="90" spans="1:9" ht="12.75" hidden="1">
      <c r="A90" s="660"/>
      <c r="B90" s="660"/>
      <c r="C90" s="660" t="s">
        <v>308</v>
      </c>
      <c r="D90" s="803" t="s">
        <v>309</v>
      </c>
      <c r="E90" s="804"/>
      <c r="F90" s="661">
        <v>0</v>
      </c>
      <c r="G90" s="661">
        <v>0</v>
      </c>
      <c r="H90" s="661">
        <v>0</v>
      </c>
      <c r="I90" s="663">
        <f t="shared" si="4"/>
        <v>0</v>
      </c>
    </row>
    <row r="91" spans="1:9" ht="12.75" hidden="1">
      <c r="A91" s="660"/>
      <c r="B91" s="660"/>
      <c r="C91" s="660" t="s">
        <v>310</v>
      </c>
      <c r="D91" s="803" t="s">
        <v>831</v>
      </c>
      <c r="E91" s="804"/>
      <c r="F91" s="661"/>
      <c r="G91" s="661">
        <v>0</v>
      </c>
      <c r="H91" s="661">
        <v>0</v>
      </c>
      <c r="I91" s="663">
        <f t="shared" si="4"/>
        <v>0</v>
      </c>
    </row>
    <row r="92" spans="1:9" ht="12.75" hidden="1">
      <c r="A92" s="660"/>
      <c r="B92" s="660"/>
      <c r="C92" s="660" t="s">
        <v>321</v>
      </c>
      <c r="D92" s="803" t="s">
        <v>322</v>
      </c>
      <c r="E92" s="804"/>
      <c r="F92" s="661">
        <v>0</v>
      </c>
      <c r="G92" s="661">
        <v>0</v>
      </c>
      <c r="H92" s="661">
        <v>0</v>
      </c>
      <c r="I92" s="663">
        <f t="shared" si="4"/>
        <v>0</v>
      </c>
    </row>
    <row r="93" spans="1:9" ht="12.75" hidden="1">
      <c r="A93" s="660"/>
      <c r="B93" s="660"/>
      <c r="C93" s="660" t="s">
        <v>323</v>
      </c>
      <c r="D93" s="803" t="s">
        <v>324</v>
      </c>
      <c r="E93" s="804"/>
      <c r="F93" s="661">
        <v>0</v>
      </c>
      <c r="G93" s="661">
        <v>0</v>
      </c>
      <c r="H93" s="661">
        <v>0</v>
      </c>
      <c r="I93" s="663">
        <f t="shared" si="4"/>
        <v>0</v>
      </c>
    </row>
    <row r="94" spans="1:9" ht="12.75" hidden="1">
      <c r="A94" s="660"/>
      <c r="B94" s="660"/>
      <c r="C94" s="660" t="s">
        <v>325</v>
      </c>
      <c r="D94" s="803" t="s">
        <v>904</v>
      </c>
      <c r="E94" s="804"/>
      <c r="F94" s="661"/>
      <c r="G94" s="661"/>
      <c r="H94" s="661"/>
      <c r="I94" s="663">
        <f t="shared" si="4"/>
        <v>0</v>
      </c>
    </row>
    <row r="95" spans="1:9" ht="12.75">
      <c r="A95" s="660"/>
      <c r="B95" s="660"/>
      <c r="C95" s="660" t="s">
        <v>327</v>
      </c>
      <c r="D95" s="803" t="s">
        <v>326</v>
      </c>
      <c r="E95" s="804"/>
      <c r="F95" s="661">
        <f>SUM(F96:F105)</f>
        <v>290901</v>
      </c>
      <c r="G95" s="661">
        <f>SUM(G96:G105)</f>
        <v>0</v>
      </c>
      <c r="H95" s="661">
        <f>SUM(H96:H105)</f>
        <v>0</v>
      </c>
      <c r="I95" s="663">
        <f t="shared" si="4"/>
        <v>290901</v>
      </c>
    </row>
    <row r="96" spans="1:9" ht="12.75" hidden="1">
      <c r="A96" s="669"/>
      <c r="B96" s="669"/>
      <c r="C96" s="662" t="s">
        <v>18</v>
      </c>
      <c r="D96" s="662" t="s">
        <v>284</v>
      </c>
      <c r="E96" s="662" t="s">
        <v>311</v>
      </c>
      <c r="F96" s="668">
        <v>0</v>
      </c>
      <c r="G96" s="668">
        <v>0</v>
      </c>
      <c r="H96" s="668">
        <v>0</v>
      </c>
      <c r="I96" s="663">
        <f t="shared" si="4"/>
        <v>0</v>
      </c>
    </row>
    <row r="97" spans="1:9" ht="12.75" hidden="1">
      <c r="A97" s="669"/>
      <c r="B97" s="669"/>
      <c r="C97" s="662"/>
      <c r="D97" s="662" t="s">
        <v>286</v>
      </c>
      <c r="E97" s="662" t="s">
        <v>901</v>
      </c>
      <c r="F97" s="668">
        <v>0</v>
      </c>
      <c r="G97" s="668"/>
      <c r="H97" s="668"/>
      <c r="I97" s="663">
        <f t="shared" si="4"/>
        <v>0</v>
      </c>
    </row>
    <row r="98" spans="1:9" ht="12.75" hidden="1">
      <c r="A98" s="669"/>
      <c r="B98" s="669"/>
      <c r="C98" s="662"/>
      <c r="D98" s="662" t="s">
        <v>288</v>
      </c>
      <c r="E98" s="662" t="s">
        <v>312</v>
      </c>
      <c r="F98" s="668">
        <v>100</v>
      </c>
      <c r="G98" s="668">
        <v>0</v>
      </c>
      <c r="H98" s="668">
        <v>0</v>
      </c>
      <c r="I98" s="663">
        <f t="shared" si="4"/>
        <v>100</v>
      </c>
    </row>
    <row r="99" spans="1:9" ht="12.75" hidden="1">
      <c r="A99" s="669"/>
      <c r="B99" s="669"/>
      <c r="C99" s="662"/>
      <c r="D99" s="662" t="s">
        <v>290</v>
      </c>
      <c r="E99" s="662" t="s">
        <v>313</v>
      </c>
      <c r="F99" s="668">
        <v>0</v>
      </c>
      <c r="G99" s="668">
        <v>0</v>
      </c>
      <c r="H99" s="668">
        <v>0</v>
      </c>
      <c r="I99" s="663">
        <f t="shared" si="4"/>
        <v>0</v>
      </c>
    </row>
    <row r="100" spans="1:9" ht="12.75" hidden="1">
      <c r="A100" s="669"/>
      <c r="B100" s="669"/>
      <c r="C100" s="662"/>
      <c r="D100" s="662" t="s">
        <v>292</v>
      </c>
      <c r="E100" s="662" t="s">
        <v>314</v>
      </c>
      <c r="F100" s="668">
        <v>0</v>
      </c>
      <c r="G100" s="668">
        <v>0</v>
      </c>
      <c r="H100" s="668">
        <v>0</v>
      </c>
      <c r="I100" s="663">
        <f t="shared" si="4"/>
        <v>0</v>
      </c>
    </row>
    <row r="101" spans="1:9" ht="12.75" hidden="1">
      <c r="A101" s="669"/>
      <c r="B101" s="669"/>
      <c r="C101" s="662"/>
      <c r="D101" s="662" t="s">
        <v>294</v>
      </c>
      <c r="E101" s="662" t="s">
        <v>315</v>
      </c>
      <c r="F101" s="668">
        <v>0</v>
      </c>
      <c r="G101" s="668">
        <v>0</v>
      </c>
      <c r="H101" s="668">
        <v>0</v>
      </c>
      <c r="I101" s="663">
        <f t="shared" si="4"/>
        <v>0</v>
      </c>
    </row>
    <row r="102" spans="1:9" ht="12.75" hidden="1">
      <c r="A102" s="667"/>
      <c r="B102" s="667"/>
      <c r="C102" s="662"/>
      <c r="D102" s="662" t="s">
        <v>296</v>
      </c>
      <c r="E102" s="662" t="s">
        <v>316</v>
      </c>
      <c r="F102" s="668">
        <f>317136-105701-6000-2200-2380-5400+1563-500-405-500-2870-1200-9441+3820+1272+1666+1552-4</f>
        <v>190408</v>
      </c>
      <c r="G102" s="668">
        <v>0</v>
      </c>
      <c r="H102" s="668">
        <v>0</v>
      </c>
      <c r="I102" s="663">
        <f t="shared" si="4"/>
        <v>190408</v>
      </c>
    </row>
    <row r="103" spans="1:9" ht="12.75" hidden="1">
      <c r="A103" s="667"/>
      <c r="B103" s="667"/>
      <c r="C103" s="662"/>
      <c r="D103" s="662" t="s">
        <v>298</v>
      </c>
      <c r="E103" s="662" t="s">
        <v>317</v>
      </c>
      <c r="F103" s="668">
        <v>100393</v>
      </c>
      <c r="G103" s="668">
        <v>0</v>
      </c>
      <c r="H103" s="668">
        <v>0</v>
      </c>
      <c r="I103" s="663">
        <f t="shared" si="4"/>
        <v>100393</v>
      </c>
    </row>
    <row r="104" spans="1:9" ht="12.75" hidden="1">
      <c r="A104" s="669"/>
      <c r="B104" s="669"/>
      <c r="C104" s="662"/>
      <c r="D104" s="662" t="s">
        <v>300</v>
      </c>
      <c r="E104" s="662" t="s">
        <v>319</v>
      </c>
      <c r="F104" s="668">
        <v>0</v>
      </c>
      <c r="G104" s="668">
        <v>0</v>
      </c>
      <c r="H104" s="668">
        <v>0</v>
      </c>
      <c r="I104" s="663">
        <f t="shared" si="4"/>
        <v>0</v>
      </c>
    </row>
    <row r="105" spans="1:9" ht="12.75" hidden="1">
      <c r="A105" s="669"/>
      <c r="B105" s="669"/>
      <c r="C105" s="662"/>
      <c r="D105" s="662" t="s">
        <v>302</v>
      </c>
      <c r="E105" s="662" t="s">
        <v>320</v>
      </c>
      <c r="F105" s="668">
        <v>0</v>
      </c>
      <c r="G105" s="668">
        <v>0</v>
      </c>
      <c r="H105" s="668">
        <v>0</v>
      </c>
      <c r="I105" s="663">
        <f t="shared" si="4"/>
        <v>0</v>
      </c>
    </row>
    <row r="106" spans="1:9" ht="12.75">
      <c r="A106" s="669"/>
      <c r="B106" s="698"/>
      <c r="C106" s="660" t="s">
        <v>905</v>
      </c>
      <c r="D106" s="803" t="s">
        <v>328</v>
      </c>
      <c r="E106" s="804"/>
      <c r="F106" s="661">
        <f>SUM(F107:F113)</f>
        <v>46769</v>
      </c>
      <c r="G106" s="661">
        <f>SUM(G107:G113)</f>
        <v>0</v>
      </c>
      <c r="H106" s="661">
        <f>SUM(H107:H113)</f>
        <v>0</v>
      </c>
      <c r="I106" s="663">
        <f t="shared" si="4"/>
        <v>46769</v>
      </c>
    </row>
    <row r="107" spans="1:9" ht="12.75">
      <c r="A107" s="667"/>
      <c r="B107" s="667"/>
      <c r="C107" s="780" t="s">
        <v>18</v>
      </c>
      <c r="D107" s="670"/>
      <c r="E107" s="671" t="s">
        <v>662</v>
      </c>
      <c r="F107" s="668">
        <v>1000</v>
      </c>
      <c r="G107" s="668">
        <v>0</v>
      </c>
      <c r="H107" s="668">
        <v>0</v>
      </c>
      <c r="I107" s="663">
        <f t="shared" si="4"/>
        <v>1000</v>
      </c>
    </row>
    <row r="108" spans="1:9" ht="12.75">
      <c r="A108" s="667"/>
      <c r="B108" s="667"/>
      <c r="C108" s="662"/>
      <c r="D108" s="670"/>
      <c r="E108" s="671" t="s">
        <v>329</v>
      </c>
      <c r="F108" s="668">
        <v>200</v>
      </c>
      <c r="G108" s="668">
        <v>0</v>
      </c>
      <c r="H108" s="668">
        <v>0</v>
      </c>
      <c r="I108" s="663">
        <f t="shared" si="4"/>
        <v>200</v>
      </c>
    </row>
    <row r="109" spans="1:9" ht="12.75">
      <c r="A109" s="667"/>
      <c r="B109" s="667"/>
      <c r="C109" s="662"/>
      <c r="D109" s="670"/>
      <c r="E109" s="671" t="s">
        <v>959</v>
      </c>
      <c r="F109" s="668">
        <v>0</v>
      </c>
      <c r="G109" s="668">
        <v>0</v>
      </c>
      <c r="H109" s="668">
        <v>0</v>
      </c>
      <c r="I109" s="663">
        <f t="shared" si="4"/>
        <v>0</v>
      </c>
    </row>
    <row r="110" spans="1:9" ht="12.75">
      <c r="A110" s="667"/>
      <c r="B110" s="667"/>
      <c r="C110" s="662"/>
      <c r="D110" s="670"/>
      <c r="E110" s="671" t="s">
        <v>704</v>
      </c>
      <c r="F110" s="668">
        <v>1000</v>
      </c>
      <c r="G110" s="668">
        <v>0</v>
      </c>
      <c r="H110" s="668">
        <v>0</v>
      </c>
      <c r="I110" s="663">
        <f t="shared" si="4"/>
        <v>1000</v>
      </c>
    </row>
    <row r="111" spans="1:9" s="291" customFormat="1" ht="12.75">
      <c r="A111" s="667"/>
      <c r="B111" s="667"/>
      <c r="C111" s="662"/>
      <c r="D111" s="670"/>
      <c r="E111" s="671" t="s">
        <v>960</v>
      </c>
      <c r="F111" s="668">
        <v>3700</v>
      </c>
      <c r="G111" s="668">
        <v>0</v>
      </c>
      <c r="H111" s="668">
        <v>0</v>
      </c>
      <c r="I111" s="663">
        <f t="shared" si="4"/>
        <v>3700</v>
      </c>
    </row>
    <row r="112" spans="1:9" ht="12.75">
      <c r="A112" s="667"/>
      <c r="B112" s="667"/>
      <c r="C112" s="662"/>
      <c r="D112" s="670"/>
      <c r="E112" s="671" t="s">
        <v>847</v>
      </c>
      <c r="F112" s="668">
        <v>40540</v>
      </c>
      <c r="G112" s="668">
        <v>0</v>
      </c>
      <c r="H112" s="668">
        <v>0</v>
      </c>
      <c r="I112" s="663">
        <f t="shared" si="4"/>
        <v>40540</v>
      </c>
    </row>
    <row r="113" spans="1:9" ht="12.75">
      <c r="A113" s="667"/>
      <c r="B113" s="667"/>
      <c r="C113" s="662"/>
      <c r="D113" s="670"/>
      <c r="E113" s="671" t="s">
        <v>330</v>
      </c>
      <c r="F113" s="668">
        <v>329</v>
      </c>
      <c r="G113" s="668">
        <v>0</v>
      </c>
      <c r="H113" s="668">
        <v>0</v>
      </c>
      <c r="I113" s="663">
        <f t="shared" si="4"/>
        <v>329</v>
      </c>
    </row>
    <row r="114" spans="1:9" ht="12" customHeight="1">
      <c r="A114" s="649" t="s">
        <v>251</v>
      </c>
      <c r="B114" s="800" t="s">
        <v>583</v>
      </c>
      <c r="C114" s="801"/>
      <c r="D114" s="801"/>
      <c r="E114" s="802"/>
      <c r="F114" s="650">
        <f>SUM(F115:F121)</f>
        <v>20361</v>
      </c>
      <c r="G114" s="650">
        <f>SUM(G115:G121)</f>
        <v>1279</v>
      </c>
      <c r="H114" s="650">
        <v>2430</v>
      </c>
      <c r="I114" s="650">
        <f>SUM(F114:H114)</f>
        <v>24070</v>
      </c>
    </row>
    <row r="115" spans="1:9" ht="12.75" hidden="1">
      <c r="A115" s="651"/>
      <c r="B115" s="651" t="s">
        <v>331</v>
      </c>
      <c r="C115" s="797" t="s">
        <v>332</v>
      </c>
      <c r="D115" s="797"/>
      <c r="E115" s="797"/>
      <c r="F115" s="652">
        <f>8189-8189</f>
        <v>0</v>
      </c>
      <c r="G115" s="652">
        <v>0</v>
      </c>
      <c r="H115" s="652">
        <v>0</v>
      </c>
      <c r="I115" s="653">
        <f>SUM(F115:H115)</f>
        <v>0</v>
      </c>
    </row>
    <row r="116" spans="1:9" ht="12.75" hidden="1">
      <c r="A116" s="651"/>
      <c r="B116" s="651" t="s">
        <v>333</v>
      </c>
      <c r="C116" s="797" t="s">
        <v>334</v>
      </c>
      <c r="D116" s="797"/>
      <c r="E116" s="797"/>
      <c r="F116" s="652">
        <f>15837-2362</f>
        <v>13475</v>
      </c>
      <c r="G116" s="652">
        <v>0</v>
      </c>
      <c r="H116" s="652">
        <v>0</v>
      </c>
      <c r="I116" s="653">
        <f aca="true" t="shared" si="5" ref="I116:I121">SUM(F116:H116)</f>
        <v>13475</v>
      </c>
    </row>
    <row r="117" spans="1:9" ht="12.75" hidden="1">
      <c r="A117" s="651" t="s">
        <v>335</v>
      </c>
      <c r="B117" s="651" t="s">
        <v>336</v>
      </c>
      <c r="C117" s="797" t="s">
        <v>337</v>
      </c>
      <c r="D117" s="797"/>
      <c r="E117" s="797"/>
      <c r="F117" s="652">
        <v>85</v>
      </c>
      <c r="G117" s="652">
        <v>0</v>
      </c>
      <c r="H117" s="652">
        <v>0</v>
      </c>
      <c r="I117" s="653">
        <f t="shared" si="5"/>
        <v>85</v>
      </c>
    </row>
    <row r="118" spans="1:9" ht="12.75" hidden="1">
      <c r="A118" s="651"/>
      <c r="B118" s="651" t="s">
        <v>338</v>
      </c>
      <c r="C118" s="797" t="s">
        <v>339</v>
      </c>
      <c r="D118" s="797"/>
      <c r="E118" s="797"/>
      <c r="F118" s="652">
        <f>2733-262</f>
        <v>2471</v>
      </c>
      <c r="G118" s="652">
        <v>1007</v>
      </c>
      <c r="H118" s="652"/>
      <c r="I118" s="653">
        <f t="shared" si="5"/>
        <v>3478</v>
      </c>
    </row>
    <row r="119" spans="1:9" s="291" customFormat="1" ht="12.75" hidden="1">
      <c r="A119" s="651"/>
      <c r="B119" s="651" t="s">
        <v>340</v>
      </c>
      <c r="C119" s="797" t="s">
        <v>341</v>
      </c>
      <c r="D119" s="797"/>
      <c r="E119" s="797"/>
      <c r="F119" s="652">
        <v>0</v>
      </c>
      <c r="G119" s="652">
        <v>0</v>
      </c>
      <c r="H119" s="652">
        <v>0</v>
      </c>
      <c r="I119" s="653">
        <f t="shared" si="5"/>
        <v>0</v>
      </c>
    </row>
    <row r="120" spans="1:9" ht="12.75" hidden="1">
      <c r="A120" s="651"/>
      <c r="B120" s="651" t="s">
        <v>342</v>
      </c>
      <c r="C120" s="797" t="s">
        <v>343</v>
      </c>
      <c r="D120" s="797"/>
      <c r="E120" s="797"/>
      <c r="F120" s="652">
        <v>0</v>
      </c>
      <c r="G120" s="652">
        <v>0</v>
      </c>
      <c r="H120" s="652">
        <v>0</v>
      </c>
      <c r="I120" s="653">
        <f t="shared" si="5"/>
        <v>0</v>
      </c>
    </row>
    <row r="121" spans="1:9" ht="12.75" hidden="1">
      <c r="A121" s="651"/>
      <c r="B121" s="651" t="s">
        <v>344</v>
      </c>
      <c r="C121" s="797" t="s">
        <v>345</v>
      </c>
      <c r="D121" s="797"/>
      <c r="E121" s="797"/>
      <c r="F121" s="652">
        <f>7250-709-2211</f>
        <v>4330</v>
      </c>
      <c r="G121" s="652">
        <v>272</v>
      </c>
      <c r="H121" s="652"/>
      <c r="I121" s="653">
        <f t="shared" si="5"/>
        <v>4602</v>
      </c>
    </row>
    <row r="122" spans="1:9" ht="12.75">
      <c r="A122" s="649" t="s">
        <v>253</v>
      </c>
      <c r="B122" s="800" t="s">
        <v>252</v>
      </c>
      <c r="C122" s="801"/>
      <c r="D122" s="801"/>
      <c r="E122" s="802"/>
      <c r="F122" s="650">
        <f>SUM(F123:F126)</f>
        <v>300</v>
      </c>
      <c r="G122" s="650">
        <f>SUM(G123:G126)</f>
        <v>0</v>
      </c>
      <c r="H122" s="650">
        <v>952</v>
      </c>
      <c r="I122" s="650">
        <f aca="true" t="shared" si="6" ref="I122:I128">SUM(F122:H122)</f>
        <v>1252</v>
      </c>
    </row>
    <row r="123" spans="1:9" ht="12.75" hidden="1">
      <c r="A123" s="651"/>
      <c r="B123" s="651" t="s">
        <v>346</v>
      </c>
      <c r="C123" s="797" t="s">
        <v>347</v>
      </c>
      <c r="D123" s="797"/>
      <c r="E123" s="797"/>
      <c r="F123" s="652">
        <v>236</v>
      </c>
      <c r="G123" s="652">
        <v>0</v>
      </c>
      <c r="H123" s="652">
        <v>0</v>
      </c>
      <c r="I123" s="653">
        <f t="shared" si="6"/>
        <v>236</v>
      </c>
    </row>
    <row r="124" spans="1:9" s="291" customFormat="1" ht="12.75" hidden="1">
      <c r="A124" s="651"/>
      <c r="B124" s="651" t="s">
        <v>348</v>
      </c>
      <c r="C124" s="797" t="s">
        <v>349</v>
      </c>
      <c r="D124" s="797"/>
      <c r="E124" s="797"/>
      <c r="F124" s="652">
        <v>0</v>
      </c>
      <c r="G124" s="652">
        <v>0</v>
      </c>
      <c r="H124" s="652">
        <v>0</v>
      </c>
      <c r="I124" s="653">
        <f t="shared" si="6"/>
        <v>0</v>
      </c>
    </row>
    <row r="125" spans="1:9" ht="12.75" hidden="1">
      <c r="A125" s="651" t="s">
        <v>335</v>
      </c>
      <c r="B125" s="651" t="s">
        <v>350</v>
      </c>
      <c r="C125" s="797" t="s">
        <v>351</v>
      </c>
      <c r="D125" s="797"/>
      <c r="E125" s="797"/>
      <c r="F125" s="652">
        <v>0</v>
      </c>
      <c r="G125" s="652">
        <v>0</v>
      </c>
      <c r="H125" s="652">
        <v>0</v>
      </c>
      <c r="I125" s="653">
        <f t="shared" si="6"/>
        <v>0</v>
      </c>
    </row>
    <row r="126" spans="1:9" ht="12.75" hidden="1">
      <c r="A126" s="651"/>
      <c r="B126" s="651" t="s">
        <v>352</v>
      </c>
      <c r="C126" s="797" t="s">
        <v>353</v>
      </c>
      <c r="D126" s="797"/>
      <c r="E126" s="797"/>
      <c r="F126" s="652">
        <v>64</v>
      </c>
      <c r="G126" s="652">
        <v>0</v>
      </c>
      <c r="H126" s="652">
        <v>0</v>
      </c>
      <c r="I126" s="653">
        <f t="shared" si="6"/>
        <v>64</v>
      </c>
    </row>
    <row r="127" spans="1:9" ht="12.75">
      <c r="A127" s="649" t="s">
        <v>255</v>
      </c>
      <c r="B127" s="800" t="s">
        <v>254</v>
      </c>
      <c r="C127" s="801"/>
      <c r="D127" s="801"/>
      <c r="E127" s="802"/>
      <c r="F127" s="650">
        <f>SUM(F128:F136)</f>
        <v>398</v>
      </c>
      <c r="G127" s="650">
        <f>SUM(G128:G136)</f>
        <v>0</v>
      </c>
      <c r="H127" s="650">
        <f>SUM(H128:H136)</f>
        <v>0</v>
      </c>
      <c r="I127" s="650">
        <f t="shared" si="6"/>
        <v>398</v>
      </c>
    </row>
    <row r="128" spans="1:9" ht="12.75" hidden="1">
      <c r="A128" s="651"/>
      <c r="B128" s="651" t="s">
        <v>354</v>
      </c>
      <c r="C128" s="797" t="s">
        <v>355</v>
      </c>
      <c r="D128" s="797"/>
      <c r="E128" s="797"/>
      <c r="F128" s="652">
        <v>0</v>
      </c>
      <c r="G128" s="652">
        <v>0</v>
      </c>
      <c r="H128" s="652">
        <v>0</v>
      </c>
      <c r="I128" s="653">
        <f t="shared" si="6"/>
        <v>0</v>
      </c>
    </row>
    <row r="129" spans="1:9" ht="12.75" hidden="1">
      <c r="A129" s="651"/>
      <c r="B129" s="651" t="s">
        <v>356</v>
      </c>
      <c r="C129" s="797" t="s">
        <v>357</v>
      </c>
      <c r="D129" s="797"/>
      <c r="E129" s="797"/>
      <c r="F129" s="652">
        <v>0</v>
      </c>
      <c r="G129" s="652">
        <v>0</v>
      </c>
      <c r="H129" s="652">
        <v>0</v>
      </c>
      <c r="I129" s="653">
        <f aca="true" t="shared" si="7" ref="I129:I150">SUM(F129:H129)</f>
        <v>0</v>
      </c>
    </row>
    <row r="130" spans="1:9" ht="12.75" hidden="1">
      <c r="A130" s="651" t="s">
        <v>335</v>
      </c>
      <c r="B130" s="651" t="s">
        <v>358</v>
      </c>
      <c r="C130" s="797" t="s">
        <v>359</v>
      </c>
      <c r="D130" s="797"/>
      <c r="E130" s="797"/>
      <c r="F130" s="652">
        <v>0</v>
      </c>
      <c r="G130" s="652">
        <v>0</v>
      </c>
      <c r="H130" s="652">
        <v>0</v>
      </c>
      <c r="I130" s="653">
        <f t="shared" si="7"/>
        <v>0</v>
      </c>
    </row>
    <row r="131" spans="1:9" ht="12.75" hidden="1">
      <c r="A131" s="651"/>
      <c r="B131" s="651" t="s">
        <v>360</v>
      </c>
      <c r="C131" s="797" t="s">
        <v>361</v>
      </c>
      <c r="D131" s="797"/>
      <c r="E131" s="797"/>
      <c r="F131" s="652">
        <v>0</v>
      </c>
      <c r="G131" s="652">
        <v>0</v>
      </c>
      <c r="H131" s="652">
        <v>0</v>
      </c>
      <c r="I131" s="653">
        <f t="shared" si="7"/>
        <v>0</v>
      </c>
    </row>
    <row r="132" spans="1:9" ht="12.75" hidden="1">
      <c r="A132" s="651"/>
      <c r="B132" s="651" t="s">
        <v>362</v>
      </c>
      <c r="C132" s="797" t="s">
        <v>363</v>
      </c>
      <c r="D132" s="797"/>
      <c r="E132" s="797"/>
      <c r="F132" s="652">
        <v>0</v>
      </c>
      <c r="G132" s="652">
        <v>0</v>
      </c>
      <c r="H132" s="652">
        <v>0</v>
      </c>
      <c r="I132" s="653">
        <f t="shared" si="7"/>
        <v>0</v>
      </c>
    </row>
    <row r="133" spans="1:9" ht="12.75" hidden="1">
      <c r="A133" s="651"/>
      <c r="B133" s="651" t="s">
        <v>364</v>
      </c>
      <c r="C133" s="797" t="s">
        <v>365</v>
      </c>
      <c r="D133" s="797"/>
      <c r="E133" s="797"/>
      <c r="F133" s="652">
        <v>0</v>
      </c>
      <c r="G133" s="652">
        <v>0</v>
      </c>
      <c r="H133" s="652">
        <v>0</v>
      </c>
      <c r="I133" s="653">
        <f t="shared" si="7"/>
        <v>0</v>
      </c>
    </row>
    <row r="134" spans="1:9" ht="12.75" hidden="1">
      <c r="A134" s="651"/>
      <c r="B134" s="651" t="s">
        <v>366</v>
      </c>
      <c r="C134" s="797" t="s">
        <v>367</v>
      </c>
      <c r="D134" s="797"/>
      <c r="E134" s="797"/>
      <c r="F134" s="652">
        <v>0</v>
      </c>
      <c r="G134" s="652">
        <v>0</v>
      </c>
      <c r="H134" s="652">
        <v>0</v>
      </c>
      <c r="I134" s="653">
        <f t="shared" si="7"/>
        <v>0</v>
      </c>
    </row>
    <row r="135" spans="1:9" ht="12.75" hidden="1">
      <c r="A135" s="651"/>
      <c r="B135" s="651" t="s">
        <v>368</v>
      </c>
      <c r="C135" s="797" t="s">
        <v>907</v>
      </c>
      <c r="D135" s="797"/>
      <c r="E135" s="797"/>
      <c r="F135" s="652">
        <v>0</v>
      </c>
      <c r="G135" s="652">
        <v>0</v>
      </c>
      <c r="H135" s="652">
        <v>0</v>
      </c>
      <c r="I135" s="653">
        <f>SUM(F135:H135)</f>
        <v>0</v>
      </c>
    </row>
    <row r="136" spans="1:9" ht="12.75" hidden="1">
      <c r="A136" s="651"/>
      <c r="B136" s="651" t="s">
        <v>906</v>
      </c>
      <c r="C136" s="797" t="s">
        <v>369</v>
      </c>
      <c r="D136" s="797"/>
      <c r="E136" s="797"/>
      <c r="F136" s="652">
        <f>SUM(F137:F146)</f>
        <v>398</v>
      </c>
      <c r="G136" s="652">
        <f>SUM(G137:G146)</f>
        <v>0</v>
      </c>
      <c r="H136" s="652">
        <f>SUM(H137:H146)</f>
        <v>0</v>
      </c>
      <c r="I136" s="653">
        <f t="shared" si="7"/>
        <v>398</v>
      </c>
    </row>
    <row r="137" spans="1:9" ht="12.75" hidden="1">
      <c r="A137" s="669"/>
      <c r="B137" s="669"/>
      <c r="C137" s="662" t="s">
        <v>18</v>
      </c>
      <c r="D137" s="662" t="s">
        <v>284</v>
      </c>
      <c r="E137" s="662" t="s">
        <v>311</v>
      </c>
      <c r="F137" s="668">
        <v>0</v>
      </c>
      <c r="G137" s="668">
        <v>0</v>
      </c>
      <c r="H137" s="668">
        <v>0</v>
      </c>
      <c r="I137" s="653">
        <f t="shared" si="7"/>
        <v>0</v>
      </c>
    </row>
    <row r="138" spans="1:9" ht="12.75" hidden="1">
      <c r="A138" s="669"/>
      <c r="B138" s="669"/>
      <c r="C138" s="662"/>
      <c r="D138" s="662" t="s">
        <v>286</v>
      </c>
      <c r="E138" s="662" t="s">
        <v>901</v>
      </c>
      <c r="F138" s="668">
        <v>398</v>
      </c>
      <c r="G138" s="668"/>
      <c r="H138" s="668"/>
      <c r="I138" s="653">
        <f t="shared" si="7"/>
        <v>398</v>
      </c>
    </row>
    <row r="139" spans="1:9" ht="12.75" hidden="1">
      <c r="A139" s="669"/>
      <c r="B139" s="669"/>
      <c r="C139" s="662"/>
      <c r="D139" s="662" t="s">
        <v>288</v>
      </c>
      <c r="E139" s="662" t="s">
        <v>312</v>
      </c>
      <c r="F139" s="668"/>
      <c r="G139" s="668">
        <v>0</v>
      </c>
      <c r="H139" s="668">
        <v>0</v>
      </c>
      <c r="I139" s="653">
        <f t="shared" si="7"/>
        <v>0</v>
      </c>
    </row>
    <row r="140" spans="1:9" ht="12.75" hidden="1">
      <c r="A140" s="669"/>
      <c r="B140" s="669"/>
      <c r="C140" s="662"/>
      <c r="D140" s="662" t="s">
        <v>290</v>
      </c>
      <c r="E140" s="662" t="s">
        <v>313</v>
      </c>
      <c r="F140" s="668">
        <v>0</v>
      </c>
      <c r="G140" s="668">
        <v>0</v>
      </c>
      <c r="H140" s="668">
        <v>0</v>
      </c>
      <c r="I140" s="653">
        <f t="shared" si="7"/>
        <v>0</v>
      </c>
    </row>
    <row r="141" spans="1:9" ht="12.75" hidden="1">
      <c r="A141" s="669"/>
      <c r="B141" s="669"/>
      <c r="C141" s="662"/>
      <c r="D141" s="662" t="s">
        <v>292</v>
      </c>
      <c r="E141" s="662" t="s">
        <v>314</v>
      </c>
      <c r="F141" s="668">
        <v>0</v>
      </c>
      <c r="G141" s="668">
        <v>0</v>
      </c>
      <c r="H141" s="668">
        <v>0</v>
      </c>
      <c r="I141" s="653">
        <f t="shared" si="7"/>
        <v>0</v>
      </c>
    </row>
    <row r="142" spans="1:9" ht="12.75" hidden="1">
      <c r="A142" s="669"/>
      <c r="B142" s="669"/>
      <c r="C142" s="662"/>
      <c r="D142" s="662" t="s">
        <v>294</v>
      </c>
      <c r="E142" s="662" t="s">
        <v>315</v>
      </c>
      <c r="F142" s="668">
        <v>0</v>
      </c>
      <c r="G142" s="668">
        <v>0</v>
      </c>
      <c r="H142" s="668">
        <v>0</v>
      </c>
      <c r="I142" s="653">
        <f t="shared" si="7"/>
        <v>0</v>
      </c>
    </row>
    <row r="143" spans="1:9" ht="12.75" hidden="1">
      <c r="A143" s="669"/>
      <c r="B143" s="669"/>
      <c r="C143" s="662"/>
      <c r="D143" s="662" t="s">
        <v>296</v>
      </c>
      <c r="E143" s="662" t="s">
        <v>316</v>
      </c>
      <c r="F143" s="668">
        <v>0</v>
      </c>
      <c r="G143" s="668">
        <v>0</v>
      </c>
      <c r="H143" s="668">
        <v>0</v>
      </c>
      <c r="I143" s="653">
        <f t="shared" si="7"/>
        <v>0</v>
      </c>
    </row>
    <row r="144" spans="1:9" ht="12.75" hidden="1">
      <c r="A144" s="669"/>
      <c r="B144" s="669"/>
      <c r="C144" s="662"/>
      <c r="D144" s="662" t="s">
        <v>298</v>
      </c>
      <c r="E144" s="662" t="s">
        <v>317</v>
      </c>
      <c r="F144" s="668">
        <v>0</v>
      </c>
      <c r="G144" s="668">
        <v>0</v>
      </c>
      <c r="H144" s="668">
        <v>0</v>
      </c>
      <c r="I144" s="653">
        <f t="shared" si="7"/>
        <v>0</v>
      </c>
    </row>
    <row r="145" spans="1:9" s="291" customFormat="1" ht="12.75" hidden="1">
      <c r="A145" s="669"/>
      <c r="B145" s="669"/>
      <c r="C145" s="662"/>
      <c r="D145" s="662" t="s">
        <v>300</v>
      </c>
      <c r="E145" s="662" t="s">
        <v>319</v>
      </c>
      <c r="F145" s="668">
        <v>0</v>
      </c>
      <c r="G145" s="668">
        <v>0</v>
      </c>
      <c r="H145" s="668">
        <v>0</v>
      </c>
      <c r="I145" s="653">
        <f t="shared" si="7"/>
        <v>0</v>
      </c>
    </row>
    <row r="146" spans="1:9" ht="12.75" hidden="1">
      <c r="A146" s="669"/>
      <c r="B146" s="669"/>
      <c r="C146" s="662"/>
      <c r="D146" s="662" t="s">
        <v>302</v>
      </c>
      <c r="E146" s="662" t="s">
        <v>320</v>
      </c>
      <c r="F146" s="668"/>
      <c r="G146" s="668">
        <v>0</v>
      </c>
      <c r="H146" s="668">
        <v>0</v>
      </c>
      <c r="I146" s="653">
        <f t="shared" si="7"/>
        <v>0</v>
      </c>
    </row>
    <row r="147" spans="1:9" ht="12.75">
      <c r="A147" s="649" t="s">
        <v>257</v>
      </c>
      <c r="B147" s="800" t="s">
        <v>256</v>
      </c>
      <c r="C147" s="801"/>
      <c r="D147" s="801"/>
      <c r="E147" s="802"/>
      <c r="F147" s="650">
        <f>SUM(F148:F150)</f>
        <v>0</v>
      </c>
      <c r="G147" s="650">
        <f>SUM(G148:G150)</f>
        <v>0</v>
      </c>
      <c r="H147" s="650">
        <f>SUM(H148:H150)</f>
        <v>0</v>
      </c>
      <c r="I147" s="650">
        <f>SUM(F147:H147)</f>
        <v>0</v>
      </c>
    </row>
    <row r="148" spans="1:9" ht="12.75" hidden="1">
      <c r="A148" s="651"/>
      <c r="B148" s="651" t="s">
        <v>370</v>
      </c>
      <c r="C148" s="797" t="s">
        <v>371</v>
      </c>
      <c r="D148" s="797"/>
      <c r="E148" s="797"/>
      <c r="F148" s="652">
        <v>0</v>
      </c>
      <c r="G148" s="652">
        <v>0</v>
      </c>
      <c r="H148" s="652">
        <v>0</v>
      </c>
      <c r="I148" s="653">
        <f t="shared" si="7"/>
        <v>0</v>
      </c>
    </row>
    <row r="149" spans="1:9" s="293" customFormat="1" ht="15" hidden="1">
      <c r="A149" s="651"/>
      <c r="B149" s="651" t="s">
        <v>372</v>
      </c>
      <c r="C149" s="797" t="s">
        <v>373</v>
      </c>
      <c r="D149" s="797"/>
      <c r="E149" s="797"/>
      <c r="F149" s="652">
        <v>0</v>
      </c>
      <c r="G149" s="652">
        <v>0</v>
      </c>
      <c r="H149" s="652">
        <v>0</v>
      </c>
      <c r="I149" s="653">
        <f t="shared" si="7"/>
        <v>0</v>
      </c>
    </row>
    <row r="150" spans="1:9" ht="12.75" hidden="1">
      <c r="A150" s="651"/>
      <c r="B150" s="651" t="s">
        <v>374</v>
      </c>
      <c r="C150" s="797" t="s">
        <v>375</v>
      </c>
      <c r="D150" s="797"/>
      <c r="E150" s="797"/>
      <c r="F150" s="652">
        <v>0</v>
      </c>
      <c r="G150" s="652">
        <v>0</v>
      </c>
      <c r="H150" s="652">
        <v>0</v>
      </c>
      <c r="I150" s="653">
        <f t="shared" si="7"/>
        <v>0</v>
      </c>
    </row>
    <row r="151" spans="1:9" ht="12.75">
      <c r="A151" s="672"/>
      <c r="B151" s="673"/>
      <c r="C151" s="673"/>
      <c r="D151" s="673"/>
      <c r="E151" s="673"/>
      <c r="F151" s="686"/>
      <c r="G151" s="687"/>
      <c r="H151" s="687"/>
      <c r="I151" s="688"/>
    </row>
    <row r="152" spans="1:9" ht="15.75">
      <c r="A152" s="820" t="s">
        <v>376</v>
      </c>
      <c r="B152" s="821"/>
      <c r="C152" s="821"/>
      <c r="D152" s="821"/>
      <c r="E152" s="822"/>
      <c r="F152" s="674">
        <f>SUM(F7+F22+F28+F56+F73+F114+F122+F127+F147)</f>
        <v>772177</v>
      </c>
      <c r="G152" s="674">
        <f>SUM(G7+G22+G28+G56+G73+G114+G122+G127+G147)</f>
        <v>129654</v>
      </c>
      <c r="H152" s="674">
        <f>SUM(H7+H22+H28+H56+H73+H114+H122+H127+H147)</f>
        <v>253984</v>
      </c>
      <c r="I152" s="674">
        <f>SUM(I7+I22+I28+I56+I73+I114+I122+I127+I147)</f>
        <v>1155815</v>
      </c>
    </row>
  </sheetData>
  <sheetProtection/>
  <mergeCells count="72">
    <mergeCell ref="C150:E150"/>
    <mergeCell ref="A152:E152"/>
    <mergeCell ref="C124:E124"/>
    <mergeCell ref="B127:E127"/>
    <mergeCell ref="C133:E133"/>
    <mergeCell ref="C134:E134"/>
    <mergeCell ref="C126:E126"/>
    <mergeCell ref="C128:E128"/>
    <mergeCell ref="C129:E129"/>
    <mergeCell ref="B147:E147"/>
    <mergeCell ref="C116:E116"/>
    <mergeCell ref="C148:E148"/>
    <mergeCell ref="C149:E149"/>
    <mergeCell ref="D94:E94"/>
    <mergeCell ref="C135:E135"/>
    <mergeCell ref="C131:E131"/>
    <mergeCell ref="C132:E132"/>
    <mergeCell ref="C136:E136"/>
    <mergeCell ref="D95:E95"/>
    <mergeCell ref="C123:E123"/>
    <mergeCell ref="B22:E22"/>
    <mergeCell ref="D106:E106"/>
    <mergeCell ref="B114:E114"/>
    <mergeCell ref="C119:E119"/>
    <mergeCell ref="D90:E90"/>
    <mergeCell ref="D91:E91"/>
    <mergeCell ref="D92:E92"/>
    <mergeCell ref="D93:E93"/>
    <mergeCell ref="C117:E117"/>
    <mergeCell ref="C49:E49"/>
    <mergeCell ref="A5:E5"/>
    <mergeCell ref="B7:E7"/>
    <mergeCell ref="C8:E8"/>
    <mergeCell ref="C18:E18"/>
    <mergeCell ref="B6:E6"/>
    <mergeCell ref="D20:E20"/>
    <mergeCell ref="D21:E21"/>
    <mergeCell ref="B28:E28"/>
    <mergeCell ref="C29:E29"/>
    <mergeCell ref="C32:E32"/>
    <mergeCell ref="D59:E59"/>
    <mergeCell ref="D60:E60"/>
    <mergeCell ref="C52:E52"/>
    <mergeCell ref="B56:E56"/>
    <mergeCell ref="C58:E58"/>
    <mergeCell ref="C57:E57"/>
    <mergeCell ref="C35:E35"/>
    <mergeCell ref="D64:E64"/>
    <mergeCell ref="D66:E66"/>
    <mergeCell ref="C61:E61"/>
    <mergeCell ref="C67:E67"/>
    <mergeCell ref="D78:E78"/>
    <mergeCell ref="D68:E68"/>
    <mergeCell ref="C62:E62"/>
    <mergeCell ref="D76:E76"/>
    <mergeCell ref="D77:E77"/>
    <mergeCell ref="C70:E70"/>
    <mergeCell ref="D71:E71"/>
    <mergeCell ref="D72:E72"/>
    <mergeCell ref="B73:E73"/>
    <mergeCell ref="C69:E69"/>
    <mergeCell ref="D63:E63"/>
    <mergeCell ref="C125:E125"/>
    <mergeCell ref="C115:E115"/>
    <mergeCell ref="A1:I1"/>
    <mergeCell ref="C130:E130"/>
    <mergeCell ref="C121:E121"/>
    <mergeCell ref="B122:E122"/>
    <mergeCell ref="C118:E118"/>
    <mergeCell ref="C120:E120"/>
    <mergeCell ref="D79:E79"/>
    <mergeCell ref="A3:I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J58"/>
  <sheetViews>
    <sheetView zoomScalePageLayoutView="0" workbookViewId="0" topLeftCell="A1">
      <selection activeCell="B2" sqref="B2:I2"/>
    </sheetView>
  </sheetViews>
  <sheetFormatPr defaultColWidth="9.00390625" defaultRowHeight="12.75"/>
  <cols>
    <col min="1" max="1" width="4.125" style="145" bestFit="1" customWidth="1"/>
    <col min="2" max="2" width="55.125" style="76" bestFit="1" customWidth="1"/>
    <col min="3" max="5" width="9.00390625" style="76" customWidth="1"/>
    <col min="6" max="6" width="53.875" style="76" bestFit="1" customWidth="1"/>
    <col min="7" max="7" width="9.00390625" style="76" customWidth="1"/>
    <col min="8" max="9" width="10.125" style="76" bestFit="1" customWidth="1"/>
    <col min="10" max="16384" width="9.125" style="76" customWidth="1"/>
  </cols>
  <sheetData>
    <row r="1" spans="6:10" ht="12.75" customHeight="1">
      <c r="F1" s="826" t="s">
        <v>1053</v>
      </c>
      <c r="G1" s="827"/>
      <c r="H1" s="827"/>
      <c r="I1" s="827"/>
      <c r="J1" s="127"/>
    </row>
    <row r="2" spans="2:9" ht="15.75">
      <c r="B2" s="828" t="s">
        <v>912</v>
      </c>
      <c r="C2" s="828"/>
      <c r="D2" s="828"/>
      <c r="E2" s="828"/>
      <c r="F2" s="828"/>
      <c r="G2" s="828"/>
      <c r="H2" s="828"/>
      <c r="I2" s="828"/>
    </row>
    <row r="3" ht="8.25" customHeight="1"/>
    <row r="4" spans="1:9" s="77" customFormat="1" ht="15" customHeight="1">
      <c r="A4" s="830" t="s">
        <v>669</v>
      </c>
      <c r="B4" s="829" t="s">
        <v>676</v>
      </c>
      <c r="C4" s="829"/>
      <c r="D4" s="829"/>
      <c r="E4" s="829"/>
      <c r="F4" s="829" t="s">
        <v>577</v>
      </c>
      <c r="G4" s="829"/>
      <c r="H4" s="829"/>
      <c r="I4" s="829"/>
    </row>
    <row r="5" spans="1:9" s="80" customFormat="1" ht="14.25">
      <c r="A5" s="830"/>
      <c r="B5" s="78" t="s">
        <v>576</v>
      </c>
      <c r="C5" s="79" t="s">
        <v>538</v>
      </c>
      <c r="D5" s="79" t="s">
        <v>537</v>
      </c>
      <c r="E5" s="79" t="s">
        <v>536</v>
      </c>
      <c r="F5" s="78" t="s">
        <v>576</v>
      </c>
      <c r="G5" s="79" t="s">
        <v>538</v>
      </c>
      <c r="H5" s="79" t="s">
        <v>537</v>
      </c>
      <c r="I5" s="79" t="s">
        <v>536</v>
      </c>
    </row>
    <row r="6" spans="1:9" s="144" customFormat="1" ht="12">
      <c r="A6" s="830"/>
      <c r="B6" s="143" t="s">
        <v>663</v>
      </c>
      <c r="C6" s="143" t="s">
        <v>664</v>
      </c>
      <c r="D6" s="143" t="s">
        <v>665</v>
      </c>
      <c r="E6" s="143" t="s">
        <v>666</v>
      </c>
      <c r="F6" s="143" t="s">
        <v>667</v>
      </c>
      <c r="G6" s="143" t="s">
        <v>668</v>
      </c>
      <c r="H6" s="143" t="s">
        <v>671</v>
      </c>
      <c r="I6" s="143" t="s">
        <v>672</v>
      </c>
    </row>
    <row r="7" spans="1:9" s="102" customFormat="1" ht="14.25">
      <c r="A7" s="143">
        <v>1</v>
      </c>
      <c r="B7" s="101" t="s">
        <v>803</v>
      </c>
      <c r="C7" s="119">
        <f>SUM(C8)</f>
        <v>901105</v>
      </c>
      <c r="D7" s="119">
        <f>SUM(D31,D8)</f>
        <v>246557</v>
      </c>
      <c r="E7" s="119">
        <f aca="true" t="shared" si="0" ref="E7:E29">SUM(C7:D7)</f>
        <v>1147662</v>
      </c>
      <c r="F7" s="101" t="s">
        <v>804</v>
      </c>
      <c r="G7" s="119">
        <f>SUM(G8,G31)</f>
        <v>1089226</v>
      </c>
      <c r="H7" s="119">
        <f>SUM(H8,H31)</f>
        <v>66589</v>
      </c>
      <c r="I7" s="119">
        <f>SUM(G7:H7)</f>
        <v>1155815</v>
      </c>
    </row>
    <row r="8" spans="1:9" s="111" customFormat="1" ht="12.75">
      <c r="A8" s="146">
        <v>2</v>
      </c>
      <c r="B8" s="108" t="s">
        <v>696</v>
      </c>
      <c r="C8" s="109">
        <f>SUM(C27+C17+C13+C9)</f>
        <v>901105</v>
      </c>
      <c r="D8" s="109">
        <f>SUM(D27+D17+D13+D9)</f>
        <v>0</v>
      </c>
      <c r="E8" s="109">
        <f t="shared" si="0"/>
        <v>901105</v>
      </c>
      <c r="F8" s="110" t="s">
        <v>701</v>
      </c>
      <c r="G8" s="109">
        <f>SUM(G9:G13)</f>
        <v>1089226</v>
      </c>
      <c r="H8" s="109">
        <f>SUM(H9:H13)</f>
        <v>40869</v>
      </c>
      <c r="I8" s="109">
        <f>SUM(G8:H8)</f>
        <v>1130095</v>
      </c>
    </row>
    <row r="9" spans="1:9" s="83" customFormat="1" ht="12.75">
      <c r="A9" s="146">
        <v>3</v>
      </c>
      <c r="B9" s="117" t="s">
        <v>93</v>
      </c>
      <c r="C9" s="98">
        <f>SUM(C10:C12)</f>
        <v>579446</v>
      </c>
      <c r="D9" s="98">
        <v>0</v>
      </c>
      <c r="E9" s="98">
        <f t="shared" si="0"/>
        <v>579446</v>
      </c>
      <c r="F9" s="118" t="s">
        <v>702</v>
      </c>
      <c r="G9" s="98">
        <f>352039-774-4974</f>
        <v>346291</v>
      </c>
      <c r="H9" s="98">
        <v>0</v>
      </c>
      <c r="I9" s="98">
        <f>SUM(G9:H9)</f>
        <v>346291</v>
      </c>
    </row>
    <row r="10" spans="1:9" s="83" customFormat="1" ht="12.75">
      <c r="A10" s="143">
        <v>4</v>
      </c>
      <c r="B10" s="95" t="s">
        <v>94</v>
      </c>
      <c r="C10" s="100">
        <v>488751</v>
      </c>
      <c r="D10" s="100">
        <v>0</v>
      </c>
      <c r="E10" s="100">
        <f t="shared" si="0"/>
        <v>488751</v>
      </c>
      <c r="F10" s="118" t="s">
        <v>124</v>
      </c>
      <c r="G10" s="98">
        <f>98865-209-1343</f>
        <v>97313</v>
      </c>
      <c r="H10" s="98">
        <v>0</v>
      </c>
      <c r="I10" s="98">
        <f>SUM(G10:H10)</f>
        <v>97313</v>
      </c>
    </row>
    <row r="11" spans="1:9" s="83" customFormat="1" ht="12.75">
      <c r="A11" s="146">
        <v>5</v>
      </c>
      <c r="B11" s="95" t="s">
        <v>95</v>
      </c>
      <c r="C11" s="100">
        <v>1455</v>
      </c>
      <c r="D11" s="100">
        <v>0</v>
      </c>
      <c r="E11" s="100">
        <f t="shared" si="0"/>
        <v>1455</v>
      </c>
      <c r="F11" s="118" t="s">
        <v>125</v>
      </c>
      <c r="G11" s="98">
        <f>332501+1276-1500-150-10-674-394</f>
        <v>331049</v>
      </c>
      <c r="H11" s="98">
        <v>0</v>
      </c>
      <c r="I11" s="98">
        <f>SUM(G11:H11)</f>
        <v>331049</v>
      </c>
    </row>
    <row r="12" spans="1:9" s="83" customFormat="1" ht="12.75">
      <c r="A12" s="146">
        <v>6</v>
      </c>
      <c r="B12" s="95" t="s">
        <v>96</v>
      </c>
      <c r="C12" s="100">
        <v>89240</v>
      </c>
      <c r="D12" s="100">
        <v>0</v>
      </c>
      <c r="E12" s="100">
        <f t="shared" si="0"/>
        <v>89240</v>
      </c>
      <c r="F12" s="118" t="s">
        <v>126</v>
      </c>
      <c r="G12" s="98">
        <v>16835</v>
      </c>
      <c r="H12" s="98">
        <v>0</v>
      </c>
      <c r="I12" s="98">
        <f aca="true" t="shared" si="1" ref="I12:I17">SUM(G12:H12)</f>
        <v>16835</v>
      </c>
    </row>
    <row r="13" spans="1:9" s="83" customFormat="1" ht="12.75">
      <c r="A13" s="143">
        <v>7</v>
      </c>
      <c r="B13" s="117" t="s">
        <v>100</v>
      </c>
      <c r="C13" s="98">
        <f>SUM(C14:C16)</f>
        <v>167935</v>
      </c>
      <c r="D13" s="98">
        <f>SUM(D14:D16)</f>
        <v>0</v>
      </c>
      <c r="E13" s="98">
        <f t="shared" si="0"/>
        <v>167935</v>
      </c>
      <c r="F13" s="122" t="s">
        <v>129</v>
      </c>
      <c r="G13" s="98">
        <f>SUM(G14:G17)</f>
        <v>297738</v>
      </c>
      <c r="H13" s="98">
        <f>SUM(H14:H17)</f>
        <v>40869</v>
      </c>
      <c r="I13" s="98">
        <f t="shared" si="1"/>
        <v>338607</v>
      </c>
    </row>
    <row r="14" spans="1:9" s="84" customFormat="1" ht="12.75">
      <c r="A14" s="146">
        <v>8</v>
      </c>
      <c r="B14" s="95" t="s">
        <v>235</v>
      </c>
      <c r="C14" s="100">
        <v>147225</v>
      </c>
      <c r="D14" s="100">
        <v>0</v>
      </c>
      <c r="E14" s="100">
        <f t="shared" si="0"/>
        <v>147225</v>
      </c>
      <c r="F14" s="97" t="s">
        <v>127</v>
      </c>
      <c r="G14" s="100">
        <v>937</v>
      </c>
      <c r="H14" s="100">
        <v>0</v>
      </c>
      <c r="I14" s="100">
        <f t="shared" si="1"/>
        <v>937</v>
      </c>
    </row>
    <row r="15" spans="1:9" s="84" customFormat="1" ht="12.75">
      <c r="A15" s="146">
        <v>9</v>
      </c>
      <c r="B15" s="96" t="s">
        <v>137</v>
      </c>
      <c r="C15" s="100">
        <v>20000</v>
      </c>
      <c r="D15" s="100">
        <v>0</v>
      </c>
      <c r="E15" s="100">
        <f t="shared" si="0"/>
        <v>20000</v>
      </c>
      <c r="F15" s="97" t="s">
        <v>859</v>
      </c>
      <c r="G15" s="100">
        <v>0</v>
      </c>
      <c r="H15" s="100">
        <v>0</v>
      </c>
      <c r="I15" s="100">
        <f t="shared" si="1"/>
        <v>0</v>
      </c>
    </row>
    <row r="16" spans="1:9" s="84" customFormat="1" ht="12.75">
      <c r="A16" s="143">
        <v>10</v>
      </c>
      <c r="B16" s="95" t="s">
        <v>101</v>
      </c>
      <c r="C16" s="100">
        <v>710</v>
      </c>
      <c r="D16" s="100">
        <v>0</v>
      </c>
      <c r="E16" s="100">
        <f t="shared" si="0"/>
        <v>710</v>
      </c>
      <c r="F16" s="97" t="s">
        <v>128</v>
      </c>
      <c r="G16" s="100">
        <f>317236-6000-5308-2200-2380-5400+1563-500-405-500-2870-1200-9441+3820+1272+1666+1552-4</f>
        <v>290901</v>
      </c>
      <c r="H16" s="100">
        <v>0</v>
      </c>
      <c r="I16" s="100">
        <f t="shared" si="1"/>
        <v>290901</v>
      </c>
    </row>
    <row r="17" spans="1:9" s="84" customFormat="1" ht="12.75">
      <c r="A17" s="146">
        <v>11</v>
      </c>
      <c r="B17" s="117" t="s">
        <v>102</v>
      </c>
      <c r="C17" s="98">
        <f>SUM(C18:C26)</f>
        <v>139056</v>
      </c>
      <c r="D17" s="98">
        <f>SUM(D18:D26)</f>
        <v>0</v>
      </c>
      <c r="E17" s="98">
        <f t="shared" si="0"/>
        <v>139056</v>
      </c>
      <c r="F17" s="97" t="s">
        <v>130</v>
      </c>
      <c r="G17" s="100">
        <v>5900</v>
      </c>
      <c r="H17" s="100">
        <v>40869</v>
      </c>
      <c r="I17" s="100">
        <f t="shared" si="1"/>
        <v>46769</v>
      </c>
    </row>
    <row r="18" spans="1:9" s="83" customFormat="1" ht="12.75">
      <c r="A18" s="146">
        <v>12</v>
      </c>
      <c r="B18" s="95" t="s">
        <v>908</v>
      </c>
      <c r="C18" s="100">
        <v>7400</v>
      </c>
      <c r="D18" s="100">
        <v>0</v>
      </c>
      <c r="E18" s="100">
        <f t="shared" si="0"/>
        <v>7400</v>
      </c>
      <c r="F18" s="122"/>
      <c r="G18" s="98"/>
      <c r="H18" s="98"/>
      <c r="I18" s="98"/>
    </row>
    <row r="19" spans="1:9" s="83" customFormat="1" ht="12.75">
      <c r="A19" s="143">
        <v>13</v>
      </c>
      <c r="B19" s="95" t="s">
        <v>103</v>
      </c>
      <c r="C19" s="100">
        <f>86817+4724</f>
        <v>91541</v>
      </c>
      <c r="D19" s="100">
        <v>0</v>
      </c>
      <c r="E19" s="100">
        <f t="shared" si="0"/>
        <v>91541</v>
      </c>
      <c r="F19" s="97"/>
      <c r="G19" s="100"/>
      <c r="H19" s="100"/>
      <c r="I19" s="100"/>
    </row>
    <row r="20" spans="1:9" s="83" customFormat="1" ht="12.75">
      <c r="A20" s="146">
        <v>14</v>
      </c>
      <c r="B20" s="95" t="s">
        <v>104</v>
      </c>
      <c r="C20" s="100">
        <v>9499</v>
      </c>
      <c r="D20" s="100">
        <v>0</v>
      </c>
      <c r="E20" s="100">
        <f t="shared" si="0"/>
        <v>9499</v>
      </c>
      <c r="F20" s="97"/>
      <c r="G20" s="100"/>
      <c r="H20" s="100"/>
      <c r="I20" s="100"/>
    </row>
    <row r="21" spans="1:9" s="83" customFormat="1" ht="12.75">
      <c r="A21" s="146">
        <v>15</v>
      </c>
      <c r="B21" s="95" t="s">
        <v>832</v>
      </c>
      <c r="C21" s="100">
        <v>579</v>
      </c>
      <c r="D21" s="100">
        <v>0</v>
      </c>
      <c r="E21" s="100">
        <f t="shared" si="0"/>
        <v>579</v>
      </c>
      <c r="F21" s="97"/>
      <c r="G21" s="100"/>
      <c r="H21" s="100"/>
      <c r="I21" s="100"/>
    </row>
    <row r="22" spans="1:9" s="83" customFormat="1" ht="12.75">
      <c r="A22" s="143">
        <v>16</v>
      </c>
      <c r="B22" s="95" t="s">
        <v>105</v>
      </c>
      <c r="C22" s="100">
        <v>5787</v>
      </c>
      <c r="D22" s="100">
        <v>0</v>
      </c>
      <c r="E22" s="100">
        <f t="shared" si="0"/>
        <v>5787</v>
      </c>
      <c r="F22" s="97"/>
      <c r="G22" s="100"/>
      <c r="H22" s="100"/>
      <c r="I22" s="100"/>
    </row>
    <row r="23" spans="1:9" s="83" customFormat="1" ht="12.75">
      <c r="A23" s="146">
        <v>17</v>
      </c>
      <c r="B23" s="95" t="s">
        <v>106</v>
      </c>
      <c r="C23" s="100">
        <f>22781+1276</f>
        <v>24057</v>
      </c>
      <c r="D23" s="100">
        <v>0</v>
      </c>
      <c r="E23" s="100">
        <f t="shared" si="0"/>
        <v>24057</v>
      </c>
      <c r="F23" s="82"/>
      <c r="G23" s="100"/>
      <c r="H23" s="99"/>
      <c r="I23" s="99"/>
    </row>
    <row r="24" spans="1:9" s="83" customFormat="1" ht="12.75">
      <c r="A24" s="146">
        <v>18</v>
      </c>
      <c r="B24" s="95" t="s">
        <v>490</v>
      </c>
      <c r="C24" s="100">
        <v>0</v>
      </c>
      <c r="D24" s="100">
        <v>0</v>
      </c>
      <c r="E24" s="100">
        <f t="shared" si="0"/>
        <v>0</v>
      </c>
      <c r="F24" s="82"/>
      <c r="G24" s="100"/>
      <c r="H24" s="99"/>
      <c r="I24" s="99"/>
    </row>
    <row r="25" spans="1:9" s="83" customFormat="1" ht="12.75">
      <c r="A25" s="146">
        <v>19</v>
      </c>
      <c r="B25" s="95" t="s">
        <v>107</v>
      </c>
      <c r="C25" s="100">
        <v>130</v>
      </c>
      <c r="D25" s="100">
        <v>0</v>
      </c>
      <c r="E25" s="100">
        <f t="shared" si="0"/>
        <v>130</v>
      </c>
      <c r="F25" s="82"/>
      <c r="G25" s="100"/>
      <c r="H25" s="99"/>
      <c r="I25" s="99"/>
    </row>
    <row r="26" spans="1:9" s="81" customFormat="1" ht="12.75">
      <c r="A26" s="143">
        <v>20</v>
      </c>
      <c r="B26" s="95" t="s">
        <v>108</v>
      </c>
      <c r="C26" s="100">
        <v>63</v>
      </c>
      <c r="D26" s="100">
        <v>0</v>
      </c>
      <c r="E26" s="100">
        <f t="shared" si="0"/>
        <v>63</v>
      </c>
      <c r="F26" s="82"/>
      <c r="G26" s="99"/>
      <c r="H26" s="99"/>
      <c r="I26" s="99"/>
    </row>
    <row r="27" spans="1:9" s="81" customFormat="1" ht="12.75">
      <c r="A27" s="146">
        <v>21</v>
      </c>
      <c r="B27" s="117" t="s">
        <v>114</v>
      </c>
      <c r="C27" s="98">
        <f>SUM(C28:C29)</f>
        <v>14668</v>
      </c>
      <c r="D27" s="98">
        <v>0</v>
      </c>
      <c r="E27" s="98">
        <f t="shared" si="0"/>
        <v>14668</v>
      </c>
      <c r="F27" s="82"/>
      <c r="G27" s="99"/>
      <c r="H27" s="99"/>
      <c r="I27" s="99"/>
    </row>
    <row r="28" spans="1:9" s="81" customFormat="1" ht="12.75">
      <c r="A28" s="146">
        <v>22</v>
      </c>
      <c r="B28" s="95" t="s">
        <v>115</v>
      </c>
      <c r="C28" s="100">
        <v>14668</v>
      </c>
      <c r="D28" s="100">
        <v>0</v>
      </c>
      <c r="E28" s="100">
        <f t="shared" si="0"/>
        <v>14668</v>
      </c>
      <c r="F28" s="82"/>
      <c r="G28" s="99"/>
      <c r="H28" s="99"/>
      <c r="I28" s="99"/>
    </row>
    <row r="29" spans="1:9" s="81" customFormat="1" ht="12.75">
      <c r="A29" s="143">
        <v>23</v>
      </c>
      <c r="B29" s="95" t="s">
        <v>116</v>
      </c>
      <c r="C29" s="100">
        <v>0</v>
      </c>
      <c r="D29" s="100">
        <v>0</v>
      </c>
      <c r="E29" s="100">
        <f t="shared" si="0"/>
        <v>0</v>
      </c>
      <c r="F29" s="82"/>
      <c r="G29" s="99"/>
      <c r="H29" s="99"/>
      <c r="I29" s="99"/>
    </row>
    <row r="30" spans="1:9" s="81" customFormat="1" ht="12.75">
      <c r="A30" s="146">
        <v>24</v>
      </c>
      <c r="B30" s="95"/>
      <c r="C30" s="100"/>
      <c r="D30" s="100"/>
      <c r="E30" s="100"/>
      <c r="F30" s="82"/>
      <c r="G30" s="99"/>
      <c r="H30" s="99"/>
      <c r="I30" s="99"/>
    </row>
    <row r="31" spans="1:9" s="111" customFormat="1" ht="12.75">
      <c r="A31" s="146">
        <v>25</v>
      </c>
      <c r="B31" s="112" t="s">
        <v>700</v>
      </c>
      <c r="C31" s="109">
        <f>SUM(C40+C35+C32)</f>
        <v>0</v>
      </c>
      <c r="D31" s="109">
        <f>SUM(D40+D35+D32)</f>
        <v>246557</v>
      </c>
      <c r="E31" s="109">
        <f>SUM(D31:D31)</f>
        <v>246557</v>
      </c>
      <c r="F31" s="110" t="s">
        <v>532</v>
      </c>
      <c r="G31" s="109">
        <f>SUM(G32:G34)</f>
        <v>0</v>
      </c>
      <c r="H31" s="109">
        <f>SUM(H32:H34)</f>
        <v>25720</v>
      </c>
      <c r="I31" s="109">
        <f aca="true" t="shared" si="2" ref="I31:I39">SUM(G31:H31)</f>
        <v>25720</v>
      </c>
    </row>
    <row r="32" spans="1:9" s="81" customFormat="1" ht="12.75">
      <c r="A32" s="143">
        <v>26</v>
      </c>
      <c r="B32" s="117" t="s">
        <v>97</v>
      </c>
      <c r="C32" s="98">
        <f>SUM(C33:C34)</f>
        <v>0</v>
      </c>
      <c r="D32" s="98">
        <f>SUM(D33:D34)</f>
        <v>131327</v>
      </c>
      <c r="E32" s="98">
        <f>SUM(D32:D32)</f>
        <v>131327</v>
      </c>
      <c r="F32" s="118" t="s">
        <v>131</v>
      </c>
      <c r="G32" s="98">
        <v>0</v>
      </c>
      <c r="H32" s="98">
        <f>37803-3000-333-10400</f>
        <v>24070</v>
      </c>
      <c r="I32" s="98">
        <f t="shared" si="2"/>
        <v>24070</v>
      </c>
    </row>
    <row r="33" spans="1:9" s="81" customFormat="1" ht="12.75">
      <c r="A33" s="146">
        <v>27</v>
      </c>
      <c r="B33" s="95" t="s">
        <v>98</v>
      </c>
      <c r="C33" s="100">
        <v>0</v>
      </c>
      <c r="D33" s="100">
        <v>0</v>
      </c>
      <c r="E33" s="100">
        <f aca="true" t="shared" si="3" ref="E33:E42">SUM(D33:D33)</f>
        <v>0</v>
      </c>
      <c r="F33" s="118" t="s">
        <v>132</v>
      </c>
      <c r="G33" s="98">
        <v>0</v>
      </c>
      <c r="H33" s="98">
        <v>1252</v>
      </c>
      <c r="I33" s="98">
        <f t="shared" si="2"/>
        <v>1252</v>
      </c>
    </row>
    <row r="34" spans="1:9" s="81" customFormat="1" ht="12.75">
      <c r="A34" s="146">
        <v>28</v>
      </c>
      <c r="B34" s="95" t="s">
        <v>99</v>
      </c>
      <c r="C34" s="100">
        <v>0</v>
      </c>
      <c r="D34" s="100">
        <v>131327</v>
      </c>
      <c r="E34" s="100">
        <f t="shared" si="3"/>
        <v>131327</v>
      </c>
      <c r="F34" s="118" t="s">
        <v>133</v>
      </c>
      <c r="G34" s="98">
        <f>SUM(G35:G39)</f>
        <v>0</v>
      </c>
      <c r="H34" s="98">
        <f>SUM(H35:H39)</f>
        <v>398</v>
      </c>
      <c r="I34" s="98">
        <f t="shared" si="2"/>
        <v>398</v>
      </c>
    </row>
    <row r="35" spans="1:9" s="81" customFormat="1" ht="12.75">
      <c r="A35" s="143">
        <v>29</v>
      </c>
      <c r="B35" s="117" t="s">
        <v>109</v>
      </c>
      <c r="C35" s="98">
        <f>SUM(C36:C39)</f>
        <v>0</v>
      </c>
      <c r="D35" s="98">
        <f>SUM(D36:D39)</f>
        <v>71690</v>
      </c>
      <c r="E35" s="98">
        <f t="shared" si="3"/>
        <v>71690</v>
      </c>
      <c r="F35" s="97" t="s">
        <v>134</v>
      </c>
      <c r="G35" s="100">
        <v>0</v>
      </c>
      <c r="H35" s="100">
        <v>0</v>
      </c>
      <c r="I35" s="100">
        <f t="shared" si="2"/>
        <v>0</v>
      </c>
    </row>
    <row r="36" spans="1:9" s="81" customFormat="1" ht="12.75">
      <c r="A36" s="146">
        <v>30</v>
      </c>
      <c r="B36" s="95" t="s">
        <v>110</v>
      </c>
      <c r="C36" s="100">
        <v>0</v>
      </c>
      <c r="D36" s="100">
        <v>0</v>
      </c>
      <c r="E36" s="100">
        <f t="shared" si="3"/>
        <v>0</v>
      </c>
      <c r="F36" s="97" t="s">
        <v>135</v>
      </c>
      <c r="G36" s="100">
        <v>0</v>
      </c>
      <c r="H36" s="100">
        <v>0</v>
      </c>
      <c r="I36" s="100">
        <f t="shared" si="2"/>
        <v>0</v>
      </c>
    </row>
    <row r="37" spans="1:9" s="83" customFormat="1" ht="12.75">
      <c r="A37" s="146">
        <v>31</v>
      </c>
      <c r="B37" s="95" t="s">
        <v>111</v>
      </c>
      <c r="C37" s="100">
        <f>SUM(C38:C39)</f>
        <v>0</v>
      </c>
      <c r="D37" s="100">
        <f>129510-48820-9000</f>
        <v>71690</v>
      </c>
      <c r="E37" s="100">
        <f t="shared" si="3"/>
        <v>71690</v>
      </c>
      <c r="F37" s="97" t="s">
        <v>136</v>
      </c>
      <c r="G37" s="100">
        <v>0</v>
      </c>
      <c r="H37" s="100">
        <v>0</v>
      </c>
      <c r="I37" s="100">
        <f t="shared" si="2"/>
        <v>0</v>
      </c>
    </row>
    <row r="38" spans="1:9" s="83" customFormat="1" ht="12.75">
      <c r="A38" s="143">
        <v>32</v>
      </c>
      <c r="B38" s="95" t="s">
        <v>112</v>
      </c>
      <c r="C38" s="100">
        <v>0</v>
      </c>
      <c r="D38" s="100">
        <v>0</v>
      </c>
      <c r="E38" s="100">
        <f t="shared" si="3"/>
        <v>0</v>
      </c>
      <c r="F38" s="97" t="s">
        <v>138</v>
      </c>
      <c r="G38" s="100">
        <v>0</v>
      </c>
      <c r="H38" s="100">
        <v>0</v>
      </c>
      <c r="I38" s="100">
        <f t="shared" si="2"/>
        <v>0</v>
      </c>
    </row>
    <row r="39" spans="1:9" s="85" customFormat="1" ht="13.5">
      <c r="A39" s="146">
        <v>33</v>
      </c>
      <c r="B39" s="95" t="s">
        <v>113</v>
      </c>
      <c r="C39" s="100">
        <v>0</v>
      </c>
      <c r="D39" s="100">
        <v>0</v>
      </c>
      <c r="E39" s="100">
        <f t="shared" si="3"/>
        <v>0</v>
      </c>
      <c r="F39" s="97" t="s">
        <v>139</v>
      </c>
      <c r="G39" s="100">
        <v>0</v>
      </c>
      <c r="H39" s="100">
        <v>398</v>
      </c>
      <c r="I39" s="100">
        <f t="shared" si="2"/>
        <v>398</v>
      </c>
    </row>
    <row r="40" spans="1:9" s="85" customFormat="1" ht="13.5">
      <c r="A40" s="146">
        <v>34</v>
      </c>
      <c r="B40" s="117" t="s">
        <v>117</v>
      </c>
      <c r="C40" s="98">
        <f>SUM(C41:C42)</f>
        <v>0</v>
      </c>
      <c r="D40" s="98">
        <f>SUM(D41:D42)</f>
        <v>43540</v>
      </c>
      <c r="E40" s="98">
        <f t="shared" si="3"/>
        <v>43540</v>
      </c>
      <c r="F40" s="97"/>
      <c r="G40" s="100"/>
      <c r="H40" s="100"/>
      <c r="I40" s="100"/>
    </row>
    <row r="41" spans="1:9" s="85" customFormat="1" ht="13.5">
      <c r="A41" s="143">
        <v>35</v>
      </c>
      <c r="B41" s="95" t="s">
        <v>120</v>
      </c>
      <c r="C41" s="100">
        <v>0</v>
      </c>
      <c r="D41" s="100">
        <v>40540</v>
      </c>
      <c r="E41" s="100">
        <f t="shared" si="3"/>
        <v>40540</v>
      </c>
      <c r="F41" s="86"/>
      <c r="G41" s="100"/>
      <c r="H41" s="100"/>
      <c r="I41" s="100"/>
    </row>
    <row r="42" spans="1:9" s="85" customFormat="1" ht="13.5">
      <c r="A42" s="146">
        <v>36</v>
      </c>
      <c r="B42" s="95" t="s">
        <v>121</v>
      </c>
      <c r="C42" s="100">
        <v>0</v>
      </c>
      <c r="D42" s="100">
        <v>3000</v>
      </c>
      <c r="E42" s="100">
        <f t="shared" si="3"/>
        <v>3000</v>
      </c>
      <c r="F42" s="86"/>
      <c r="G42" s="100"/>
      <c r="H42" s="100"/>
      <c r="I42" s="100"/>
    </row>
    <row r="43" spans="1:9" s="87" customFormat="1" ht="6" customHeight="1">
      <c r="A43" s="831"/>
      <c r="B43" s="832"/>
      <c r="C43" s="832"/>
      <c r="D43" s="832"/>
      <c r="E43" s="832"/>
      <c r="F43" s="832"/>
      <c r="G43" s="832"/>
      <c r="H43" s="832"/>
      <c r="I43" s="833"/>
    </row>
    <row r="44" spans="1:9" s="87" customFormat="1" ht="15">
      <c r="A44" s="146">
        <v>37</v>
      </c>
      <c r="B44" s="834" t="s">
        <v>805</v>
      </c>
      <c r="C44" s="835"/>
      <c r="D44" s="835"/>
      <c r="E44" s="835"/>
      <c r="F44" s="835"/>
      <c r="G44" s="261">
        <f>C7-G7</f>
        <v>-188121</v>
      </c>
      <c r="H44" s="261">
        <f>D7-H7</f>
        <v>179968</v>
      </c>
      <c r="I44" s="261">
        <f>SUM(G44:H44)</f>
        <v>-8153</v>
      </c>
    </row>
    <row r="45" spans="1:9" s="87" customFormat="1" ht="6" customHeight="1">
      <c r="A45" s="823"/>
      <c r="B45" s="824"/>
      <c r="C45" s="824"/>
      <c r="D45" s="824"/>
      <c r="E45" s="824"/>
      <c r="F45" s="824"/>
      <c r="G45" s="824"/>
      <c r="H45" s="824"/>
      <c r="I45" s="825"/>
    </row>
    <row r="46" spans="1:9" s="105" customFormat="1" ht="28.5">
      <c r="A46" s="146">
        <v>38</v>
      </c>
      <c r="B46" s="101" t="s">
        <v>533</v>
      </c>
      <c r="C46" s="103">
        <f>SUM(C47)</f>
        <v>470</v>
      </c>
      <c r="D46" s="103">
        <f>SUM(D47)</f>
        <v>7683</v>
      </c>
      <c r="E46" s="103">
        <f aca="true" t="shared" si="4" ref="E46:E51">SUM(C46:D46)</f>
        <v>8153</v>
      </c>
      <c r="F46" s="104"/>
      <c r="G46" s="103"/>
      <c r="H46" s="103"/>
      <c r="I46" s="103"/>
    </row>
    <row r="47" spans="1:9" s="114" customFormat="1" ht="13.5">
      <c r="A47" s="143">
        <v>39</v>
      </c>
      <c r="B47" s="115" t="s">
        <v>802</v>
      </c>
      <c r="C47" s="109">
        <v>470</v>
      </c>
      <c r="D47" s="109">
        <v>7683</v>
      </c>
      <c r="E47" s="109">
        <f t="shared" si="4"/>
        <v>8153</v>
      </c>
      <c r="F47" s="110"/>
      <c r="G47" s="109"/>
      <c r="H47" s="109"/>
      <c r="I47" s="109"/>
    </row>
    <row r="48" spans="1:9" s="105" customFormat="1" ht="28.5">
      <c r="A48" s="146">
        <v>40</v>
      </c>
      <c r="B48" s="101" t="s">
        <v>534</v>
      </c>
      <c r="C48" s="103">
        <f>SUM(C49:C50)</f>
        <v>0</v>
      </c>
      <c r="D48" s="103">
        <f>SUM(D49:D50)</f>
        <v>0</v>
      </c>
      <c r="E48" s="103">
        <f t="shared" si="4"/>
        <v>0</v>
      </c>
      <c r="F48" s="120" t="s">
        <v>535</v>
      </c>
      <c r="G48" s="103">
        <f>SUM(G49:G50)</f>
        <v>0</v>
      </c>
      <c r="H48" s="103">
        <f>SUM(H49:H50)</f>
        <v>0</v>
      </c>
      <c r="I48" s="103">
        <f>SUM(G48:H48)</f>
        <v>0</v>
      </c>
    </row>
    <row r="49" spans="1:9" s="114" customFormat="1" ht="13.5">
      <c r="A49" s="146">
        <v>41</v>
      </c>
      <c r="B49" s="113" t="s">
        <v>123</v>
      </c>
      <c r="C49" s="109">
        <v>0</v>
      </c>
      <c r="D49" s="109">
        <v>0</v>
      </c>
      <c r="E49" s="109">
        <f t="shared" si="4"/>
        <v>0</v>
      </c>
      <c r="F49" s="110" t="s">
        <v>530</v>
      </c>
      <c r="G49" s="109">
        <v>0</v>
      </c>
      <c r="H49" s="109">
        <v>0</v>
      </c>
      <c r="I49" s="109">
        <f>SUM(G49:H49)</f>
        <v>0</v>
      </c>
    </row>
    <row r="50" spans="1:9" s="116" customFormat="1" ht="12.75">
      <c r="A50" s="146">
        <v>42</v>
      </c>
      <c r="B50" s="113" t="s">
        <v>122</v>
      </c>
      <c r="C50" s="109">
        <v>0</v>
      </c>
      <c r="D50" s="109"/>
      <c r="E50" s="109">
        <f t="shared" si="4"/>
        <v>0</v>
      </c>
      <c r="F50" s="110" t="s">
        <v>531</v>
      </c>
      <c r="G50" s="109">
        <v>0</v>
      </c>
      <c r="H50" s="109">
        <v>0</v>
      </c>
      <c r="I50" s="109">
        <f>SUM(G50:H50)</f>
        <v>0</v>
      </c>
    </row>
    <row r="51" spans="1:9" s="107" customFormat="1" ht="15.75">
      <c r="A51" s="146">
        <v>43</v>
      </c>
      <c r="B51" s="106" t="s">
        <v>677</v>
      </c>
      <c r="C51" s="121">
        <f>SUM(C7,C46,C48)</f>
        <v>901575</v>
      </c>
      <c r="D51" s="121">
        <f>SUM(D7,D46,D48)</f>
        <v>254240</v>
      </c>
      <c r="E51" s="121">
        <f t="shared" si="4"/>
        <v>1155815</v>
      </c>
      <c r="F51" s="106" t="s">
        <v>547</v>
      </c>
      <c r="G51" s="121">
        <f>SUM(G7,G48)</f>
        <v>1089226</v>
      </c>
      <c r="H51" s="121">
        <f>SUM(H7,H48)</f>
        <v>66589</v>
      </c>
      <c r="I51" s="121">
        <f>SUM(G51:H51)</f>
        <v>1155815</v>
      </c>
    </row>
    <row r="58" ht="15">
      <c r="B58" s="88"/>
    </row>
  </sheetData>
  <sheetProtection/>
  <mergeCells count="8">
    <mergeCell ref="A45:I45"/>
    <mergeCell ref="F1:I1"/>
    <mergeCell ref="B2:I2"/>
    <mergeCell ref="B4:E4"/>
    <mergeCell ref="F4:I4"/>
    <mergeCell ref="A4:A6"/>
    <mergeCell ref="A43:I43"/>
    <mergeCell ref="B44:F44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Z51"/>
  <sheetViews>
    <sheetView zoomScale="95" zoomScaleNormal="95" zoomScalePageLayoutView="0" workbookViewId="0" topLeftCell="D1">
      <pane ySplit="7" topLeftCell="A40" activePane="bottomLeft" state="frozen"/>
      <selection pane="topLeft" activeCell="A1" sqref="A1"/>
      <selection pane="bottomLeft" activeCell="E2" sqref="E2:W2"/>
    </sheetView>
  </sheetViews>
  <sheetFormatPr defaultColWidth="8.875" defaultRowHeight="12.75"/>
  <cols>
    <col min="1" max="1" width="1.37890625" style="28" hidden="1" customWidth="1"/>
    <col min="2" max="2" width="8.00390625" style="40" hidden="1" customWidth="1"/>
    <col min="3" max="3" width="8.00390625" style="40" customWidth="1"/>
    <col min="4" max="4" width="4.625" style="155" bestFit="1" customWidth="1"/>
    <col min="5" max="5" width="30.375" style="28" customWidth="1"/>
    <col min="6" max="6" width="9.25390625" style="151" hidden="1" customWidth="1"/>
    <col min="7" max="7" width="8.375" style="28" customWidth="1"/>
    <col min="8" max="8" width="7.875" style="28" customWidth="1"/>
    <col min="9" max="9" width="8.125" style="28" customWidth="1"/>
    <col min="10" max="10" width="8.75390625" style="28" customWidth="1"/>
    <col min="11" max="11" width="8.375" style="28" customWidth="1"/>
    <col min="12" max="12" width="9.875" style="28" customWidth="1"/>
    <col min="13" max="17" width="8.25390625" style="28" customWidth="1"/>
    <col min="18" max="18" width="9.625" style="28" bestFit="1" customWidth="1"/>
    <col min="19" max="19" width="9.625" style="28" customWidth="1"/>
    <col min="20" max="20" width="9.625" style="28" bestFit="1" customWidth="1"/>
    <col min="21" max="21" width="7.625" style="28" customWidth="1"/>
    <col min="22" max="22" width="9.25390625" style="28" customWidth="1"/>
    <col min="23" max="23" width="9.375" style="37" customWidth="1"/>
    <col min="24" max="24" width="14.375" style="28" customWidth="1"/>
    <col min="25" max="16384" width="8.875" style="28" customWidth="1"/>
  </cols>
  <sheetData>
    <row r="1" spans="3:23" ht="15">
      <c r="C1" s="839"/>
      <c r="M1" s="29"/>
      <c r="N1" s="29"/>
      <c r="O1" s="29"/>
      <c r="P1" s="29"/>
      <c r="Q1" s="29"/>
      <c r="R1" s="826" t="s">
        <v>1054</v>
      </c>
      <c r="S1" s="826"/>
      <c r="T1" s="827"/>
      <c r="U1" s="827"/>
      <c r="V1" s="827"/>
      <c r="W1" s="827"/>
    </row>
    <row r="2" spans="1:23" ht="15.75">
      <c r="A2" s="30"/>
      <c r="B2" s="41"/>
      <c r="C2" s="839"/>
      <c r="D2" s="41"/>
      <c r="E2" s="846" t="s">
        <v>913</v>
      </c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</row>
    <row r="3" ht="12.75" thickBot="1">
      <c r="W3" s="31"/>
    </row>
    <row r="4" spans="2:23" s="32" customFormat="1" ht="12.75" customHeight="1">
      <c r="B4" s="42"/>
      <c r="C4" s="42"/>
      <c r="D4" s="850" t="s">
        <v>669</v>
      </c>
      <c r="E4" s="858" t="s">
        <v>576</v>
      </c>
      <c r="F4" s="847" t="s">
        <v>584</v>
      </c>
      <c r="G4" s="842" t="s">
        <v>585</v>
      </c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4"/>
      <c r="W4" s="853" t="s">
        <v>586</v>
      </c>
    </row>
    <row r="5" spans="2:23" s="33" customFormat="1" ht="12" customHeight="1">
      <c r="B5" s="43"/>
      <c r="C5" s="43"/>
      <c r="D5" s="851"/>
      <c r="E5" s="859"/>
      <c r="F5" s="848"/>
      <c r="G5" s="840" t="s">
        <v>546</v>
      </c>
      <c r="H5" s="840" t="s">
        <v>545</v>
      </c>
      <c r="I5" s="840" t="s">
        <v>578</v>
      </c>
      <c r="J5" s="840" t="s">
        <v>85</v>
      </c>
      <c r="K5" s="840" t="s">
        <v>248</v>
      </c>
      <c r="L5" s="840" t="s">
        <v>249</v>
      </c>
      <c r="M5" s="840" t="s">
        <v>662</v>
      </c>
      <c r="N5" s="840" t="s">
        <v>675</v>
      </c>
      <c r="O5" s="840" t="s">
        <v>704</v>
      </c>
      <c r="P5" s="840" t="s">
        <v>992</v>
      </c>
      <c r="Q5" s="840" t="s">
        <v>993</v>
      </c>
      <c r="R5" s="840" t="s">
        <v>140</v>
      </c>
      <c r="S5" s="840" t="s">
        <v>845</v>
      </c>
      <c r="T5" s="856" t="s">
        <v>541</v>
      </c>
      <c r="U5" s="856" t="s">
        <v>587</v>
      </c>
      <c r="V5" s="840" t="s">
        <v>250</v>
      </c>
      <c r="W5" s="854"/>
    </row>
    <row r="6" spans="2:23" s="33" customFormat="1" ht="53.25" customHeight="1">
      <c r="B6" s="43"/>
      <c r="C6" s="43"/>
      <c r="D6" s="851"/>
      <c r="E6" s="860"/>
      <c r="F6" s="849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57"/>
      <c r="U6" s="857"/>
      <c r="V6" s="841"/>
      <c r="W6" s="855"/>
    </row>
    <row r="7" spans="2:23" s="676" customFormat="1" ht="12">
      <c r="B7" s="677"/>
      <c r="C7" s="677"/>
      <c r="D7" s="852"/>
      <c r="E7" s="578" t="s">
        <v>663</v>
      </c>
      <c r="F7" s="579" t="s">
        <v>664</v>
      </c>
      <c r="G7" s="580" t="s">
        <v>664</v>
      </c>
      <c r="H7" s="580" t="s">
        <v>665</v>
      </c>
      <c r="I7" s="581" t="s">
        <v>666</v>
      </c>
      <c r="J7" s="578" t="s">
        <v>667</v>
      </c>
      <c r="K7" s="578" t="s">
        <v>668</v>
      </c>
      <c r="L7" s="581" t="s">
        <v>671</v>
      </c>
      <c r="M7" s="581" t="s">
        <v>672</v>
      </c>
      <c r="N7" s="581" t="s">
        <v>611</v>
      </c>
      <c r="O7" s="581" t="s">
        <v>612</v>
      </c>
      <c r="P7" s="581" t="s">
        <v>613</v>
      </c>
      <c r="Q7" s="580" t="s">
        <v>614</v>
      </c>
      <c r="R7" s="580" t="s">
        <v>615</v>
      </c>
      <c r="S7" s="713" t="s">
        <v>616</v>
      </c>
      <c r="T7" s="581" t="s">
        <v>617</v>
      </c>
      <c r="U7" s="581" t="s">
        <v>618</v>
      </c>
      <c r="V7" s="582" t="s">
        <v>994</v>
      </c>
      <c r="W7" s="616" t="s">
        <v>648</v>
      </c>
    </row>
    <row r="8" spans="1:23" s="36" customFormat="1" ht="24">
      <c r="A8" s="28"/>
      <c r="B8" s="40"/>
      <c r="C8" s="40" t="s">
        <v>152</v>
      </c>
      <c r="D8" s="675" t="s">
        <v>619</v>
      </c>
      <c r="E8" s="183" t="s">
        <v>153</v>
      </c>
      <c r="F8" s="152"/>
      <c r="G8" s="44">
        <v>20775</v>
      </c>
      <c r="H8" s="44">
        <v>7549</v>
      </c>
      <c r="I8" s="45">
        <f>12108+1276</f>
        <v>13384</v>
      </c>
      <c r="J8" s="45">
        <v>0</v>
      </c>
      <c r="K8" s="45">
        <v>687</v>
      </c>
      <c r="L8" s="45">
        <f>128451-6000-5308</f>
        <v>117143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35">
        <v>0</v>
      </c>
      <c r="T8" s="44">
        <v>0</v>
      </c>
      <c r="U8" s="45">
        <v>0</v>
      </c>
      <c r="V8" s="45">
        <v>0</v>
      </c>
      <c r="W8" s="38">
        <f aca="true" t="shared" si="0" ref="W8:W45">SUM(G8:V8)</f>
        <v>159538</v>
      </c>
    </row>
    <row r="9" spans="1:23" s="36" customFormat="1" ht="24">
      <c r="A9" s="28"/>
      <c r="B9" s="40" t="s">
        <v>144</v>
      </c>
      <c r="C9" s="40" t="s">
        <v>147</v>
      </c>
      <c r="D9" s="156" t="s">
        <v>620</v>
      </c>
      <c r="E9" s="184" t="s">
        <v>148</v>
      </c>
      <c r="F9" s="153"/>
      <c r="G9" s="34">
        <v>0</v>
      </c>
      <c r="H9" s="34">
        <v>0</v>
      </c>
      <c r="I9" s="35">
        <v>23414</v>
      </c>
      <c r="J9" s="35">
        <v>0</v>
      </c>
      <c r="K9" s="35">
        <v>0</v>
      </c>
      <c r="L9" s="35">
        <f>40055-2200</f>
        <v>37855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4">
        <v>4913</v>
      </c>
      <c r="U9" s="35">
        <v>300</v>
      </c>
      <c r="V9" s="35">
        <v>398</v>
      </c>
      <c r="W9" s="38">
        <f t="shared" si="0"/>
        <v>66880</v>
      </c>
    </row>
    <row r="10" spans="1:23" s="36" customFormat="1" ht="36">
      <c r="A10" s="28"/>
      <c r="B10" s="40" t="s">
        <v>145</v>
      </c>
      <c r="C10" s="40" t="s">
        <v>149</v>
      </c>
      <c r="D10" s="156" t="s">
        <v>621</v>
      </c>
      <c r="E10" s="184" t="s">
        <v>836</v>
      </c>
      <c r="F10" s="153"/>
      <c r="G10" s="34">
        <v>16414</v>
      </c>
      <c r="H10" s="34">
        <v>4432</v>
      </c>
      <c r="I10" s="35">
        <v>17390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4">
        <f>3363-3000-333</f>
        <v>30</v>
      </c>
      <c r="U10" s="35">
        <v>0</v>
      </c>
      <c r="V10" s="35">
        <v>0</v>
      </c>
      <c r="W10" s="38">
        <f t="shared" si="0"/>
        <v>38266</v>
      </c>
    </row>
    <row r="11" spans="1:23" s="36" customFormat="1" ht="24">
      <c r="A11" s="28"/>
      <c r="B11" s="40" t="s">
        <v>146</v>
      </c>
      <c r="C11" s="40" t="s">
        <v>154</v>
      </c>
      <c r="D11" s="156" t="s">
        <v>622</v>
      </c>
      <c r="E11" s="184" t="s">
        <v>598</v>
      </c>
      <c r="F11" s="153"/>
      <c r="G11" s="34">
        <v>1100</v>
      </c>
      <c r="H11" s="34">
        <v>524</v>
      </c>
      <c r="I11" s="35">
        <v>5819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4">
        <v>0</v>
      </c>
      <c r="U11" s="35">
        <v>0</v>
      </c>
      <c r="V11" s="35">
        <v>0</v>
      </c>
      <c r="W11" s="38">
        <f t="shared" si="0"/>
        <v>7443</v>
      </c>
    </row>
    <row r="12" spans="1:23" s="36" customFormat="1" ht="24">
      <c r="A12" s="28">
        <v>20215</v>
      </c>
      <c r="B12" s="40" t="s">
        <v>147</v>
      </c>
      <c r="C12" s="40" t="s">
        <v>158</v>
      </c>
      <c r="D12" s="156" t="s">
        <v>623</v>
      </c>
      <c r="E12" s="184" t="s">
        <v>159</v>
      </c>
      <c r="F12" s="153"/>
      <c r="G12" s="34">
        <v>27749</v>
      </c>
      <c r="H12" s="34">
        <v>7477</v>
      </c>
      <c r="I12" s="35">
        <v>7474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4">
        <v>0</v>
      </c>
      <c r="U12" s="35">
        <v>0</v>
      </c>
      <c r="V12" s="35">
        <v>0</v>
      </c>
      <c r="W12" s="38">
        <f t="shared" si="0"/>
        <v>42700</v>
      </c>
    </row>
    <row r="13" spans="2:23" ht="24">
      <c r="B13" s="40" t="s">
        <v>152</v>
      </c>
      <c r="C13" s="40" t="s">
        <v>145</v>
      </c>
      <c r="D13" s="156" t="s">
        <v>624</v>
      </c>
      <c r="E13" s="184" t="s">
        <v>837</v>
      </c>
      <c r="F13" s="153"/>
      <c r="G13" s="34">
        <v>0</v>
      </c>
      <c r="H13" s="34">
        <v>0</v>
      </c>
      <c r="I13" s="35">
        <v>0</v>
      </c>
      <c r="J13" s="35">
        <v>0</v>
      </c>
      <c r="K13" s="35">
        <v>0</v>
      </c>
      <c r="L13" s="35">
        <v>10040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8">
        <f t="shared" si="0"/>
        <v>10040</v>
      </c>
    </row>
    <row r="14" spans="2:23" ht="24">
      <c r="B14" s="40" t="s">
        <v>154</v>
      </c>
      <c r="C14" s="40" t="s">
        <v>160</v>
      </c>
      <c r="D14" s="156" t="s">
        <v>625</v>
      </c>
      <c r="E14" s="184" t="s">
        <v>161</v>
      </c>
      <c r="F14" s="153"/>
      <c r="G14" s="34">
        <v>0</v>
      </c>
      <c r="H14" s="34">
        <v>0</v>
      </c>
      <c r="I14" s="35">
        <v>1000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1000</v>
      </c>
      <c r="U14" s="35">
        <v>0</v>
      </c>
      <c r="V14" s="35">
        <v>0</v>
      </c>
      <c r="W14" s="38">
        <f t="shared" si="0"/>
        <v>2000</v>
      </c>
    </row>
    <row r="15" spans="1:23" ht="36">
      <c r="A15" s="28">
        <v>751791</v>
      </c>
      <c r="B15" s="40" t="s">
        <v>155</v>
      </c>
      <c r="C15" s="40" t="s">
        <v>141</v>
      </c>
      <c r="D15" s="156" t="s">
        <v>626</v>
      </c>
      <c r="E15" s="184" t="s">
        <v>142</v>
      </c>
      <c r="F15" s="186"/>
      <c r="G15" s="35">
        <v>0</v>
      </c>
      <c r="H15" s="34">
        <v>0</v>
      </c>
      <c r="I15" s="35">
        <v>760</v>
      </c>
      <c r="J15" s="35">
        <v>0</v>
      </c>
      <c r="K15" s="35">
        <v>0</v>
      </c>
      <c r="L15" s="35">
        <v>1500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8">
        <f t="shared" si="0"/>
        <v>2260</v>
      </c>
    </row>
    <row r="16" spans="1:23" ht="24">
      <c r="A16" s="28">
        <v>751834</v>
      </c>
      <c r="B16" s="40" t="s">
        <v>156</v>
      </c>
      <c r="C16" s="40" t="s">
        <v>143</v>
      </c>
      <c r="D16" s="156" t="s">
        <v>627</v>
      </c>
      <c r="E16" s="184" t="s">
        <v>595</v>
      </c>
      <c r="F16" s="153"/>
      <c r="G16" s="34">
        <v>0</v>
      </c>
      <c r="H16" s="34">
        <v>0</v>
      </c>
      <c r="I16" s="35">
        <v>11708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8">
        <f t="shared" si="0"/>
        <v>11708</v>
      </c>
    </row>
    <row r="17" spans="1:23" ht="24" customHeight="1">
      <c r="A17" s="28">
        <v>751966</v>
      </c>
      <c r="B17" s="40" t="s">
        <v>158</v>
      </c>
      <c r="C17" s="40" t="s">
        <v>155</v>
      </c>
      <c r="D17" s="156" t="s">
        <v>628</v>
      </c>
      <c r="E17" s="184" t="s">
        <v>599</v>
      </c>
      <c r="F17" s="153"/>
      <c r="G17" s="34">
        <v>0</v>
      </c>
      <c r="H17" s="35">
        <v>0</v>
      </c>
      <c r="I17" s="35">
        <v>24384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4">
        <v>0</v>
      </c>
      <c r="U17" s="35">
        <v>0</v>
      </c>
      <c r="V17" s="35">
        <v>0</v>
      </c>
      <c r="W17" s="38">
        <f t="shared" si="0"/>
        <v>24384</v>
      </c>
    </row>
    <row r="18" spans="1:23" ht="24" customHeight="1">
      <c r="A18" s="28">
        <v>751999</v>
      </c>
      <c r="B18" s="40" t="s">
        <v>160</v>
      </c>
      <c r="C18" s="40" t="s">
        <v>151</v>
      </c>
      <c r="D18" s="156" t="s">
        <v>629</v>
      </c>
      <c r="E18" s="184" t="s">
        <v>838</v>
      </c>
      <c r="F18" s="153"/>
      <c r="G18" s="34">
        <v>0</v>
      </c>
      <c r="H18" s="34">
        <v>0</v>
      </c>
      <c r="I18" s="35">
        <v>170</v>
      </c>
      <c r="J18" s="35">
        <v>0</v>
      </c>
      <c r="K18" s="35">
        <v>0</v>
      </c>
      <c r="L18" s="35">
        <f>31195-2380</f>
        <v>28815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4">
        <v>0</v>
      </c>
      <c r="U18" s="35">
        <v>0</v>
      </c>
      <c r="V18" s="35">
        <v>0</v>
      </c>
      <c r="W18" s="38">
        <f t="shared" si="0"/>
        <v>28985</v>
      </c>
    </row>
    <row r="19" spans="2:24" ht="24">
      <c r="B19" s="40" t="s">
        <v>162</v>
      </c>
      <c r="C19" s="40" t="s">
        <v>156</v>
      </c>
      <c r="D19" s="156" t="s">
        <v>630</v>
      </c>
      <c r="E19" s="184" t="s">
        <v>839</v>
      </c>
      <c r="F19" s="153"/>
      <c r="G19" s="34">
        <v>217</v>
      </c>
      <c r="H19" s="34">
        <v>53</v>
      </c>
      <c r="I19" s="35">
        <f>7969-10</f>
        <v>7959</v>
      </c>
      <c r="J19" s="35">
        <v>0</v>
      </c>
      <c r="K19" s="35">
        <v>0</v>
      </c>
      <c r="L19" s="35">
        <v>14725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4">
        <f>10400-10400</f>
        <v>0</v>
      </c>
      <c r="U19" s="35">
        <v>0</v>
      </c>
      <c r="V19" s="35">
        <v>0</v>
      </c>
      <c r="W19" s="38">
        <f t="shared" si="0"/>
        <v>22954</v>
      </c>
      <c r="X19" s="39"/>
    </row>
    <row r="20" spans="2:24" ht="24" customHeight="1">
      <c r="B20" s="40" t="s">
        <v>163</v>
      </c>
      <c r="C20" s="40" t="s">
        <v>163</v>
      </c>
      <c r="D20" s="845" t="s">
        <v>989</v>
      </c>
      <c r="E20" s="184" t="s">
        <v>601</v>
      </c>
      <c r="F20" s="301"/>
      <c r="G20" s="35">
        <v>0</v>
      </c>
      <c r="H20" s="35">
        <v>0</v>
      </c>
      <c r="I20" s="35">
        <v>360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8">
        <f t="shared" si="0"/>
        <v>360</v>
      </c>
      <c r="X20" s="39"/>
    </row>
    <row r="21" spans="2:23" ht="24" customHeight="1">
      <c r="B21" s="40" t="s">
        <v>164</v>
      </c>
      <c r="C21" s="40" t="s">
        <v>164</v>
      </c>
      <c r="D21" s="845"/>
      <c r="E21" s="184" t="s">
        <v>602</v>
      </c>
      <c r="F21" s="301"/>
      <c r="G21" s="35">
        <v>14204</v>
      </c>
      <c r="H21" s="35">
        <v>3836</v>
      </c>
      <c r="I21" s="35">
        <v>15250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25</v>
      </c>
      <c r="U21" s="35">
        <v>0</v>
      </c>
      <c r="V21" s="35">
        <v>0</v>
      </c>
      <c r="W21" s="38">
        <f t="shared" si="0"/>
        <v>33315</v>
      </c>
    </row>
    <row r="22" spans="1:23" ht="24" customHeight="1">
      <c r="A22" s="28">
        <v>851286</v>
      </c>
      <c r="B22" s="40" t="s">
        <v>165</v>
      </c>
      <c r="C22" s="40" t="s">
        <v>165</v>
      </c>
      <c r="D22" s="845"/>
      <c r="E22" s="184" t="s">
        <v>603</v>
      </c>
      <c r="F22" s="301"/>
      <c r="G22" s="35">
        <v>0</v>
      </c>
      <c r="H22" s="35">
        <v>0</v>
      </c>
      <c r="I22" s="35">
        <v>120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8">
        <f t="shared" si="0"/>
        <v>120</v>
      </c>
    </row>
    <row r="23" spans="1:23" s="36" customFormat="1" ht="24">
      <c r="A23" s="28">
        <v>851297</v>
      </c>
      <c r="B23" s="40" t="s">
        <v>166</v>
      </c>
      <c r="C23" s="40" t="s">
        <v>166</v>
      </c>
      <c r="D23" s="845"/>
      <c r="E23" s="184" t="s">
        <v>674</v>
      </c>
      <c r="F23" s="301"/>
      <c r="G23" s="35">
        <v>11410</v>
      </c>
      <c r="H23" s="35">
        <v>3080</v>
      </c>
      <c r="I23" s="35">
        <v>2490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1490</v>
      </c>
      <c r="U23" s="35">
        <v>0</v>
      </c>
      <c r="V23" s="35">
        <v>0</v>
      </c>
      <c r="W23" s="38">
        <f t="shared" si="0"/>
        <v>18470</v>
      </c>
    </row>
    <row r="24" spans="1:23" s="36" customFormat="1" ht="24" customHeight="1">
      <c r="A24" s="28">
        <v>853322</v>
      </c>
      <c r="B24" s="40" t="s">
        <v>167</v>
      </c>
      <c r="C24" s="40" t="s">
        <v>185</v>
      </c>
      <c r="D24" s="156" t="s">
        <v>632</v>
      </c>
      <c r="E24" s="184" t="s">
        <v>186</v>
      </c>
      <c r="F24" s="302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f>29886-5400</f>
        <v>24486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11201</v>
      </c>
      <c r="U24" s="35">
        <v>0</v>
      </c>
      <c r="V24" s="35">
        <v>0</v>
      </c>
      <c r="W24" s="38">
        <f t="shared" si="0"/>
        <v>35687</v>
      </c>
    </row>
    <row r="25" spans="1:23" s="36" customFormat="1" ht="24">
      <c r="A25" s="28"/>
      <c r="B25" s="40" t="s">
        <v>168</v>
      </c>
      <c r="C25" s="40" t="s">
        <v>146</v>
      </c>
      <c r="D25" s="156" t="s">
        <v>633</v>
      </c>
      <c r="E25" s="185" t="s">
        <v>840</v>
      </c>
      <c r="F25" s="302"/>
      <c r="G25" s="35">
        <v>0</v>
      </c>
      <c r="H25" s="35">
        <v>0</v>
      </c>
      <c r="I25" s="35">
        <v>0</v>
      </c>
      <c r="J25" s="35">
        <v>0</v>
      </c>
      <c r="K25" s="35">
        <v>250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8">
        <f t="shared" si="0"/>
        <v>250</v>
      </c>
    </row>
    <row r="26" spans="1:23" s="36" customFormat="1" ht="36">
      <c r="A26" s="28"/>
      <c r="B26" s="40" t="s">
        <v>170</v>
      </c>
      <c r="C26" s="40" t="s">
        <v>833</v>
      </c>
      <c r="D26" s="156" t="s">
        <v>634</v>
      </c>
      <c r="E26" s="185" t="s">
        <v>991</v>
      </c>
      <c r="F26" s="302"/>
      <c r="G26" s="35">
        <v>0</v>
      </c>
      <c r="H26" s="35">
        <v>0</v>
      </c>
      <c r="I26" s="35">
        <v>1186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394</v>
      </c>
      <c r="U26" s="35">
        <v>0</v>
      </c>
      <c r="V26" s="35">
        <v>0</v>
      </c>
      <c r="W26" s="38">
        <f t="shared" si="0"/>
        <v>1580</v>
      </c>
    </row>
    <row r="27" spans="1:23" s="36" customFormat="1" ht="24" customHeight="1">
      <c r="A27" s="28"/>
      <c r="B27" s="40" t="s">
        <v>172</v>
      </c>
      <c r="C27" s="40" t="s">
        <v>834</v>
      </c>
      <c r="D27" s="156" t="s">
        <v>635</v>
      </c>
      <c r="E27" s="185" t="s">
        <v>841</v>
      </c>
      <c r="F27" s="302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1100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8">
        <f t="shared" si="0"/>
        <v>1100</v>
      </c>
    </row>
    <row r="28" spans="1:23" s="36" customFormat="1" ht="23.25" customHeight="1">
      <c r="A28" s="28"/>
      <c r="B28" s="40" t="s">
        <v>174</v>
      </c>
      <c r="C28" s="40" t="s">
        <v>181</v>
      </c>
      <c r="D28" s="156" t="s">
        <v>636</v>
      </c>
      <c r="E28" s="185" t="s">
        <v>604</v>
      </c>
      <c r="F28" s="302"/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f>2359+1563-500</f>
        <v>3422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8">
        <f t="shared" si="0"/>
        <v>3422</v>
      </c>
    </row>
    <row r="29" spans="1:23" ht="25.5" customHeight="1">
      <c r="A29" s="28">
        <v>853333</v>
      </c>
      <c r="B29" s="40" t="s">
        <v>176</v>
      </c>
      <c r="C29" s="40" t="s">
        <v>182</v>
      </c>
      <c r="D29" s="156" t="s">
        <v>637</v>
      </c>
      <c r="E29" s="185" t="s">
        <v>190</v>
      </c>
      <c r="F29" s="301"/>
      <c r="G29" s="35">
        <v>0</v>
      </c>
      <c r="H29" s="35">
        <v>0</v>
      </c>
      <c r="I29" s="35">
        <v>50</v>
      </c>
      <c r="J29" s="35">
        <v>0</v>
      </c>
      <c r="K29" s="35">
        <v>0</v>
      </c>
      <c r="L29" s="201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8">
        <f t="shared" si="0"/>
        <v>50</v>
      </c>
    </row>
    <row r="30" spans="2:23" ht="36">
      <c r="B30" s="40" t="s">
        <v>177</v>
      </c>
      <c r="C30" s="40" t="s">
        <v>183</v>
      </c>
      <c r="D30" s="156" t="s">
        <v>638</v>
      </c>
      <c r="E30" s="184" t="s">
        <v>842</v>
      </c>
      <c r="F30" s="301"/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201">
        <f>8502-405-500</f>
        <v>7597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920</v>
      </c>
      <c r="U30" s="35">
        <v>0</v>
      </c>
      <c r="V30" s="35">
        <v>0</v>
      </c>
      <c r="W30" s="38">
        <f t="shared" si="0"/>
        <v>8517</v>
      </c>
    </row>
    <row r="31" spans="2:23" ht="24">
      <c r="B31" s="40" t="s">
        <v>178</v>
      </c>
      <c r="C31" s="40" t="s">
        <v>980</v>
      </c>
      <c r="D31" s="156" t="s">
        <v>639</v>
      </c>
      <c r="E31" s="184" t="s">
        <v>981</v>
      </c>
      <c r="F31" s="301"/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201">
        <f>5082-2870-1200</f>
        <v>1012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8">
        <f t="shared" si="0"/>
        <v>1012</v>
      </c>
    </row>
    <row r="32" spans="3:23" ht="24">
      <c r="C32" s="40" t="s">
        <v>982</v>
      </c>
      <c r="D32" s="631" t="s">
        <v>640</v>
      </c>
      <c r="E32" s="184" t="s">
        <v>983</v>
      </c>
      <c r="F32" s="301"/>
      <c r="G32" s="35">
        <v>0</v>
      </c>
      <c r="H32" s="35">
        <v>0</v>
      </c>
      <c r="I32" s="35">
        <v>81</v>
      </c>
      <c r="J32" s="35">
        <v>0</v>
      </c>
      <c r="K32" s="35">
        <v>0</v>
      </c>
      <c r="L32" s="201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172</v>
      </c>
      <c r="U32" s="35">
        <v>0</v>
      </c>
      <c r="V32" s="35">
        <v>0</v>
      </c>
      <c r="W32" s="38">
        <f t="shared" si="0"/>
        <v>253</v>
      </c>
    </row>
    <row r="33" spans="2:23" ht="24" customHeight="1">
      <c r="B33" s="40" t="s">
        <v>179</v>
      </c>
      <c r="C33" s="40" t="s">
        <v>167</v>
      </c>
      <c r="D33" s="836" t="s">
        <v>990</v>
      </c>
      <c r="E33" s="184" t="s">
        <v>843</v>
      </c>
      <c r="F33" s="301"/>
      <c r="G33" s="35">
        <v>0</v>
      </c>
      <c r="H33" s="35">
        <v>0</v>
      </c>
      <c r="I33" s="35">
        <f>16500-1500</f>
        <v>15000</v>
      </c>
      <c r="J33" s="35">
        <v>0</v>
      </c>
      <c r="K33" s="35">
        <v>0</v>
      </c>
      <c r="L33" s="35">
        <f>26513-9441</f>
        <v>17072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8">
        <f t="shared" si="0"/>
        <v>32072</v>
      </c>
    </row>
    <row r="34" spans="2:23" ht="24" customHeight="1">
      <c r="B34" s="40" t="s">
        <v>180</v>
      </c>
      <c r="C34" s="40" t="s">
        <v>170</v>
      </c>
      <c r="D34" s="837"/>
      <c r="E34" s="184" t="s">
        <v>171</v>
      </c>
      <c r="F34" s="301"/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201">
        <f>5580+3820</f>
        <v>9400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8">
        <f t="shared" si="0"/>
        <v>9400</v>
      </c>
    </row>
    <row r="35" spans="3:23" ht="24" customHeight="1">
      <c r="C35" s="40" t="s">
        <v>172</v>
      </c>
      <c r="D35" s="837"/>
      <c r="E35" s="184" t="s">
        <v>173</v>
      </c>
      <c r="F35" s="301"/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201">
        <v>217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8">
        <f t="shared" si="0"/>
        <v>217</v>
      </c>
    </row>
    <row r="36" spans="3:23" ht="24" customHeight="1">
      <c r="C36" s="40" t="s">
        <v>168</v>
      </c>
      <c r="D36" s="837"/>
      <c r="E36" s="184" t="s">
        <v>169</v>
      </c>
      <c r="F36" s="301"/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f>1711+1272</f>
        <v>2983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8">
        <f t="shared" si="0"/>
        <v>2983</v>
      </c>
    </row>
    <row r="37" spans="3:23" ht="24" customHeight="1">
      <c r="C37" s="40" t="s">
        <v>174</v>
      </c>
      <c r="D37" s="837"/>
      <c r="E37" s="184" t="s">
        <v>175</v>
      </c>
      <c r="F37" s="301"/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f>4155+1666</f>
        <v>5821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8">
        <f t="shared" si="0"/>
        <v>5821</v>
      </c>
    </row>
    <row r="38" spans="2:23" ht="24" customHeight="1">
      <c r="B38" s="40" t="s">
        <v>181</v>
      </c>
      <c r="C38" s="40" t="s">
        <v>176</v>
      </c>
      <c r="D38" s="837"/>
      <c r="E38" s="184" t="s">
        <v>698</v>
      </c>
      <c r="F38" s="301"/>
      <c r="G38" s="35">
        <v>0</v>
      </c>
      <c r="H38" s="35">
        <v>0</v>
      </c>
      <c r="I38" s="35">
        <f>2050-150</f>
        <v>1900</v>
      </c>
      <c r="J38" s="35">
        <v>0</v>
      </c>
      <c r="K38" s="35">
        <v>0</v>
      </c>
      <c r="L38" s="35">
        <f>3326+1552</f>
        <v>4878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8">
        <f t="shared" si="0"/>
        <v>6778</v>
      </c>
    </row>
    <row r="39" spans="2:23" ht="24" customHeight="1">
      <c r="B39" s="40" t="s">
        <v>182</v>
      </c>
      <c r="C39" s="40" t="s">
        <v>177</v>
      </c>
      <c r="D39" s="838"/>
      <c r="E39" s="184" t="s">
        <v>699</v>
      </c>
      <c r="F39" s="301"/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f>2839-4</f>
        <v>2835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8">
        <f t="shared" si="0"/>
        <v>2835</v>
      </c>
    </row>
    <row r="40" spans="3:23" ht="24" customHeight="1">
      <c r="C40" s="40" t="s">
        <v>984</v>
      </c>
      <c r="D40" s="631" t="s">
        <v>745</v>
      </c>
      <c r="E40" s="184" t="s">
        <v>985</v>
      </c>
      <c r="F40" s="301"/>
      <c r="G40" s="35">
        <v>0</v>
      </c>
      <c r="H40" s="35">
        <v>0</v>
      </c>
      <c r="I40" s="35">
        <v>24</v>
      </c>
      <c r="J40" s="35">
        <v>0</v>
      </c>
      <c r="K40" s="35">
        <v>0</v>
      </c>
      <c r="L40" s="201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8">
        <f t="shared" si="0"/>
        <v>24</v>
      </c>
    </row>
    <row r="41" spans="3:23" ht="24" customHeight="1">
      <c r="C41" s="40" t="s">
        <v>986</v>
      </c>
      <c r="D41" s="631" t="s">
        <v>746</v>
      </c>
      <c r="E41" s="184" t="s">
        <v>987</v>
      </c>
      <c r="F41" s="301"/>
      <c r="G41" s="35">
        <v>0</v>
      </c>
      <c r="H41" s="35">
        <v>0</v>
      </c>
      <c r="I41" s="35">
        <v>24</v>
      </c>
      <c r="J41" s="35">
        <v>0</v>
      </c>
      <c r="K41" s="35">
        <v>0</v>
      </c>
      <c r="L41" s="201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8">
        <f t="shared" si="0"/>
        <v>24</v>
      </c>
    </row>
    <row r="42" spans="2:23" ht="24">
      <c r="B42" s="40" t="s">
        <v>185</v>
      </c>
      <c r="C42" s="40" t="s">
        <v>180</v>
      </c>
      <c r="D42" s="631" t="s">
        <v>703</v>
      </c>
      <c r="E42" s="184" t="s">
        <v>844</v>
      </c>
      <c r="F42" s="301"/>
      <c r="G42" s="35">
        <v>0</v>
      </c>
      <c r="H42" s="35">
        <v>0</v>
      </c>
      <c r="I42" s="35">
        <v>0</v>
      </c>
      <c r="J42" s="35">
        <v>4506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635">
        <v>0</v>
      </c>
      <c r="T42" s="35">
        <v>0</v>
      </c>
      <c r="U42" s="35">
        <v>0</v>
      </c>
      <c r="V42" s="35">
        <v>0</v>
      </c>
      <c r="W42" s="38">
        <f t="shared" si="0"/>
        <v>4506</v>
      </c>
    </row>
    <row r="43" spans="3:23" ht="24">
      <c r="C43" s="40" t="s">
        <v>157</v>
      </c>
      <c r="D43" s="631" t="s">
        <v>747</v>
      </c>
      <c r="E43" s="184" t="s">
        <v>600</v>
      </c>
      <c r="F43" s="633"/>
      <c r="G43" s="634">
        <v>0</v>
      </c>
      <c r="H43" s="635">
        <v>0</v>
      </c>
      <c r="I43" s="635">
        <v>0</v>
      </c>
      <c r="J43" s="635">
        <v>0</v>
      </c>
      <c r="K43" s="635">
        <v>0</v>
      </c>
      <c r="L43" s="635">
        <v>0</v>
      </c>
      <c r="M43" s="635">
        <v>1000</v>
      </c>
      <c r="N43" s="635">
        <v>200</v>
      </c>
      <c r="O43" s="635">
        <v>1000</v>
      </c>
      <c r="P43" s="635">
        <v>0</v>
      </c>
      <c r="Q43" s="635">
        <v>3700</v>
      </c>
      <c r="R43" s="635">
        <v>329</v>
      </c>
      <c r="S43" s="634">
        <v>40540</v>
      </c>
      <c r="T43" s="635">
        <v>0</v>
      </c>
      <c r="U43" s="635">
        <v>0</v>
      </c>
      <c r="V43" s="635">
        <v>0</v>
      </c>
      <c r="W43" s="38">
        <f t="shared" si="0"/>
        <v>46769</v>
      </c>
    </row>
    <row r="44" spans="3:23" ht="24" customHeight="1">
      <c r="C44" s="188" t="s">
        <v>835</v>
      </c>
      <c r="D44" s="631" t="s">
        <v>641</v>
      </c>
      <c r="E44" s="632" t="s">
        <v>561</v>
      </c>
      <c r="F44" s="633"/>
      <c r="G44" s="634">
        <v>29577</v>
      </c>
      <c r="H44" s="635">
        <v>7976</v>
      </c>
      <c r="I44" s="635">
        <v>95155</v>
      </c>
      <c r="J44" s="635">
        <v>0</v>
      </c>
      <c r="K44" s="635">
        <v>0</v>
      </c>
      <c r="L44" s="635">
        <v>0</v>
      </c>
      <c r="M44" s="635">
        <v>0</v>
      </c>
      <c r="N44" s="634">
        <v>0</v>
      </c>
      <c r="O44" s="634">
        <v>0</v>
      </c>
      <c r="P44" s="634">
        <v>0</v>
      </c>
      <c r="Q44" s="634">
        <v>0</v>
      </c>
      <c r="R44" s="634">
        <v>0</v>
      </c>
      <c r="S44" s="635">
        <v>0</v>
      </c>
      <c r="T44" s="635">
        <v>216</v>
      </c>
      <c r="U44" s="635">
        <v>0</v>
      </c>
      <c r="V44" s="635">
        <v>0</v>
      </c>
      <c r="W44" s="38">
        <f t="shared" si="0"/>
        <v>132924</v>
      </c>
    </row>
    <row r="45" spans="3:23" ht="24">
      <c r="C45" s="188"/>
      <c r="D45" s="631" t="s">
        <v>642</v>
      </c>
      <c r="E45" s="632" t="s">
        <v>988</v>
      </c>
      <c r="F45" s="633"/>
      <c r="G45" s="634">
        <v>0</v>
      </c>
      <c r="H45" s="634">
        <v>0</v>
      </c>
      <c r="I45" s="634">
        <v>6530</v>
      </c>
      <c r="J45" s="634">
        <v>0</v>
      </c>
      <c r="K45" s="634">
        <v>0</v>
      </c>
      <c r="L45" s="634">
        <v>0</v>
      </c>
      <c r="M45" s="634">
        <v>0</v>
      </c>
      <c r="N45" s="634">
        <v>0</v>
      </c>
      <c r="O45" s="634">
        <v>0</v>
      </c>
      <c r="P45" s="634">
        <v>0</v>
      </c>
      <c r="Q45" s="634">
        <v>0</v>
      </c>
      <c r="R45" s="634">
        <v>0</v>
      </c>
      <c r="S45" s="634">
        <v>0</v>
      </c>
      <c r="T45" s="634">
        <v>0</v>
      </c>
      <c r="U45" s="634">
        <v>0</v>
      </c>
      <c r="V45" s="634">
        <v>0</v>
      </c>
      <c r="W45" s="38">
        <f t="shared" si="0"/>
        <v>6530</v>
      </c>
    </row>
    <row r="46" spans="1:26" s="187" customFormat="1" ht="24" customHeight="1" thickBot="1">
      <c r="A46" s="187">
        <v>999997</v>
      </c>
      <c r="B46" s="188"/>
      <c r="D46" s="190" t="s">
        <v>643</v>
      </c>
      <c r="E46" s="191" t="s">
        <v>580</v>
      </c>
      <c r="F46" s="192">
        <f>SUM(F8:F42)</f>
        <v>0</v>
      </c>
      <c r="G46" s="193">
        <f aca="true" t="shared" si="1" ref="G46:W46">SUM(G8:G45)</f>
        <v>121446</v>
      </c>
      <c r="H46" s="193">
        <f t="shared" si="1"/>
        <v>34927</v>
      </c>
      <c r="I46" s="193">
        <f t="shared" si="1"/>
        <v>251632</v>
      </c>
      <c r="J46" s="193">
        <f t="shared" si="1"/>
        <v>4506</v>
      </c>
      <c r="K46" s="193">
        <f t="shared" si="1"/>
        <v>937</v>
      </c>
      <c r="L46" s="193">
        <f t="shared" si="1"/>
        <v>290901</v>
      </c>
      <c r="M46" s="193">
        <f t="shared" si="1"/>
        <v>1000</v>
      </c>
      <c r="N46" s="193">
        <f t="shared" si="1"/>
        <v>200</v>
      </c>
      <c r="O46" s="193">
        <f t="shared" si="1"/>
        <v>1000</v>
      </c>
      <c r="P46" s="193">
        <f t="shared" si="1"/>
        <v>0</v>
      </c>
      <c r="Q46" s="193">
        <f t="shared" si="1"/>
        <v>3700</v>
      </c>
      <c r="R46" s="193">
        <f t="shared" si="1"/>
        <v>329</v>
      </c>
      <c r="S46" s="193">
        <f t="shared" si="1"/>
        <v>40540</v>
      </c>
      <c r="T46" s="193">
        <f t="shared" si="1"/>
        <v>20361</v>
      </c>
      <c r="U46" s="193">
        <f t="shared" si="1"/>
        <v>300</v>
      </c>
      <c r="V46" s="193">
        <f t="shared" si="1"/>
        <v>398</v>
      </c>
      <c r="W46" s="194">
        <f t="shared" si="1"/>
        <v>772177</v>
      </c>
      <c r="X46" s="679">
        <f>SUM(G46:V46)</f>
        <v>772177</v>
      </c>
      <c r="Y46" s="189"/>
      <c r="Z46" s="189"/>
    </row>
    <row r="47" ht="12.75">
      <c r="E47" s="678"/>
    </row>
    <row r="51" ht="12">
      <c r="F51" s="154"/>
    </row>
  </sheetData>
  <sheetProtection/>
  <mergeCells count="26">
    <mergeCell ref="D4:D7"/>
    <mergeCell ref="G5:G6"/>
    <mergeCell ref="H5:H6"/>
    <mergeCell ref="K5:K6"/>
    <mergeCell ref="I5:I6"/>
    <mergeCell ref="W4:W6"/>
    <mergeCell ref="T5:T6"/>
    <mergeCell ref="U5:U6"/>
    <mergeCell ref="P5:P6"/>
    <mergeCell ref="E4:E6"/>
    <mergeCell ref="F4:F6"/>
    <mergeCell ref="V5:V6"/>
    <mergeCell ref="M5:M6"/>
    <mergeCell ref="R5:R6"/>
    <mergeCell ref="O5:O6"/>
    <mergeCell ref="N5:N6"/>
    <mergeCell ref="D33:D39"/>
    <mergeCell ref="C1:C2"/>
    <mergeCell ref="Q5:Q6"/>
    <mergeCell ref="S5:S6"/>
    <mergeCell ref="G4:V4"/>
    <mergeCell ref="R1:W1"/>
    <mergeCell ref="D20:D23"/>
    <mergeCell ref="J5:J6"/>
    <mergeCell ref="L5:L6"/>
    <mergeCell ref="E2:W2"/>
  </mergeCells>
  <printOptions horizontalCentered="1"/>
  <pageMargins left="0.07874015748031496" right="0.07874015748031496" top="0.984251968503937" bottom="0.984251968503937" header="0.11811023622047245" footer="0.1968503937007874"/>
  <pageSetup horizontalDpi="600" verticalDpi="600" orientation="landscape" paperSize="9" scale="73" r:id="rId1"/>
  <rowBreaks count="1" manualBreakCount="1">
    <brk id="26" min="3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AA67"/>
  <sheetViews>
    <sheetView workbookViewId="0" topLeftCell="A1">
      <selection activeCell="G2" sqref="G2"/>
    </sheetView>
  </sheetViews>
  <sheetFormatPr defaultColWidth="9.00390625" defaultRowHeight="12.75"/>
  <cols>
    <col min="1" max="1" width="7.75390625" style="0" customWidth="1"/>
    <col min="2" max="2" width="31.75390625" style="0" customWidth="1"/>
    <col min="3" max="3" width="14.375" style="0" customWidth="1"/>
    <col min="4" max="6" width="13.75390625" style="0" bestFit="1" customWidth="1"/>
    <col min="7" max="11" width="12.875" style="0" customWidth="1"/>
    <col min="12" max="12" width="15.00390625" style="0" customWidth="1"/>
    <col min="13" max="13" width="17.00390625" style="0" bestFit="1" customWidth="1"/>
  </cols>
  <sheetData>
    <row r="1" spans="1:21" ht="12.75">
      <c r="A1" s="243"/>
      <c r="B1" s="244"/>
      <c r="C1" s="245"/>
      <c r="D1" s="245"/>
      <c r="E1" s="245"/>
      <c r="F1" s="245"/>
      <c r="G1" s="887" t="s">
        <v>1055</v>
      </c>
      <c r="H1" s="887"/>
      <c r="I1" s="888"/>
      <c r="J1" s="888"/>
      <c r="K1" s="888"/>
      <c r="L1" s="888"/>
      <c r="M1" s="888"/>
      <c r="N1" s="244"/>
      <c r="O1" s="244"/>
      <c r="P1" s="244"/>
      <c r="Q1" s="244"/>
      <c r="R1" s="248"/>
      <c r="S1" s="248"/>
      <c r="T1" s="248"/>
      <c r="U1" s="244"/>
    </row>
    <row r="2" spans="1:21" ht="12.75">
      <c r="A2" s="243"/>
      <c r="B2" s="244"/>
      <c r="C2" s="245"/>
      <c r="D2" s="245"/>
      <c r="E2" s="245"/>
      <c r="F2" s="245"/>
      <c r="G2" s="246"/>
      <c r="H2" s="246"/>
      <c r="I2" s="247"/>
      <c r="J2" s="247"/>
      <c r="K2" s="247"/>
      <c r="L2" s="247"/>
      <c r="M2" s="247"/>
      <c r="N2" s="244"/>
      <c r="O2" s="244"/>
      <c r="P2" s="244"/>
      <c r="Q2" s="244"/>
      <c r="R2" s="248"/>
      <c r="S2" s="248"/>
      <c r="T2" s="248"/>
      <c r="U2" s="244"/>
    </row>
    <row r="3" spans="1:27" ht="15.75" customHeight="1">
      <c r="A3" s="892" t="s">
        <v>914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</row>
    <row r="4" spans="1:27" ht="13.5" thickBot="1">
      <c r="A4" s="892"/>
      <c r="B4" s="892"/>
      <c r="C4" s="892"/>
      <c r="D4" s="892"/>
      <c r="E4" s="892"/>
      <c r="F4" s="892"/>
      <c r="G4" s="892"/>
      <c r="H4" s="892"/>
      <c r="I4" s="892"/>
      <c r="J4" s="892"/>
      <c r="K4" s="892"/>
      <c r="L4" s="892"/>
      <c r="M4" s="892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</row>
    <row r="5" spans="1:27" ht="16.5" thickBot="1">
      <c r="A5" s="879" t="s">
        <v>669</v>
      </c>
      <c r="B5" s="876" t="s">
        <v>576</v>
      </c>
      <c r="C5" s="882" t="s">
        <v>734</v>
      </c>
      <c r="D5" s="882"/>
      <c r="E5" s="882"/>
      <c r="F5" s="882"/>
      <c r="G5" s="882"/>
      <c r="H5" s="882"/>
      <c r="I5" s="882"/>
      <c r="J5" s="882"/>
      <c r="K5" s="882"/>
      <c r="L5" s="882"/>
      <c r="M5" s="883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51"/>
    </row>
    <row r="6" spans="1:13" ht="12.75" customHeight="1">
      <c r="A6" s="880"/>
      <c r="B6" s="877"/>
      <c r="C6" s="893" t="s">
        <v>735</v>
      </c>
      <c r="D6" s="867" t="s">
        <v>736</v>
      </c>
      <c r="E6" s="868"/>
      <c r="F6" s="869"/>
      <c r="G6" s="867" t="s">
        <v>737</v>
      </c>
      <c r="H6" s="868"/>
      <c r="I6" s="869"/>
      <c r="J6" s="867" t="s">
        <v>738</v>
      </c>
      <c r="K6" s="868"/>
      <c r="L6" s="869"/>
      <c r="M6" s="889" t="s">
        <v>586</v>
      </c>
    </row>
    <row r="7" spans="1:13" ht="12.75" customHeight="1">
      <c r="A7" s="880"/>
      <c r="B7" s="877"/>
      <c r="C7" s="894"/>
      <c r="D7" s="870"/>
      <c r="E7" s="871"/>
      <c r="F7" s="872"/>
      <c r="G7" s="870"/>
      <c r="H7" s="871"/>
      <c r="I7" s="872"/>
      <c r="J7" s="870"/>
      <c r="K7" s="871"/>
      <c r="L7" s="872"/>
      <c r="M7" s="890"/>
    </row>
    <row r="8" spans="1:13" ht="24" customHeight="1" thickBot="1">
      <c r="A8" s="881"/>
      <c r="B8" s="878"/>
      <c r="C8" s="895"/>
      <c r="D8" s="594" t="s">
        <v>191</v>
      </c>
      <c r="E8" s="595" t="s">
        <v>192</v>
      </c>
      <c r="F8" s="327" t="s">
        <v>193</v>
      </c>
      <c r="G8" s="596" t="s">
        <v>191</v>
      </c>
      <c r="H8" s="595" t="s">
        <v>192</v>
      </c>
      <c r="I8" s="327" t="s">
        <v>193</v>
      </c>
      <c r="J8" s="596" t="s">
        <v>191</v>
      </c>
      <c r="K8" s="595" t="s">
        <v>192</v>
      </c>
      <c r="L8" s="327" t="s">
        <v>193</v>
      </c>
      <c r="M8" s="891"/>
    </row>
    <row r="9" spans="1:13" ht="13.5" thickBot="1">
      <c r="A9" s="591"/>
      <c r="B9" s="884" t="s">
        <v>918</v>
      </c>
      <c r="C9" s="885"/>
      <c r="D9" s="885"/>
      <c r="E9" s="885"/>
      <c r="F9" s="885"/>
      <c r="G9" s="885"/>
      <c r="H9" s="885"/>
      <c r="I9" s="885"/>
      <c r="J9" s="885"/>
      <c r="K9" s="885"/>
      <c r="L9" s="885"/>
      <c r="M9" s="886"/>
    </row>
    <row r="10" spans="1:13" ht="29.25" customHeight="1">
      <c r="A10" s="592" t="s">
        <v>619</v>
      </c>
      <c r="B10" s="593" t="s">
        <v>153</v>
      </c>
      <c r="C10" s="306" t="s">
        <v>742</v>
      </c>
      <c r="D10" s="584">
        <f>169570+1276-6000-5308</f>
        <v>159538</v>
      </c>
      <c r="E10" s="585"/>
      <c r="F10" s="309">
        <f aca="true" t="shared" si="0" ref="F10:F35">SUM(D10:E10)</f>
        <v>159538</v>
      </c>
      <c r="G10" s="682"/>
      <c r="H10" s="585"/>
      <c r="I10" s="309">
        <f aca="true" t="shared" si="1" ref="I10:I35">SUM(G10:H10)</f>
        <v>0</v>
      </c>
      <c r="J10" s="586"/>
      <c r="K10" s="587"/>
      <c r="L10" s="309">
        <f aca="true" t="shared" si="2" ref="L10:L35">SUM(J10:K10)</f>
        <v>0</v>
      </c>
      <c r="M10" s="599">
        <f aca="true" t="shared" si="3" ref="M10:M16">SUM(F10+I10+L10)</f>
        <v>159538</v>
      </c>
    </row>
    <row r="11" spans="1:13" ht="29.25" customHeight="1">
      <c r="A11" s="681" t="s">
        <v>620</v>
      </c>
      <c r="B11" s="583" t="s">
        <v>148</v>
      </c>
      <c r="C11" s="326" t="s">
        <v>741</v>
      </c>
      <c r="D11" s="584">
        <f>63469-2200</f>
        <v>61269</v>
      </c>
      <c r="E11" s="585">
        <v>5611</v>
      </c>
      <c r="F11" s="309">
        <f t="shared" si="0"/>
        <v>66880</v>
      </c>
      <c r="G11" s="682"/>
      <c r="H11" s="585"/>
      <c r="I11" s="309">
        <f t="shared" si="1"/>
        <v>0</v>
      </c>
      <c r="J11" s="586"/>
      <c r="K11" s="587"/>
      <c r="L11" s="309">
        <f t="shared" si="2"/>
        <v>0</v>
      </c>
      <c r="M11" s="599">
        <f t="shared" si="3"/>
        <v>66880</v>
      </c>
    </row>
    <row r="12" spans="1:13" ht="29.25" customHeight="1">
      <c r="A12" s="681" t="s">
        <v>621</v>
      </c>
      <c r="B12" s="583" t="s">
        <v>150</v>
      </c>
      <c r="C12" s="326" t="s">
        <v>741</v>
      </c>
      <c r="D12" s="584">
        <v>38236</v>
      </c>
      <c r="E12" s="585">
        <f>3363-3000-333</f>
        <v>30</v>
      </c>
      <c r="F12" s="309">
        <f t="shared" si="0"/>
        <v>38266</v>
      </c>
      <c r="G12" s="682"/>
      <c r="H12" s="585"/>
      <c r="I12" s="309">
        <f t="shared" si="1"/>
        <v>0</v>
      </c>
      <c r="J12" s="586"/>
      <c r="K12" s="587"/>
      <c r="L12" s="309">
        <f t="shared" si="2"/>
        <v>0</v>
      </c>
      <c r="M12" s="599">
        <f t="shared" si="3"/>
        <v>38266</v>
      </c>
    </row>
    <row r="13" spans="1:13" ht="29.25" customHeight="1">
      <c r="A13" s="681" t="s">
        <v>622</v>
      </c>
      <c r="B13" s="583" t="s">
        <v>598</v>
      </c>
      <c r="C13" s="590"/>
      <c r="D13" s="584"/>
      <c r="E13" s="585"/>
      <c r="F13" s="309">
        <f t="shared" si="0"/>
        <v>0</v>
      </c>
      <c r="G13" s="682">
        <v>7443</v>
      </c>
      <c r="H13" s="585"/>
      <c r="I13" s="309">
        <f t="shared" si="1"/>
        <v>7443</v>
      </c>
      <c r="J13" s="586"/>
      <c r="K13" s="587"/>
      <c r="L13" s="309">
        <f t="shared" si="2"/>
        <v>0</v>
      </c>
      <c r="M13" s="599">
        <f t="shared" si="3"/>
        <v>7443</v>
      </c>
    </row>
    <row r="14" spans="1:13" ht="29.25" customHeight="1">
      <c r="A14" s="681" t="s">
        <v>623</v>
      </c>
      <c r="B14" s="583" t="s">
        <v>159</v>
      </c>
      <c r="C14" s="326" t="s">
        <v>196</v>
      </c>
      <c r="D14" s="584"/>
      <c r="E14" s="585"/>
      <c r="F14" s="309">
        <f t="shared" si="0"/>
        <v>0</v>
      </c>
      <c r="G14" s="682"/>
      <c r="H14" s="585"/>
      <c r="I14" s="309">
        <f t="shared" si="1"/>
        <v>0</v>
      </c>
      <c r="J14" s="586">
        <v>42700</v>
      </c>
      <c r="K14" s="587"/>
      <c r="L14" s="309">
        <f t="shared" si="2"/>
        <v>42700</v>
      </c>
      <c r="M14" s="599">
        <f t="shared" si="3"/>
        <v>42700</v>
      </c>
    </row>
    <row r="15" spans="1:13" ht="29.25" customHeight="1">
      <c r="A15" s="681" t="s">
        <v>624</v>
      </c>
      <c r="B15" s="583" t="s">
        <v>544</v>
      </c>
      <c r="C15" s="326" t="s">
        <v>740</v>
      </c>
      <c r="D15" s="584">
        <v>10040</v>
      </c>
      <c r="E15" s="585"/>
      <c r="F15" s="309">
        <f t="shared" si="0"/>
        <v>10040</v>
      </c>
      <c r="G15" s="682"/>
      <c r="H15" s="585"/>
      <c r="I15" s="309">
        <f t="shared" si="1"/>
        <v>0</v>
      </c>
      <c r="J15" s="586"/>
      <c r="K15" s="587"/>
      <c r="L15" s="309">
        <f t="shared" si="2"/>
        <v>0</v>
      </c>
      <c r="M15" s="599">
        <f t="shared" si="3"/>
        <v>10040</v>
      </c>
    </row>
    <row r="16" spans="1:13" ht="29.25" customHeight="1">
      <c r="A16" s="681" t="s">
        <v>625</v>
      </c>
      <c r="B16" s="583" t="s">
        <v>161</v>
      </c>
      <c r="C16" s="326" t="s">
        <v>743</v>
      </c>
      <c r="D16" s="584">
        <v>1000</v>
      </c>
      <c r="E16" s="585">
        <v>1000</v>
      </c>
      <c r="F16" s="309">
        <f t="shared" si="0"/>
        <v>2000</v>
      </c>
      <c r="G16" s="682"/>
      <c r="H16" s="585"/>
      <c r="I16" s="309">
        <f t="shared" si="1"/>
        <v>0</v>
      </c>
      <c r="J16" s="586"/>
      <c r="K16" s="587"/>
      <c r="L16" s="309">
        <f t="shared" si="2"/>
        <v>0</v>
      </c>
      <c r="M16" s="599">
        <f t="shared" si="3"/>
        <v>2000</v>
      </c>
    </row>
    <row r="17" spans="1:13" ht="39.75" customHeight="1">
      <c r="A17" s="252" t="s">
        <v>626</v>
      </c>
      <c r="B17" s="583" t="s">
        <v>142</v>
      </c>
      <c r="C17" s="326" t="s">
        <v>739</v>
      </c>
      <c r="D17" s="307">
        <v>2260</v>
      </c>
      <c r="E17" s="308"/>
      <c r="F17" s="309">
        <f t="shared" si="0"/>
        <v>2260</v>
      </c>
      <c r="G17" s="316"/>
      <c r="H17" s="308"/>
      <c r="I17" s="309">
        <f t="shared" si="1"/>
        <v>0</v>
      </c>
      <c r="J17" s="254"/>
      <c r="K17" s="255"/>
      <c r="L17" s="309">
        <f t="shared" si="2"/>
        <v>0</v>
      </c>
      <c r="M17" s="599">
        <f>SUM(F17+I17+L17)</f>
        <v>2260</v>
      </c>
    </row>
    <row r="18" spans="1:13" ht="31.5" customHeight="1">
      <c r="A18" s="252" t="s">
        <v>627</v>
      </c>
      <c r="B18" s="583" t="s">
        <v>595</v>
      </c>
      <c r="C18" s="326" t="s">
        <v>1002</v>
      </c>
      <c r="D18" s="307">
        <v>11708</v>
      </c>
      <c r="E18" s="308"/>
      <c r="F18" s="309">
        <f t="shared" si="0"/>
        <v>11708</v>
      </c>
      <c r="G18" s="316"/>
      <c r="H18" s="308"/>
      <c r="I18" s="309">
        <f t="shared" si="1"/>
        <v>0</v>
      </c>
      <c r="J18" s="254"/>
      <c r="K18" s="255"/>
      <c r="L18" s="309">
        <f t="shared" si="2"/>
        <v>0</v>
      </c>
      <c r="M18" s="599">
        <f aca="true" t="shared" si="4" ref="M18:M46">SUM(F18+I18+L18)</f>
        <v>11708</v>
      </c>
    </row>
    <row r="19" spans="1:13" ht="29.25" customHeight="1">
      <c r="A19" s="252" t="s">
        <v>628</v>
      </c>
      <c r="B19" s="583" t="s">
        <v>599</v>
      </c>
      <c r="C19" s="326" t="s">
        <v>740</v>
      </c>
      <c r="D19" s="307">
        <v>24384</v>
      </c>
      <c r="E19" s="308"/>
      <c r="F19" s="309">
        <f t="shared" si="0"/>
        <v>24384</v>
      </c>
      <c r="G19" s="316"/>
      <c r="H19" s="308"/>
      <c r="I19" s="309">
        <f t="shared" si="1"/>
        <v>0</v>
      </c>
      <c r="J19" s="254"/>
      <c r="K19" s="255"/>
      <c r="L19" s="309">
        <f t="shared" si="2"/>
        <v>0</v>
      </c>
      <c r="M19" s="599">
        <f t="shared" si="4"/>
        <v>24384</v>
      </c>
    </row>
    <row r="20" spans="1:13" ht="29.25" customHeight="1">
      <c r="A20" s="252" t="s">
        <v>629</v>
      </c>
      <c r="B20" s="583" t="s">
        <v>597</v>
      </c>
      <c r="C20" s="326" t="s">
        <v>740</v>
      </c>
      <c r="D20" s="307">
        <f>31365-2380</f>
        <v>28985</v>
      </c>
      <c r="E20" s="308"/>
      <c r="F20" s="309">
        <f t="shared" si="0"/>
        <v>28985</v>
      </c>
      <c r="G20" s="316"/>
      <c r="H20" s="308"/>
      <c r="I20" s="309">
        <f t="shared" si="1"/>
        <v>0</v>
      </c>
      <c r="J20" s="254"/>
      <c r="K20" s="255"/>
      <c r="L20" s="309">
        <f t="shared" si="2"/>
        <v>0</v>
      </c>
      <c r="M20" s="599">
        <f t="shared" si="4"/>
        <v>28985</v>
      </c>
    </row>
    <row r="21" spans="1:13" ht="29.25" customHeight="1">
      <c r="A21" s="252" t="s">
        <v>630</v>
      </c>
      <c r="B21" s="583" t="s">
        <v>187</v>
      </c>
      <c r="C21" s="326" t="s">
        <v>194</v>
      </c>
      <c r="D21" s="307">
        <f>20326-10</f>
        <v>20316</v>
      </c>
      <c r="E21" s="308">
        <f>10400-10400</f>
        <v>0</v>
      </c>
      <c r="F21" s="309">
        <f t="shared" si="0"/>
        <v>20316</v>
      </c>
      <c r="G21" s="718">
        <v>2638</v>
      </c>
      <c r="H21" s="719"/>
      <c r="I21" s="720">
        <f t="shared" si="1"/>
        <v>2638</v>
      </c>
      <c r="J21" s="254"/>
      <c r="K21" s="255"/>
      <c r="L21" s="309">
        <f t="shared" si="2"/>
        <v>0</v>
      </c>
      <c r="M21" s="599">
        <f t="shared" si="4"/>
        <v>22954</v>
      </c>
    </row>
    <row r="22" spans="1:13" ht="29.25" customHeight="1">
      <c r="A22" s="252" t="s">
        <v>631</v>
      </c>
      <c r="B22" s="588" t="s">
        <v>601</v>
      </c>
      <c r="C22" s="326" t="s">
        <v>998</v>
      </c>
      <c r="D22" s="307">
        <v>360</v>
      </c>
      <c r="E22" s="308"/>
      <c r="F22" s="309">
        <f t="shared" si="0"/>
        <v>360</v>
      </c>
      <c r="G22" s="316"/>
      <c r="H22" s="308"/>
      <c r="I22" s="309">
        <f t="shared" si="1"/>
        <v>0</v>
      </c>
      <c r="J22" s="254"/>
      <c r="K22" s="255"/>
      <c r="L22" s="309">
        <f t="shared" si="2"/>
        <v>0</v>
      </c>
      <c r="M22" s="599">
        <f t="shared" si="4"/>
        <v>360</v>
      </c>
    </row>
    <row r="23" spans="1:13" ht="29.25" customHeight="1">
      <c r="A23" s="252" t="s">
        <v>632</v>
      </c>
      <c r="B23" s="583" t="s">
        <v>602</v>
      </c>
      <c r="C23" s="326" t="s">
        <v>998</v>
      </c>
      <c r="D23" s="307">
        <v>33290</v>
      </c>
      <c r="E23" s="308">
        <v>25</v>
      </c>
      <c r="F23" s="309">
        <f t="shared" si="0"/>
        <v>33315</v>
      </c>
      <c r="G23" s="316"/>
      <c r="H23" s="308"/>
      <c r="I23" s="309">
        <f t="shared" si="1"/>
        <v>0</v>
      </c>
      <c r="J23" s="254"/>
      <c r="K23" s="255"/>
      <c r="L23" s="309">
        <f t="shared" si="2"/>
        <v>0</v>
      </c>
      <c r="M23" s="599">
        <f t="shared" si="4"/>
        <v>33315</v>
      </c>
    </row>
    <row r="24" spans="1:13" ht="29.25" customHeight="1">
      <c r="A24" s="252" t="s">
        <v>633</v>
      </c>
      <c r="B24" s="583" t="s">
        <v>603</v>
      </c>
      <c r="C24" s="326" t="s">
        <v>998</v>
      </c>
      <c r="D24" s="307">
        <v>120</v>
      </c>
      <c r="E24" s="308"/>
      <c r="F24" s="309">
        <f t="shared" si="0"/>
        <v>120</v>
      </c>
      <c r="G24" s="316"/>
      <c r="H24" s="308"/>
      <c r="I24" s="309">
        <f t="shared" si="1"/>
        <v>0</v>
      </c>
      <c r="J24" s="254"/>
      <c r="K24" s="255"/>
      <c r="L24" s="309">
        <f t="shared" si="2"/>
        <v>0</v>
      </c>
      <c r="M24" s="599">
        <f t="shared" si="4"/>
        <v>120</v>
      </c>
    </row>
    <row r="25" spans="1:13" ht="29.25" customHeight="1">
      <c r="A25" s="252" t="s">
        <v>634</v>
      </c>
      <c r="B25" s="583" t="s">
        <v>674</v>
      </c>
      <c r="C25" s="326" t="s">
        <v>998</v>
      </c>
      <c r="D25" s="307">
        <v>16980</v>
      </c>
      <c r="E25" s="308">
        <v>1490</v>
      </c>
      <c r="F25" s="309">
        <f t="shared" si="0"/>
        <v>18470</v>
      </c>
      <c r="G25" s="316"/>
      <c r="H25" s="308"/>
      <c r="I25" s="309">
        <f t="shared" si="1"/>
        <v>0</v>
      </c>
      <c r="J25" s="254"/>
      <c r="K25" s="255"/>
      <c r="L25" s="309">
        <f t="shared" si="2"/>
        <v>0</v>
      </c>
      <c r="M25" s="599">
        <f t="shared" si="4"/>
        <v>18470</v>
      </c>
    </row>
    <row r="26" spans="1:13" ht="29.25" customHeight="1">
      <c r="A26" s="252" t="s">
        <v>635</v>
      </c>
      <c r="B26" s="588" t="s">
        <v>186</v>
      </c>
      <c r="C26" s="309" t="s">
        <v>760</v>
      </c>
      <c r="D26" s="307">
        <f>29886-5400</f>
        <v>24486</v>
      </c>
      <c r="E26" s="308"/>
      <c r="F26" s="309">
        <f t="shared" si="0"/>
        <v>24486</v>
      </c>
      <c r="G26" s="718"/>
      <c r="H26" s="308">
        <v>11201</v>
      </c>
      <c r="I26" s="720">
        <f t="shared" si="1"/>
        <v>11201</v>
      </c>
      <c r="J26" s="254"/>
      <c r="K26" s="255"/>
      <c r="L26" s="309">
        <f t="shared" si="2"/>
        <v>0</v>
      </c>
      <c r="M26" s="599">
        <f t="shared" si="4"/>
        <v>35687</v>
      </c>
    </row>
    <row r="27" spans="1:13" ht="29.25" customHeight="1">
      <c r="A27" s="252" t="s">
        <v>636</v>
      </c>
      <c r="B27" s="583" t="s">
        <v>596</v>
      </c>
      <c r="C27" s="589"/>
      <c r="D27" s="307"/>
      <c r="E27" s="308"/>
      <c r="F27" s="309">
        <f t="shared" si="0"/>
        <v>0</v>
      </c>
      <c r="G27" s="316">
        <v>250</v>
      </c>
      <c r="H27" s="308"/>
      <c r="I27" s="309">
        <f t="shared" si="1"/>
        <v>250</v>
      </c>
      <c r="J27" s="254"/>
      <c r="K27" s="255"/>
      <c r="L27" s="309">
        <f t="shared" si="2"/>
        <v>0</v>
      </c>
      <c r="M27" s="599">
        <f t="shared" si="4"/>
        <v>250</v>
      </c>
    </row>
    <row r="28" spans="1:13" ht="36.75" customHeight="1">
      <c r="A28" s="252" t="s">
        <v>637</v>
      </c>
      <c r="B28" s="588" t="s">
        <v>995</v>
      </c>
      <c r="C28" s="309"/>
      <c r="D28" s="307"/>
      <c r="E28" s="308"/>
      <c r="F28" s="309">
        <f t="shared" si="0"/>
        <v>0</v>
      </c>
      <c r="G28" s="716">
        <v>1186</v>
      </c>
      <c r="H28" s="308">
        <v>394</v>
      </c>
      <c r="I28" s="309">
        <f t="shared" si="1"/>
        <v>1580</v>
      </c>
      <c r="J28" s="254"/>
      <c r="K28" s="255"/>
      <c r="L28" s="309">
        <f t="shared" si="2"/>
        <v>0</v>
      </c>
      <c r="M28" s="599">
        <f t="shared" si="4"/>
        <v>1580</v>
      </c>
    </row>
    <row r="29" spans="1:13" ht="29.25" customHeight="1">
      <c r="A29" s="252" t="s">
        <v>638</v>
      </c>
      <c r="B29" s="588" t="s">
        <v>841</v>
      </c>
      <c r="C29" s="326" t="s">
        <v>758</v>
      </c>
      <c r="D29" s="307">
        <v>1100</v>
      </c>
      <c r="E29" s="308"/>
      <c r="F29" s="309">
        <f t="shared" si="0"/>
        <v>1100</v>
      </c>
      <c r="G29" s="316"/>
      <c r="H29" s="308"/>
      <c r="I29" s="309">
        <f t="shared" si="1"/>
        <v>0</v>
      </c>
      <c r="J29" s="254"/>
      <c r="K29" s="255"/>
      <c r="L29" s="309">
        <f t="shared" si="2"/>
        <v>0</v>
      </c>
      <c r="M29" s="599">
        <f t="shared" si="4"/>
        <v>1100</v>
      </c>
    </row>
    <row r="30" spans="1:13" ht="29.25" customHeight="1">
      <c r="A30" s="252" t="s">
        <v>639</v>
      </c>
      <c r="B30" s="583" t="s">
        <v>604</v>
      </c>
      <c r="C30" s="326" t="s">
        <v>758</v>
      </c>
      <c r="D30" s="307">
        <f>2359+1563-500</f>
        <v>3422</v>
      </c>
      <c r="E30" s="308"/>
      <c r="F30" s="309">
        <f t="shared" si="0"/>
        <v>3422</v>
      </c>
      <c r="G30" s="316"/>
      <c r="H30" s="308"/>
      <c r="I30" s="309">
        <f t="shared" si="1"/>
        <v>0</v>
      </c>
      <c r="J30" s="254"/>
      <c r="K30" s="255"/>
      <c r="L30" s="309">
        <f t="shared" si="2"/>
        <v>0</v>
      </c>
      <c r="M30" s="599">
        <f t="shared" si="4"/>
        <v>3422</v>
      </c>
    </row>
    <row r="31" spans="1:13" ht="29.25" customHeight="1">
      <c r="A31" s="252" t="s">
        <v>640</v>
      </c>
      <c r="B31" s="583" t="s">
        <v>190</v>
      </c>
      <c r="C31" s="684" t="s">
        <v>198</v>
      </c>
      <c r="D31" s="307"/>
      <c r="E31" s="308"/>
      <c r="F31" s="309">
        <f t="shared" si="0"/>
        <v>0</v>
      </c>
      <c r="G31" s="716">
        <v>50</v>
      </c>
      <c r="H31" s="308"/>
      <c r="I31" s="309">
        <f t="shared" si="1"/>
        <v>50</v>
      </c>
      <c r="J31" s="254"/>
      <c r="K31" s="255"/>
      <c r="L31" s="309">
        <f t="shared" si="2"/>
        <v>0</v>
      </c>
      <c r="M31" s="599">
        <f t="shared" si="4"/>
        <v>50</v>
      </c>
    </row>
    <row r="32" spans="1:13" ht="33.75">
      <c r="A32" s="252" t="s">
        <v>744</v>
      </c>
      <c r="B32" s="583" t="s">
        <v>184</v>
      </c>
      <c r="C32" s="326" t="s">
        <v>759</v>
      </c>
      <c r="D32" s="310">
        <f>8502-405-500</f>
        <v>7597</v>
      </c>
      <c r="E32" s="311">
        <v>920</v>
      </c>
      <c r="F32" s="309">
        <f t="shared" si="0"/>
        <v>8517</v>
      </c>
      <c r="G32" s="317"/>
      <c r="H32" s="311"/>
      <c r="I32" s="309">
        <f t="shared" si="1"/>
        <v>0</v>
      </c>
      <c r="J32" s="254"/>
      <c r="K32" s="255"/>
      <c r="L32" s="309">
        <f t="shared" si="2"/>
        <v>0</v>
      </c>
      <c r="M32" s="599">
        <f t="shared" si="4"/>
        <v>8517</v>
      </c>
    </row>
    <row r="33" spans="1:13" ht="24">
      <c r="A33" s="252" t="s">
        <v>745</v>
      </c>
      <c r="B33" s="583" t="s">
        <v>981</v>
      </c>
      <c r="C33" s="721"/>
      <c r="D33" s="310"/>
      <c r="E33" s="311"/>
      <c r="F33" s="309"/>
      <c r="G33" s="317">
        <f>5082-2870-1200</f>
        <v>1012</v>
      </c>
      <c r="H33" s="311"/>
      <c r="I33" s="309">
        <f t="shared" si="1"/>
        <v>1012</v>
      </c>
      <c r="J33" s="254"/>
      <c r="K33" s="255"/>
      <c r="L33" s="309"/>
      <c r="M33" s="599">
        <f t="shared" si="4"/>
        <v>1012</v>
      </c>
    </row>
    <row r="34" spans="1:13" ht="24">
      <c r="A34" s="252" t="s">
        <v>746</v>
      </c>
      <c r="B34" s="583" t="s">
        <v>983</v>
      </c>
      <c r="C34" s="326" t="s">
        <v>1004</v>
      </c>
      <c r="D34" s="310">
        <v>81</v>
      </c>
      <c r="E34" s="311">
        <v>172</v>
      </c>
      <c r="F34" s="309">
        <f t="shared" si="0"/>
        <v>253</v>
      </c>
      <c r="G34" s="317"/>
      <c r="H34" s="311"/>
      <c r="I34" s="309">
        <f t="shared" si="1"/>
        <v>0</v>
      </c>
      <c r="J34" s="254"/>
      <c r="K34" s="255"/>
      <c r="L34" s="309">
        <f t="shared" si="2"/>
        <v>0</v>
      </c>
      <c r="M34" s="599">
        <f t="shared" si="4"/>
        <v>253</v>
      </c>
    </row>
    <row r="35" spans="1:13" ht="24">
      <c r="A35" s="252" t="s">
        <v>703</v>
      </c>
      <c r="B35" s="583" t="s">
        <v>188</v>
      </c>
      <c r="C35" s="684"/>
      <c r="D35" s="310"/>
      <c r="E35" s="311"/>
      <c r="F35" s="309">
        <f t="shared" si="0"/>
        <v>0</v>
      </c>
      <c r="G35" s="317">
        <f>43013-9441-1500</f>
        <v>32072</v>
      </c>
      <c r="H35" s="311"/>
      <c r="I35" s="309">
        <f t="shared" si="1"/>
        <v>32072</v>
      </c>
      <c r="J35" s="254"/>
      <c r="K35" s="255"/>
      <c r="L35" s="309">
        <f t="shared" si="2"/>
        <v>0</v>
      </c>
      <c r="M35" s="599">
        <f t="shared" si="4"/>
        <v>32072</v>
      </c>
    </row>
    <row r="36" spans="1:13" ht="27" customHeight="1">
      <c r="A36" s="252" t="s">
        <v>747</v>
      </c>
      <c r="B36" s="583" t="s">
        <v>171</v>
      </c>
      <c r="C36" s="589" t="s">
        <v>750</v>
      </c>
      <c r="D36" s="312">
        <f>5580+3820</f>
        <v>9400</v>
      </c>
      <c r="E36" s="313"/>
      <c r="F36" s="309">
        <f aca="true" t="shared" si="5" ref="F36:F46">SUM(D36:E36)</f>
        <v>9400</v>
      </c>
      <c r="G36" s="318"/>
      <c r="H36" s="313">
        <v>0</v>
      </c>
      <c r="I36" s="309">
        <f aca="true" t="shared" si="6" ref="I36:I46">SUM(G36:H36)</f>
        <v>0</v>
      </c>
      <c r="J36" s="254"/>
      <c r="K36" s="255"/>
      <c r="L36" s="309">
        <f aca="true" t="shared" si="7" ref="L36:L46">SUM(J36:K36)</f>
        <v>0</v>
      </c>
      <c r="M36" s="599">
        <f t="shared" si="4"/>
        <v>9400</v>
      </c>
    </row>
    <row r="37" spans="1:13" ht="31.5" customHeight="1">
      <c r="A37" s="252" t="s">
        <v>641</v>
      </c>
      <c r="B37" s="683" t="s">
        <v>697</v>
      </c>
      <c r="C37" s="326" t="s">
        <v>748</v>
      </c>
      <c r="D37" s="307">
        <v>217</v>
      </c>
      <c r="E37" s="308"/>
      <c r="F37" s="309">
        <f t="shared" si="5"/>
        <v>217</v>
      </c>
      <c r="G37" s="316"/>
      <c r="H37" s="308"/>
      <c r="I37" s="309">
        <f t="shared" si="6"/>
        <v>0</v>
      </c>
      <c r="J37" s="254"/>
      <c r="K37" s="255"/>
      <c r="L37" s="309">
        <f t="shared" si="7"/>
        <v>0</v>
      </c>
      <c r="M37" s="599">
        <f t="shared" si="4"/>
        <v>217</v>
      </c>
    </row>
    <row r="38" spans="1:13" ht="33.75" customHeight="1">
      <c r="A38" s="252" t="s">
        <v>642</v>
      </c>
      <c r="B38" s="683" t="s">
        <v>189</v>
      </c>
      <c r="C38" s="684" t="s">
        <v>197</v>
      </c>
      <c r="D38" s="307"/>
      <c r="E38" s="308"/>
      <c r="F38" s="309">
        <f t="shared" si="5"/>
        <v>0</v>
      </c>
      <c r="G38" s="316">
        <f>1711+1272</f>
        <v>2983</v>
      </c>
      <c r="H38" s="308"/>
      <c r="I38" s="309">
        <f t="shared" si="6"/>
        <v>2983</v>
      </c>
      <c r="J38" s="254"/>
      <c r="K38" s="255"/>
      <c r="L38" s="309">
        <f t="shared" si="7"/>
        <v>0</v>
      </c>
      <c r="M38" s="599">
        <f t="shared" si="4"/>
        <v>2983</v>
      </c>
    </row>
    <row r="39" spans="1:13" ht="21.75" customHeight="1">
      <c r="A39" s="252" t="s">
        <v>643</v>
      </c>
      <c r="B39" s="683" t="s">
        <v>175</v>
      </c>
      <c r="C39" s="684" t="s">
        <v>197</v>
      </c>
      <c r="D39" s="307"/>
      <c r="E39" s="308"/>
      <c r="F39" s="309">
        <f t="shared" si="5"/>
        <v>0</v>
      </c>
      <c r="G39" s="316">
        <f>4155+1666</f>
        <v>5821</v>
      </c>
      <c r="H39" s="308"/>
      <c r="I39" s="309">
        <f t="shared" si="6"/>
        <v>5821</v>
      </c>
      <c r="J39" s="254"/>
      <c r="K39" s="255"/>
      <c r="L39" s="309">
        <f t="shared" si="7"/>
        <v>0</v>
      </c>
      <c r="M39" s="599">
        <f t="shared" si="4"/>
        <v>5821</v>
      </c>
    </row>
    <row r="40" spans="1:13" ht="28.5" customHeight="1">
      <c r="A40" s="252" t="s">
        <v>749</v>
      </c>
      <c r="B40" s="583" t="s">
        <v>698</v>
      </c>
      <c r="C40" s="589" t="s">
        <v>751</v>
      </c>
      <c r="D40" s="307">
        <f>5376+1552-150</f>
        <v>6778</v>
      </c>
      <c r="E40" s="308"/>
      <c r="F40" s="309">
        <f t="shared" si="5"/>
        <v>6778</v>
      </c>
      <c r="G40" s="316"/>
      <c r="H40" s="308"/>
      <c r="I40" s="309">
        <f t="shared" si="6"/>
        <v>0</v>
      </c>
      <c r="J40" s="254"/>
      <c r="K40" s="255"/>
      <c r="L40" s="309">
        <f t="shared" si="7"/>
        <v>0</v>
      </c>
      <c r="M40" s="599">
        <f t="shared" si="4"/>
        <v>6778</v>
      </c>
    </row>
    <row r="41" spans="1:13" ht="20.25" customHeight="1">
      <c r="A41" s="252" t="s">
        <v>644</v>
      </c>
      <c r="B41" s="583" t="s">
        <v>699</v>
      </c>
      <c r="C41" s="589" t="s">
        <v>752</v>
      </c>
      <c r="D41" s="307">
        <f>2839-4</f>
        <v>2835</v>
      </c>
      <c r="E41" s="308"/>
      <c r="F41" s="309">
        <f t="shared" si="5"/>
        <v>2835</v>
      </c>
      <c r="G41" s="316"/>
      <c r="H41" s="308"/>
      <c r="I41" s="309">
        <f t="shared" si="6"/>
        <v>0</v>
      </c>
      <c r="J41" s="254"/>
      <c r="K41" s="255"/>
      <c r="L41" s="309">
        <f t="shared" si="7"/>
        <v>0</v>
      </c>
      <c r="M41" s="599">
        <f t="shared" si="4"/>
        <v>2835</v>
      </c>
    </row>
    <row r="42" spans="1:13" ht="27" customHeight="1">
      <c r="A42" s="252" t="s">
        <v>673</v>
      </c>
      <c r="B42" s="683" t="s">
        <v>996</v>
      </c>
      <c r="C42" s="589" t="s">
        <v>1006</v>
      </c>
      <c r="D42" s="310">
        <v>24</v>
      </c>
      <c r="E42" s="314"/>
      <c r="F42" s="309">
        <f t="shared" si="5"/>
        <v>24</v>
      </c>
      <c r="G42" s="317"/>
      <c r="H42" s="314"/>
      <c r="I42" s="309">
        <f t="shared" si="6"/>
        <v>0</v>
      </c>
      <c r="J42" s="254"/>
      <c r="K42" s="255"/>
      <c r="L42" s="309">
        <f t="shared" si="7"/>
        <v>0</v>
      </c>
      <c r="M42" s="599">
        <f t="shared" si="4"/>
        <v>24</v>
      </c>
    </row>
    <row r="43" spans="1:13" ht="27" customHeight="1">
      <c r="A43" s="252" t="s">
        <v>753</v>
      </c>
      <c r="B43" s="683" t="s">
        <v>987</v>
      </c>
      <c r="C43" s="589"/>
      <c r="D43" s="310"/>
      <c r="E43" s="314"/>
      <c r="F43" s="309">
        <f t="shared" si="5"/>
        <v>0</v>
      </c>
      <c r="G43" s="717">
        <v>24</v>
      </c>
      <c r="H43" s="314"/>
      <c r="I43" s="309">
        <f t="shared" si="6"/>
        <v>24</v>
      </c>
      <c r="J43" s="254"/>
      <c r="K43" s="255"/>
      <c r="L43" s="309">
        <f t="shared" si="7"/>
        <v>0</v>
      </c>
      <c r="M43" s="599">
        <f t="shared" si="4"/>
        <v>24</v>
      </c>
    </row>
    <row r="44" spans="1:13" ht="38.25" customHeight="1">
      <c r="A44" s="252" t="s">
        <v>754</v>
      </c>
      <c r="B44" s="583" t="s">
        <v>997</v>
      </c>
      <c r="C44" s="309" t="s">
        <v>1003</v>
      </c>
      <c r="D44" s="307">
        <v>4506</v>
      </c>
      <c r="E44" s="308"/>
      <c r="F44" s="309">
        <f t="shared" si="5"/>
        <v>4506</v>
      </c>
      <c r="G44" s="316"/>
      <c r="H44" s="308"/>
      <c r="I44" s="309">
        <f t="shared" si="6"/>
        <v>0</v>
      </c>
      <c r="J44" s="254"/>
      <c r="K44" s="255"/>
      <c r="L44" s="309">
        <f t="shared" si="7"/>
        <v>0</v>
      </c>
      <c r="M44" s="599">
        <f t="shared" si="4"/>
        <v>4506</v>
      </c>
    </row>
    <row r="45" spans="1:13" s="262" customFormat="1" ht="27.75" customHeight="1">
      <c r="A45" s="303" t="s">
        <v>755</v>
      </c>
      <c r="B45" s="583" t="s">
        <v>600</v>
      </c>
      <c r="C45" s="326" t="s">
        <v>195</v>
      </c>
      <c r="D45" s="323">
        <v>5900</v>
      </c>
      <c r="E45" s="324">
        <v>40869</v>
      </c>
      <c r="F45" s="309">
        <f t="shared" si="5"/>
        <v>46769</v>
      </c>
      <c r="G45" s="320"/>
      <c r="H45" s="315"/>
      <c r="I45" s="309">
        <f t="shared" si="6"/>
        <v>0</v>
      </c>
      <c r="J45" s="258"/>
      <c r="K45" s="258"/>
      <c r="L45" s="309">
        <f t="shared" si="7"/>
        <v>0</v>
      </c>
      <c r="M45" s="599">
        <f t="shared" si="4"/>
        <v>46769</v>
      </c>
    </row>
    <row r="46" spans="1:13" ht="23.25" customHeight="1">
      <c r="A46" s="252" t="s">
        <v>756</v>
      </c>
      <c r="B46" s="583" t="s">
        <v>561</v>
      </c>
      <c r="C46" s="714" t="s">
        <v>1007</v>
      </c>
      <c r="D46" s="310">
        <v>132708</v>
      </c>
      <c r="E46" s="311">
        <v>216</v>
      </c>
      <c r="F46" s="309">
        <f t="shared" si="5"/>
        <v>132924</v>
      </c>
      <c r="G46" s="319"/>
      <c r="H46" s="314"/>
      <c r="I46" s="309">
        <f t="shared" si="6"/>
        <v>0</v>
      </c>
      <c r="J46" s="254"/>
      <c r="K46" s="254"/>
      <c r="L46" s="309">
        <f t="shared" si="7"/>
        <v>0</v>
      </c>
      <c r="M46" s="599">
        <f t="shared" si="4"/>
        <v>132924</v>
      </c>
    </row>
    <row r="47" spans="1:13" ht="23.25" customHeight="1" thickBot="1">
      <c r="A47" s="252" t="s">
        <v>757</v>
      </c>
      <c r="B47" s="583" t="s">
        <v>988</v>
      </c>
      <c r="C47" s="685"/>
      <c r="D47" s="310"/>
      <c r="E47" s="311"/>
      <c r="F47" s="309">
        <f>SUM(D47:E47)</f>
        <v>0</v>
      </c>
      <c r="G47" s="317">
        <v>6530</v>
      </c>
      <c r="H47" s="314"/>
      <c r="I47" s="309">
        <f>SUM(G47:H47)</f>
        <v>6530</v>
      </c>
      <c r="J47" s="254"/>
      <c r="K47" s="254"/>
      <c r="L47" s="309">
        <f>SUM(J47:K47)</f>
        <v>0</v>
      </c>
      <c r="M47" s="599">
        <f>SUM(F47+I47+L47)</f>
        <v>6530</v>
      </c>
    </row>
    <row r="48" spans="1:13" s="262" customFormat="1" ht="13.5" thickBot="1">
      <c r="A48" s="864" t="s">
        <v>917</v>
      </c>
      <c r="B48" s="865"/>
      <c r="C48" s="866"/>
      <c r="D48" s="325">
        <f>SUM(D10:D47)</f>
        <v>607540</v>
      </c>
      <c r="E48" s="325">
        <f aca="true" t="shared" si="8" ref="E48:M48">SUM(E10:E47)</f>
        <v>50333</v>
      </c>
      <c r="F48" s="715">
        <f t="shared" si="8"/>
        <v>657873</v>
      </c>
      <c r="G48" s="325">
        <f t="shared" si="8"/>
        <v>60009</v>
      </c>
      <c r="H48" s="325">
        <f t="shared" si="8"/>
        <v>11595</v>
      </c>
      <c r="I48" s="715">
        <f t="shared" si="8"/>
        <v>71604</v>
      </c>
      <c r="J48" s="325">
        <f t="shared" si="8"/>
        <v>42700</v>
      </c>
      <c r="K48" s="325">
        <f t="shared" si="8"/>
        <v>0</v>
      </c>
      <c r="L48" s="715">
        <f t="shared" si="8"/>
        <v>42700</v>
      </c>
      <c r="M48" s="715">
        <f t="shared" si="8"/>
        <v>772177</v>
      </c>
    </row>
    <row r="49" spans="1:13" ht="30.75" customHeight="1">
      <c r="A49" s="252" t="s">
        <v>619</v>
      </c>
      <c r="B49" s="583" t="s">
        <v>153</v>
      </c>
      <c r="C49" s="306" t="s">
        <v>742</v>
      </c>
      <c r="D49" s="304">
        <v>116046</v>
      </c>
      <c r="E49" s="305">
        <v>1279</v>
      </c>
      <c r="F49" s="309">
        <f>SUM(D49:E49)</f>
        <v>117325</v>
      </c>
      <c r="G49" s="304"/>
      <c r="H49" s="305"/>
      <c r="I49" s="306">
        <f>SUM(G49:H49)</f>
        <v>0</v>
      </c>
      <c r="J49" s="304"/>
      <c r="K49" s="305"/>
      <c r="L49" s="306">
        <f>SUM(J49:K49)</f>
        <v>0</v>
      </c>
      <c r="M49" s="599">
        <f>SUM(L49,I49,F49)</f>
        <v>117325</v>
      </c>
    </row>
    <row r="50" spans="1:13" ht="24">
      <c r="A50" s="252" t="s">
        <v>620</v>
      </c>
      <c r="B50" s="256" t="s">
        <v>199</v>
      </c>
      <c r="C50" s="253" t="s">
        <v>1005</v>
      </c>
      <c r="D50" s="307">
        <v>53</v>
      </c>
      <c r="E50" s="308"/>
      <c r="F50" s="309">
        <f>SUM(D50:E50)</f>
        <v>53</v>
      </c>
      <c r="G50" s="307"/>
      <c r="H50" s="308"/>
      <c r="I50" s="309">
        <f>SUM(G50:H50)</f>
        <v>0</v>
      </c>
      <c r="J50" s="307"/>
      <c r="K50" s="308"/>
      <c r="L50" s="309">
        <f>SUM(J50:K50)</f>
        <v>0</v>
      </c>
      <c r="M50" s="599">
        <f>SUM(L50,I50,F50)</f>
        <v>53</v>
      </c>
    </row>
    <row r="51" spans="1:13" ht="36.75" thickBot="1">
      <c r="A51" s="252" t="s">
        <v>621</v>
      </c>
      <c r="B51" s="256" t="s">
        <v>1001</v>
      </c>
      <c r="C51" s="260" t="s">
        <v>1009</v>
      </c>
      <c r="D51" s="307">
        <v>12276</v>
      </c>
      <c r="E51" s="308"/>
      <c r="F51" s="309">
        <f>SUM(D51:E51)</f>
        <v>12276</v>
      </c>
      <c r="G51" s="307"/>
      <c r="H51" s="308"/>
      <c r="I51" s="309">
        <f>SUM(G51:H51)</f>
        <v>0</v>
      </c>
      <c r="J51" s="307"/>
      <c r="K51" s="308"/>
      <c r="L51" s="309">
        <f>SUM(J51:K51)</f>
        <v>0</v>
      </c>
      <c r="M51" s="599">
        <f>SUM(L51,I51,F51)</f>
        <v>12276</v>
      </c>
    </row>
    <row r="52" spans="1:13" s="262" customFormat="1" ht="13.5" thickBot="1">
      <c r="A52" s="864" t="s">
        <v>761</v>
      </c>
      <c r="B52" s="865"/>
      <c r="C52" s="866"/>
      <c r="D52" s="332">
        <f aca="true" t="shared" si="9" ref="D52:M52">SUM(D49:D51)</f>
        <v>128375</v>
      </c>
      <c r="E52" s="332">
        <f t="shared" si="9"/>
        <v>1279</v>
      </c>
      <c r="F52" s="332">
        <f t="shared" si="9"/>
        <v>129654</v>
      </c>
      <c r="G52" s="332">
        <f t="shared" si="9"/>
        <v>0</v>
      </c>
      <c r="H52" s="332">
        <f t="shared" si="9"/>
        <v>0</v>
      </c>
      <c r="I52" s="332">
        <f t="shared" si="9"/>
        <v>0</v>
      </c>
      <c r="J52" s="332">
        <f t="shared" si="9"/>
        <v>0</v>
      </c>
      <c r="K52" s="332">
        <f t="shared" si="9"/>
        <v>0</v>
      </c>
      <c r="L52" s="332">
        <f t="shared" si="9"/>
        <v>0</v>
      </c>
      <c r="M52" s="598">
        <f t="shared" si="9"/>
        <v>129654</v>
      </c>
    </row>
    <row r="53" spans="1:13" ht="12.75">
      <c r="A53" s="252" t="s">
        <v>619</v>
      </c>
      <c r="B53" s="256" t="s">
        <v>762</v>
      </c>
      <c r="C53" s="257" t="s">
        <v>1008</v>
      </c>
      <c r="D53" s="333">
        <v>32702</v>
      </c>
      <c r="E53" s="334"/>
      <c r="F53" s="306">
        <f>SUM(D53:E53)</f>
        <v>32702</v>
      </c>
      <c r="G53" s="333"/>
      <c r="H53" s="334"/>
      <c r="I53" s="322">
        <f>SUM(G53:H53)</f>
        <v>0</v>
      </c>
      <c r="J53" s="333"/>
      <c r="K53" s="334"/>
      <c r="L53" s="306">
        <f>SUM(J53:K53)</f>
        <v>0</v>
      </c>
      <c r="M53" s="599">
        <f>SUM(L53,I53,F53)</f>
        <v>32702</v>
      </c>
    </row>
    <row r="54" spans="1:13" ht="12.75">
      <c r="A54" s="252" t="s">
        <v>620</v>
      </c>
      <c r="B54" s="256" t="s">
        <v>763</v>
      </c>
      <c r="C54" s="253" t="s">
        <v>764</v>
      </c>
      <c r="D54" s="307">
        <f>169465-4974-1343-394</f>
        <v>162754</v>
      </c>
      <c r="E54" s="308">
        <v>1122</v>
      </c>
      <c r="F54" s="309">
        <f>SUM(D54:E54)</f>
        <v>163876</v>
      </c>
      <c r="G54" s="307"/>
      <c r="H54" s="308"/>
      <c r="I54" s="331">
        <f>SUM(G54:H54)</f>
        <v>0</v>
      </c>
      <c r="J54" s="307"/>
      <c r="K54" s="308"/>
      <c r="L54" s="309">
        <f>SUM(J54:K54)</f>
        <v>0</v>
      </c>
      <c r="M54" s="599">
        <f>SUM(L54,I54,F54)</f>
        <v>163876</v>
      </c>
    </row>
    <row r="55" spans="1:13" ht="15.75" customHeight="1">
      <c r="A55" s="328" t="s">
        <v>621</v>
      </c>
      <c r="B55" s="259" t="s">
        <v>765</v>
      </c>
      <c r="C55" s="309" t="s">
        <v>764</v>
      </c>
      <c r="D55" s="329">
        <v>12476</v>
      </c>
      <c r="E55" s="330"/>
      <c r="F55" s="331">
        <f>SUM(D55:E55)</f>
        <v>12476</v>
      </c>
      <c r="G55" s="329"/>
      <c r="H55" s="330"/>
      <c r="I55" s="331">
        <f>SUM(G55:H55)</f>
        <v>0</v>
      </c>
      <c r="J55" s="329"/>
      <c r="K55" s="330"/>
      <c r="L55" s="331">
        <f>SUM(J55:K55)</f>
        <v>0</v>
      </c>
      <c r="M55" s="599">
        <f>SUM(L55,I55,F55)</f>
        <v>12476</v>
      </c>
    </row>
    <row r="56" spans="1:13" ht="15.75" customHeight="1">
      <c r="A56" s="328" t="s">
        <v>622</v>
      </c>
      <c r="B56" s="259" t="s">
        <v>915</v>
      </c>
      <c r="C56" s="589" t="s">
        <v>1006</v>
      </c>
      <c r="D56" s="329">
        <f>37429-774-209+1</f>
        <v>36447</v>
      </c>
      <c r="E56" s="330">
        <v>2238</v>
      </c>
      <c r="F56" s="331">
        <f>SUM(D56:E56)</f>
        <v>38685</v>
      </c>
      <c r="G56" s="329"/>
      <c r="H56" s="330"/>
      <c r="I56" s="331">
        <f>SUM(G56:H56)</f>
        <v>0</v>
      </c>
      <c r="J56" s="329"/>
      <c r="K56" s="330"/>
      <c r="L56" s="331">
        <f>SUM(J56:K56)</f>
        <v>0</v>
      </c>
      <c r="M56" s="599">
        <f>SUM(L56,I56,F56)</f>
        <v>38685</v>
      </c>
    </row>
    <row r="57" spans="1:13" ht="15.75" customHeight="1" thickBot="1">
      <c r="A57" s="328" t="s">
        <v>623</v>
      </c>
      <c r="B57" s="259" t="s">
        <v>846</v>
      </c>
      <c r="C57" s="321"/>
      <c r="D57" s="329"/>
      <c r="E57" s="330"/>
      <c r="F57" s="331">
        <f>SUM(D57:E57)</f>
        <v>0</v>
      </c>
      <c r="G57" s="329">
        <f>6898-674-1</f>
        <v>6223</v>
      </c>
      <c r="H57" s="330">
        <v>22</v>
      </c>
      <c r="I57" s="331">
        <f>SUM(G57:H57)</f>
        <v>6245</v>
      </c>
      <c r="J57" s="329"/>
      <c r="K57" s="330"/>
      <c r="L57" s="331">
        <f>SUM(J57:K57)</f>
        <v>0</v>
      </c>
      <c r="M57" s="599">
        <f>SUM(L57,I57,F57)</f>
        <v>6245</v>
      </c>
    </row>
    <row r="58" spans="1:13" ht="27.75" customHeight="1" thickBot="1">
      <c r="A58" s="873" t="s">
        <v>916</v>
      </c>
      <c r="B58" s="874"/>
      <c r="C58" s="875"/>
      <c r="D58" s="336">
        <f>SUM(D53:D57)</f>
        <v>244379</v>
      </c>
      <c r="E58" s="336">
        <f aca="true" t="shared" si="10" ref="E58:L58">SUM(E53:E57)</f>
        <v>3360</v>
      </c>
      <c r="F58" s="336">
        <f t="shared" si="10"/>
        <v>247739</v>
      </c>
      <c r="G58" s="336">
        <f t="shared" si="10"/>
        <v>6223</v>
      </c>
      <c r="H58" s="336">
        <f t="shared" si="10"/>
        <v>22</v>
      </c>
      <c r="I58" s="336">
        <f t="shared" si="10"/>
        <v>6245</v>
      </c>
      <c r="J58" s="336">
        <f t="shared" si="10"/>
        <v>0</v>
      </c>
      <c r="K58" s="336">
        <f t="shared" si="10"/>
        <v>0</v>
      </c>
      <c r="L58" s="336">
        <f t="shared" si="10"/>
        <v>0</v>
      </c>
      <c r="M58" s="598">
        <f>SUM(M53:M57)</f>
        <v>253984</v>
      </c>
    </row>
    <row r="59" spans="1:13" s="263" customFormat="1" ht="15.75" thickBot="1">
      <c r="A59" s="861" t="s">
        <v>766</v>
      </c>
      <c r="B59" s="862"/>
      <c r="C59" s="863"/>
      <c r="D59" s="335">
        <f aca="true" t="shared" si="11" ref="D59:M59">D48+D52+D58</f>
        <v>980294</v>
      </c>
      <c r="E59" s="335">
        <f t="shared" si="11"/>
        <v>54972</v>
      </c>
      <c r="F59" s="335">
        <f t="shared" si="11"/>
        <v>1035266</v>
      </c>
      <c r="G59" s="335">
        <f t="shared" si="11"/>
        <v>66232</v>
      </c>
      <c r="H59" s="335">
        <f t="shared" si="11"/>
        <v>11617</v>
      </c>
      <c r="I59" s="335">
        <f t="shared" si="11"/>
        <v>77849</v>
      </c>
      <c r="J59" s="335">
        <f t="shared" si="11"/>
        <v>42700</v>
      </c>
      <c r="K59" s="335">
        <f t="shared" si="11"/>
        <v>0</v>
      </c>
      <c r="L59" s="597">
        <f t="shared" si="11"/>
        <v>42700</v>
      </c>
      <c r="M59" s="600">
        <f t="shared" si="11"/>
        <v>1155815</v>
      </c>
    </row>
    <row r="62" spans="1:2" ht="12.75">
      <c r="A62" t="s">
        <v>767</v>
      </c>
      <c r="B62" t="s">
        <v>768</v>
      </c>
    </row>
    <row r="63" spans="1:2" ht="12.75">
      <c r="A63" t="s">
        <v>769</v>
      </c>
      <c r="B63" t="s">
        <v>770</v>
      </c>
    </row>
    <row r="64" spans="1:2" ht="12.75">
      <c r="A64" t="s">
        <v>771</v>
      </c>
      <c r="B64" t="s">
        <v>772</v>
      </c>
    </row>
    <row r="65" spans="1:2" ht="12.75">
      <c r="A65" t="s">
        <v>773</v>
      </c>
      <c r="B65" t="s">
        <v>774</v>
      </c>
    </row>
    <row r="66" spans="1:2" ht="12.75">
      <c r="A66" t="s">
        <v>775</v>
      </c>
      <c r="B66" t="s">
        <v>776</v>
      </c>
    </row>
    <row r="67" spans="1:2" ht="12.75">
      <c r="A67" t="s">
        <v>1000</v>
      </c>
      <c r="B67" t="s">
        <v>999</v>
      </c>
    </row>
  </sheetData>
  <sheetProtection/>
  <mergeCells count="15">
    <mergeCell ref="G1:M1"/>
    <mergeCell ref="M6:M8"/>
    <mergeCell ref="A3:M4"/>
    <mergeCell ref="C6:C8"/>
    <mergeCell ref="G6:I7"/>
    <mergeCell ref="J6:L7"/>
    <mergeCell ref="A59:C59"/>
    <mergeCell ref="A52:C52"/>
    <mergeCell ref="D6:F7"/>
    <mergeCell ref="A58:C58"/>
    <mergeCell ref="B5:B8"/>
    <mergeCell ref="A5:A8"/>
    <mergeCell ref="C5:M5"/>
    <mergeCell ref="A48:C48"/>
    <mergeCell ref="B9:M9"/>
  </mergeCells>
  <printOptions horizontalCentered="1" verticalCentered="1"/>
  <pageMargins left="0.3937007874015748" right="0.3937007874015748" top="0.9055118110236221" bottom="0.787401574803149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HO76"/>
  <sheetViews>
    <sheetView zoomScalePageLayoutView="0" workbookViewId="0" topLeftCell="O1">
      <selection activeCell="T2" sqref="T2"/>
    </sheetView>
  </sheetViews>
  <sheetFormatPr defaultColWidth="9.00390625" defaultRowHeight="12.75"/>
  <cols>
    <col min="3" max="3" width="19.125" style="0" customWidth="1"/>
    <col min="4" max="5" width="13.875" style="0" bestFit="1" customWidth="1"/>
    <col min="6" max="6" width="13.375" style="0" customWidth="1"/>
    <col min="7" max="7" width="12.625" style="0" customWidth="1"/>
    <col min="8" max="8" width="18.875" style="0" customWidth="1"/>
    <col min="9" max="9" width="9.25390625" style="0" bestFit="1" customWidth="1"/>
    <col min="10" max="10" width="10.125" style="0" bestFit="1" customWidth="1"/>
    <col min="11" max="11" width="19.25390625" style="0" customWidth="1"/>
    <col min="12" max="12" width="9.75390625" style="0" customWidth="1"/>
    <col min="14" max="14" width="12.625" style="0" customWidth="1"/>
    <col min="15" max="15" width="8.125" style="0" customWidth="1"/>
    <col min="16" max="16" width="9.75390625" style="0" bestFit="1" customWidth="1"/>
    <col min="17" max="17" width="11.75390625" style="0" customWidth="1"/>
    <col min="21" max="21" width="9.875" style="0" customWidth="1"/>
    <col min="22" max="22" width="10.125" style="0" bestFit="1" customWidth="1"/>
    <col min="23" max="23" width="13.875" style="0" customWidth="1"/>
    <col min="24" max="24" width="14.75390625" style="264" bestFit="1" customWidth="1"/>
    <col min="25" max="25" width="13.875" style="264" customWidth="1"/>
    <col min="26" max="26" width="14.75390625" style="264" bestFit="1" customWidth="1"/>
    <col min="27" max="27" width="15.625" style="264" bestFit="1" customWidth="1"/>
    <col min="28" max="28" width="12.625" style="264" bestFit="1" customWidth="1"/>
    <col min="29" max="29" width="13.125" style="264" bestFit="1" customWidth="1"/>
    <col min="30" max="223" width="9.125" style="264" customWidth="1"/>
  </cols>
  <sheetData>
    <row r="1" spans="1:28" ht="15">
      <c r="A1" s="243"/>
      <c r="B1" s="244"/>
      <c r="C1" s="245"/>
      <c r="H1" s="244"/>
      <c r="I1" s="244"/>
      <c r="J1" s="244"/>
      <c r="K1" s="248"/>
      <c r="L1" s="248"/>
      <c r="M1" s="248"/>
      <c r="N1" s="244"/>
      <c r="T1" s="928" t="s">
        <v>1056</v>
      </c>
      <c r="U1" s="929"/>
      <c r="V1" s="929"/>
      <c r="W1" s="929"/>
      <c r="X1" s="930"/>
      <c r="Y1" s="930"/>
      <c r="Z1" s="930"/>
      <c r="AA1" s="930"/>
      <c r="AB1" s="930"/>
    </row>
    <row r="2" spans="1:14" ht="12.75">
      <c r="A2" s="243"/>
      <c r="B2" s="244"/>
      <c r="C2" s="245"/>
      <c r="D2" s="246"/>
      <c r="E2" s="247"/>
      <c r="F2" s="247"/>
      <c r="G2" s="247"/>
      <c r="H2" s="244"/>
      <c r="I2" s="244"/>
      <c r="J2" s="244"/>
      <c r="K2" s="248"/>
      <c r="L2" s="248"/>
      <c r="M2" s="248"/>
      <c r="N2" s="244"/>
    </row>
    <row r="3" spans="1:24" ht="15.75" customHeight="1">
      <c r="A3" s="936" t="s">
        <v>919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</row>
    <row r="4" spans="1:24" ht="13.5" thickBot="1">
      <c r="A4" s="937"/>
      <c r="B4" s="937"/>
      <c r="C4" s="937"/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  <c r="W4" s="937"/>
      <c r="X4" s="937"/>
    </row>
    <row r="5" spans="1:223" s="265" customFormat="1" ht="15" customHeight="1" thickBot="1" thickTop="1">
      <c r="A5" s="938" t="s">
        <v>200</v>
      </c>
      <c r="B5" s="939"/>
      <c r="C5" s="939"/>
      <c r="D5" s="948" t="s">
        <v>577</v>
      </c>
      <c r="E5" s="949"/>
      <c r="F5" s="950"/>
      <c r="G5" s="951" t="s">
        <v>777</v>
      </c>
      <c r="H5" s="952"/>
      <c r="I5" s="952"/>
      <c r="J5" s="952"/>
      <c r="K5" s="953"/>
      <c r="L5" s="942" t="s">
        <v>778</v>
      </c>
      <c r="M5" s="943"/>
      <c r="N5" s="943"/>
      <c r="O5" s="943"/>
      <c r="P5" s="943"/>
      <c r="Q5" s="944"/>
      <c r="R5" s="942" t="s">
        <v>779</v>
      </c>
      <c r="S5" s="943"/>
      <c r="T5" s="943"/>
      <c r="U5" s="943"/>
      <c r="V5" s="943"/>
      <c r="W5" s="943"/>
      <c r="X5" s="931" t="s">
        <v>780</v>
      </c>
      <c r="Y5" s="932"/>
      <c r="Z5" s="932"/>
      <c r="AA5" s="933" t="s">
        <v>201</v>
      </c>
      <c r="AB5" s="934"/>
      <c r="AC5" s="935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/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/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/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/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4"/>
      <c r="HF5" s="264"/>
      <c r="HG5" s="264"/>
      <c r="HH5" s="264"/>
      <c r="HI5" s="264"/>
      <c r="HJ5" s="264"/>
      <c r="HK5" s="264"/>
      <c r="HL5" s="264"/>
      <c r="HM5" s="264"/>
      <c r="HN5" s="264"/>
      <c r="HO5" s="264"/>
    </row>
    <row r="6" spans="1:29" s="264" customFormat="1" ht="16.5" customHeight="1" thickBot="1">
      <c r="A6" s="940"/>
      <c r="B6" s="941"/>
      <c r="C6" s="941"/>
      <c r="D6" s="338" t="s">
        <v>202</v>
      </c>
      <c r="E6" s="339" t="s">
        <v>192</v>
      </c>
      <c r="F6" s="340" t="s">
        <v>203</v>
      </c>
      <c r="G6" s="954"/>
      <c r="H6" s="955"/>
      <c r="I6" s="955"/>
      <c r="J6" s="955"/>
      <c r="K6" s="956"/>
      <c r="L6" s="945"/>
      <c r="M6" s="946"/>
      <c r="N6" s="946"/>
      <c r="O6" s="946"/>
      <c r="P6" s="946"/>
      <c r="Q6" s="947"/>
      <c r="R6" s="945"/>
      <c r="S6" s="946"/>
      <c r="T6" s="946"/>
      <c r="U6" s="946"/>
      <c r="V6" s="946"/>
      <c r="W6" s="946"/>
      <c r="X6" s="341" t="s">
        <v>202</v>
      </c>
      <c r="Y6" s="342" t="s">
        <v>192</v>
      </c>
      <c r="Z6" s="343" t="s">
        <v>203</v>
      </c>
      <c r="AA6" s="344" t="s">
        <v>202</v>
      </c>
      <c r="AB6" s="345" t="s">
        <v>192</v>
      </c>
      <c r="AC6" s="346" t="s">
        <v>203</v>
      </c>
    </row>
    <row r="7" spans="1:29" s="266" customFormat="1" ht="26.25" customHeight="1">
      <c r="A7" s="347"/>
      <c r="B7" s="348"/>
      <c r="C7" s="349"/>
      <c r="D7" s="350"/>
      <c r="E7" s="348"/>
      <c r="F7" s="351"/>
      <c r="G7" s="924" t="s">
        <v>781</v>
      </c>
      <c r="H7" s="925"/>
      <c r="I7" s="925"/>
      <c r="J7" s="355">
        <f>191333-122149</f>
        <v>69184</v>
      </c>
      <c r="K7" s="916">
        <f>SUM(J7:J20)</f>
        <v>207773</v>
      </c>
      <c r="L7" s="904" t="s">
        <v>227</v>
      </c>
      <c r="M7" s="905"/>
      <c r="N7" s="905"/>
      <c r="O7" s="905"/>
      <c r="P7" s="352">
        <v>1470</v>
      </c>
      <c r="Q7" s="921">
        <f>SUM(P7:P20)</f>
        <v>51583</v>
      </c>
      <c r="R7" s="908" t="s">
        <v>782</v>
      </c>
      <c r="S7" s="909"/>
      <c r="T7" s="909"/>
      <c r="U7" s="909"/>
      <c r="V7" s="355">
        <f>329+89</f>
        <v>418</v>
      </c>
      <c r="W7" s="902">
        <f>SUM(V7:V20)</f>
        <v>283919</v>
      </c>
      <c r="X7" s="356"/>
      <c r="Y7" s="357"/>
      <c r="Z7" s="358"/>
      <c r="AA7" s="359"/>
      <c r="AB7" s="360"/>
      <c r="AC7" s="361"/>
    </row>
    <row r="8" spans="1:29" s="266" customFormat="1" ht="30.75" customHeight="1">
      <c r="A8" s="347"/>
      <c r="B8" s="348"/>
      <c r="C8" s="350"/>
      <c r="D8" s="350"/>
      <c r="E8" s="348"/>
      <c r="F8" s="351"/>
      <c r="G8" s="926" t="s">
        <v>1011</v>
      </c>
      <c r="H8" s="927"/>
      <c r="I8" s="927"/>
      <c r="J8" s="355">
        <v>16800</v>
      </c>
      <c r="K8" s="920"/>
      <c r="L8" s="912" t="s">
        <v>783</v>
      </c>
      <c r="M8" s="913"/>
      <c r="N8" s="913"/>
      <c r="O8" s="913"/>
      <c r="P8" s="355">
        <v>3450</v>
      </c>
      <c r="Q8" s="922"/>
      <c r="R8" s="912" t="s">
        <v>784</v>
      </c>
      <c r="S8" s="913"/>
      <c r="T8" s="913"/>
      <c r="U8" s="913"/>
      <c r="V8" s="355">
        <v>766</v>
      </c>
      <c r="W8" s="965"/>
      <c r="X8" s="362"/>
      <c r="Y8" s="357"/>
      <c r="Z8" s="363"/>
      <c r="AA8" s="347"/>
      <c r="AB8" s="364"/>
      <c r="AC8" s="365"/>
    </row>
    <row r="9" spans="1:29" s="266" customFormat="1" ht="24.75" customHeight="1">
      <c r="A9" s="366"/>
      <c r="B9" s="367"/>
      <c r="C9" s="368" t="s">
        <v>736</v>
      </c>
      <c r="D9" s="369">
        <v>607540</v>
      </c>
      <c r="E9" s="370">
        <v>50333</v>
      </c>
      <c r="F9" s="371">
        <f>SUM(D9:E9)</f>
        <v>657873</v>
      </c>
      <c r="G9" s="918" t="s">
        <v>826</v>
      </c>
      <c r="H9" s="913"/>
      <c r="I9" s="913"/>
      <c r="J9" s="355">
        <v>10319</v>
      </c>
      <c r="K9" s="920"/>
      <c r="L9" s="908" t="s">
        <v>785</v>
      </c>
      <c r="M9" s="909"/>
      <c r="N9" s="909"/>
      <c r="O9" s="909"/>
      <c r="P9" s="355">
        <v>12540</v>
      </c>
      <c r="Q9" s="922"/>
      <c r="R9" s="908" t="s">
        <v>786</v>
      </c>
      <c r="S9" s="909"/>
      <c r="T9" s="909"/>
      <c r="U9" s="909"/>
      <c r="V9" s="355">
        <v>100813</v>
      </c>
      <c r="W9" s="965"/>
      <c r="X9" s="372"/>
      <c r="Y9" s="373"/>
      <c r="Z9" s="363"/>
      <c r="AA9" s="374"/>
      <c r="AB9" s="375"/>
      <c r="AC9" s="376"/>
    </row>
    <row r="10" spans="1:29" s="266" customFormat="1" ht="28.5" customHeight="1">
      <c r="A10" s="377"/>
      <c r="B10" s="378"/>
      <c r="C10" s="379"/>
      <c r="D10" s="379"/>
      <c r="E10" s="348"/>
      <c r="F10" s="351"/>
      <c r="G10" s="913" t="s">
        <v>849</v>
      </c>
      <c r="H10" s="913"/>
      <c r="I10" s="913"/>
      <c r="J10" s="355">
        <v>13446</v>
      </c>
      <c r="K10" s="920"/>
      <c r="L10" s="912" t="s">
        <v>787</v>
      </c>
      <c r="M10" s="913"/>
      <c r="N10" s="913"/>
      <c r="O10" s="913"/>
      <c r="P10" s="355">
        <v>18000</v>
      </c>
      <c r="Q10" s="922"/>
      <c r="R10" s="908" t="s">
        <v>788</v>
      </c>
      <c r="S10" s="909"/>
      <c r="T10" s="909"/>
      <c r="U10" s="909"/>
      <c r="V10" s="355">
        <v>4819</v>
      </c>
      <c r="W10" s="965"/>
      <c r="X10" s="372"/>
      <c r="Y10" s="373"/>
      <c r="Z10" s="363"/>
      <c r="AA10" s="374"/>
      <c r="AB10" s="375"/>
      <c r="AC10" s="376"/>
    </row>
    <row r="11" spans="1:29" s="266" customFormat="1" ht="24.75" customHeight="1">
      <c r="A11" s="377"/>
      <c r="B11" s="378"/>
      <c r="C11" s="379"/>
      <c r="D11" s="379"/>
      <c r="E11" s="348"/>
      <c r="F11" s="351"/>
      <c r="G11" s="918" t="s">
        <v>488</v>
      </c>
      <c r="H11" s="913"/>
      <c r="I11" s="913"/>
      <c r="J11" s="355">
        <v>27586</v>
      </c>
      <c r="K11" s="920"/>
      <c r="L11" s="912" t="s">
        <v>854</v>
      </c>
      <c r="M11" s="913"/>
      <c r="N11" s="913"/>
      <c r="O11" s="913"/>
      <c r="P11" s="355"/>
      <c r="Q11" s="922"/>
      <c r="R11" s="912" t="s">
        <v>789</v>
      </c>
      <c r="S11" s="913"/>
      <c r="T11" s="913"/>
      <c r="U11" s="913"/>
      <c r="V11" s="355">
        <v>167925</v>
      </c>
      <c r="W11" s="965"/>
      <c r="X11" s="372"/>
      <c r="Y11" s="373"/>
      <c r="Z11" s="363"/>
      <c r="AA11" s="374"/>
      <c r="AB11" s="375"/>
      <c r="AC11" s="376"/>
    </row>
    <row r="12" spans="1:29" s="266" customFormat="1" ht="24.75" customHeight="1">
      <c r="A12" s="377"/>
      <c r="B12" s="378"/>
      <c r="C12" s="379"/>
      <c r="D12" s="379"/>
      <c r="E12" s="348"/>
      <c r="F12" s="351"/>
      <c r="G12" s="918" t="s">
        <v>1012</v>
      </c>
      <c r="H12" s="913"/>
      <c r="I12" s="913"/>
      <c r="J12" s="355">
        <v>1653</v>
      </c>
      <c r="K12" s="920"/>
      <c r="L12" s="908" t="s">
        <v>850</v>
      </c>
      <c r="M12" s="909"/>
      <c r="N12" s="909"/>
      <c r="O12" s="909"/>
      <c r="P12" s="392">
        <v>1455</v>
      </c>
      <c r="Q12" s="922"/>
      <c r="R12" s="912" t="s">
        <v>1016</v>
      </c>
      <c r="S12" s="913"/>
      <c r="T12" s="913"/>
      <c r="U12" s="913"/>
      <c r="V12" s="355">
        <v>30</v>
      </c>
      <c r="W12" s="965"/>
      <c r="X12" s="372"/>
      <c r="Y12" s="373"/>
      <c r="Z12" s="363"/>
      <c r="AA12" s="374"/>
      <c r="AB12" s="375"/>
      <c r="AC12" s="376"/>
    </row>
    <row r="13" spans="1:29" s="266" customFormat="1" ht="16.5" customHeight="1">
      <c r="A13" s="377"/>
      <c r="B13" s="378"/>
      <c r="C13" s="379"/>
      <c r="D13" s="379"/>
      <c r="E13" s="348"/>
      <c r="F13" s="381"/>
      <c r="G13" s="909" t="s">
        <v>848</v>
      </c>
      <c r="H13" s="909"/>
      <c r="I13" s="909"/>
      <c r="J13" s="355">
        <v>62748</v>
      </c>
      <c r="K13" s="920"/>
      <c r="L13" s="908" t="s">
        <v>851</v>
      </c>
      <c r="M13" s="909"/>
      <c r="N13" s="909"/>
      <c r="O13" s="909"/>
      <c r="P13" s="403">
        <v>14668</v>
      </c>
      <c r="Q13" s="922"/>
      <c r="R13" s="912" t="s">
        <v>228</v>
      </c>
      <c r="S13" s="913"/>
      <c r="T13" s="913"/>
      <c r="U13" s="913"/>
      <c r="V13" s="355">
        <f>4888+250</f>
        <v>5138</v>
      </c>
      <c r="W13" s="965"/>
      <c r="X13" s="382">
        <f>SUM(W7,Q7,K7)</f>
        <v>543275</v>
      </c>
      <c r="Y13" s="383">
        <f>SUM(Q21,W21,K21)</f>
        <v>251240</v>
      </c>
      <c r="Z13" s="384">
        <f>SUM(Y13,X13)</f>
        <v>794515</v>
      </c>
      <c r="AA13" s="382">
        <f>X13-D9</f>
        <v>-64265</v>
      </c>
      <c r="AB13" s="383">
        <f>Y13-E9</f>
        <v>200907</v>
      </c>
      <c r="AC13" s="385">
        <f>SUM(AA13:AB13)</f>
        <v>136642</v>
      </c>
    </row>
    <row r="14" spans="1:29" s="264" customFormat="1" ht="27.75" customHeight="1">
      <c r="A14" s="386"/>
      <c r="B14" s="387"/>
      <c r="C14" s="388"/>
      <c r="D14" s="388"/>
      <c r="E14" s="389"/>
      <c r="F14" s="390"/>
      <c r="G14" s="918" t="s">
        <v>816</v>
      </c>
      <c r="H14" s="913"/>
      <c r="I14" s="913"/>
      <c r="J14" s="355">
        <v>6037</v>
      </c>
      <c r="K14" s="920"/>
      <c r="L14" s="908"/>
      <c r="M14" s="909"/>
      <c r="N14" s="909"/>
      <c r="O14" s="909"/>
      <c r="P14" s="403"/>
      <c r="Q14" s="922"/>
      <c r="R14" s="908" t="s">
        <v>1017</v>
      </c>
      <c r="S14" s="909"/>
      <c r="T14" s="909"/>
      <c r="U14" s="909"/>
      <c r="V14" s="391">
        <v>388</v>
      </c>
      <c r="W14" s="965"/>
      <c r="X14" s="372"/>
      <c r="Y14" s="373"/>
      <c r="Z14" s="363"/>
      <c r="AA14" s="374"/>
      <c r="AB14" s="375"/>
      <c r="AC14" s="376"/>
    </row>
    <row r="15" spans="1:29" s="264" customFormat="1" ht="16.5" customHeight="1">
      <c r="A15" s="386"/>
      <c r="B15" s="387"/>
      <c r="C15" s="388"/>
      <c r="D15" s="388"/>
      <c r="E15" s="389"/>
      <c r="F15" s="390"/>
      <c r="G15" s="918"/>
      <c r="H15" s="913"/>
      <c r="I15" s="913"/>
      <c r="J15" s="355"/>
      <c r="K15" s="920"/>
      <c r="L15" s="912"/>
      <c r="M15" s="913"/>
      <c r="N15" s="913"/>
      <c r="O15" s="913"/>
      <c r="P15" s="355"/>
      <c r="Q15" s="922"/>
      <c r="R15" s="908" t="s">
        <v>797</v>
      </c>
      <c r="S15" s="909"/>
      <c r="T15" s="909"/>
      <c r="U15" s="909"/>
      <c r="V15" s="391">
        <v>97</v>
      </c>
      <c r="W15" s="965"/>
      <c r="X15" s="372"/>
      <c r="Y15" s="373"/>
      <c r="Z15" s="363"/>
      <c r="AA15" s="374"/>
      <c r="AB15" s="375"/>
      <c r="AC15" s="376"/>
    </row>
    <row r="16" spans="1:29" s="264" customFormat="1" ht="12.75" customHeight="1">
      <c r="A16" s="386"/>
      <c r="B16" s="387"/>
      <c r="C16" s="388"/>
      <c r="D16" s="388"/>
      <c r="E16" s="389"/>
      <c r="F16" s="390"/>
      <c r="G16" s="918"/>
      <c r="H16" s="913"/>
      <c r="I16" s="913"/>
      <c r="J16" s="355"/>
      <c r="K16" s="920"/>
      <c r="L16" s="908"/>
      <c r="M16" s="909"/>
      <c r="N16" s="909"/>
      <c r="O16" s="909"/>
      <c r="P16" s="392"/>
      <c r="Q16" s="922"/>
      <c r="R16" s="908" t="s">
        <v>205</v>
      </c>
      <c r="S16" s="909"/>
      <c r="T16" s="909"/>
      <c r="U16" s="909"/>
      <c r="V16" s="391">
        <v>254</v>
      </c>
      <c r="W16" s="965"/>
      <c r="X16" s="372"/>
      <c r="Y16" s="373"/>
      <c r="Z16" s="363"/>
      <c r="AA16" s="374"/>
      <c r="AB16" s="375"/>
      <c r="AC16" s="376"/>
    </row>
    <row r="17" spans="1:29" s="264" customFormat="1" ht="12.75" customHeight="1">
      <c r="A17" s="386"/>
      <c r="B17" s="387"/>
      <c r="C17" s="388"/>
      <c r="D17" s="388"/>
      <c r="E17" s="389"/>
      <c r="F17" s="390"/>
      <c r="J17" s="532"/>
      <c r="K17" s="920"/>
      <c r="L17" s="908"/>
      <c r="M17" s="909"/>
      <c r="N17" s="909"/>
      <c r="O17" s="909"/>
      <c r="P17" s="403"/>
      <c r="Q17" s="922"/>
      <c r="R17" s="908" t="s">
        <v>855</v>
      </c>
      <c r="S17" s="909"/>
      <c r="T17" s="909"/>
      <c r="U17" s="909"/>
      <c r="V17" s="391">
        <v>28</v>
      </c>
      <c r="W17" s="965"/>
      <c r="X17" s="372"/>
      <c r="Y17" s="373"/>
      <c r="Z17" s="363"/>
      <c r="AA17" s="374"/>
      <c r="AB17" s="375"/>
      <c r="AC17" s="376"/>
    </row>
    <row r="18" spans="1:29" s="264" customFormat="1" ht="12.75" customHeight="1">
      <c r="A18" s="386"/>
      <c r="B18" s="387"/>
      <c r="C18" s="388"/>
      <c r="D18" s="388"/>
      <c r="E18" s="389"/>
      <c r="F18" s="390"/>
      <c r="G18" s="906"/>
      <c r="H18" s="907"/>
      <c r="I18" s="907"/>
      <c r="J18" s="532"/>
      <c r="K18" s="920"/>
      <c r="L18" s="908"/>
      <c r="M18" s="909"/>
      <c r="N18" s="909"/>
      <c r="O18" s="909"/>
      <c r="P18" s="403"/>
      <c r="Q18" s="922"/>
      <c r="R18" s="908" t="s">
        <v>790</v>
      </c>
      <c r="S18" s="909"/>
      <c r="T18" s="909"/>
      <c r="U18" s="909"/>
      <c r="V18" s="391">
        <v>63</v>
      </c>
      <c r="W18" s="965"/>
      <c r="X18" s="372"/>
      <c r="Y18" s="373"/>
      <c r="Z18" s="363"/>
      <c r="AA18" s="374"/>
      <c r="AB18" s="375"/>
      <c r="AC18" s="376"/>
    </row>
    <row r="19" spans="1:29" s="264" customFormat="1" ht="26.25" customHeight="1">
      <c r="A19" s="386"/>
      <c r="B19" s="387"/>
      <c r="C19" s="388"/>
      <c r="D19" s="388"/>
      <c r="E19" s="389"/>
      <c r="F19" s="390"/>
      <c r="G19" s="534"/>
      <c r="H19" s="533"/>
      <c r="I19" s="533"/>
      <c r="J19" s="532"/>
      <c r="K19" s="920"/>
      <c r="L19" s="912"/>
      <c r="M19" s="913"/>
      <c r="N19" s="913"/>
      <c r="O19" s="913"/>
      <c r="P19" s="403"/>
      <c r="Q19" s="922"/>
      <c r="R19" s="912" t="s">
        <v>229</v>
      </c>
      <c r="S19" s="913"/>
      <c r="T19" s="913"/>
      <c r="U19" s="913"/>
      <c r="V19" s="392">
        <f>2710</f>
        <v>2710</v>
      </c>
      <c r="W19" s="965"/>
      <c r="X19" s="372"/>
      <c r="Y19" s="373"/>
      <c r="Z19" s="363"/>
      <c r="AA19" s="374"/>
      <c r="AB19" s="375"/>
      <c r="AC19" s="376"/>
    </row>
    <row r="20" spans="1:29" s="264" customFormat="1" ht="14.25" customHeight="1" thickBot="1">
      <c r="A20" s="386"/>
      <c r="B20" s="387"/>
      <c r="C20" s="388"/>
      <c r="D20" s="388"/>
      <c r="E20" s="389"/>
      <c r="F20" s="390"/>
      <c r="G20" s="534"/>
      <c r="H20" s="533"/>
      <c r="I20" s="533"/>
      <c r="J20" s="532"/>
      <c r="K20" s="920"/>
      <c r="L20" s="900"/>
      <c r="M20" s="901"/>
      <c r="N20" s="901"/>
      <c r="O20" s="901"/>
      <c r="P20" s="403"/>
      <c r="Q20" s="923"/>
      <c r="R20" s="912" t="s">
        <v>857</v>
      </c>
      <c r="S20" s="913"/>
      <c r="T20" s="913"/>
      <c r="U20" s="913"/>
      <c r="V20" s="392">
        <v>470</v>
      </c>
      <c r="W20" s="965"/>
      <c r="X20" s="372"/>
      <c r="Y20" s="373"/>
      <c r="Z20" s="363"/>
      <c r="AA20" s="374"/>
      <c r="AB20" s="375"/>
      <c r="AC20" s="376"/>
    </row>
    <row r="21" spans="1:29" s="264" customFormat="1" ht="12.75" customHeight="1">
      <c r="A21" s="386"/>
      <c r="B21" s="387"/>
      <c r="C21" s="388"/>
      <c r="D21" s="388"/>
      <c r="E21" s="393" t="s">
        <v>206</v>
      </c>
      <c r="F21" s="390"/>
      <c r="G21" s="977"/>
      <c r="H21" s="978"/>
      <c r="I21" s="978"/>
      <c r="J21" s="535"/>
      <c r="K21" s="916">
        <f>SUM(J21:J22)</f>
        <v>0</v>
      </c>
      <c r="L21" s="904" t="s">
        <v>852</v>
      </c>
      <c r="M21" s="905"/>
      <c r="N21" s="905"/>
      <c r="O21" s="905"/>
      <c r="P21" s="394">
        <v>40540</v>
      </c>
      <c r="Q21" s="916">
        <f>SUM(P21:P22)</f>
        <v>171867</v>
      </c>
      <c r="R21" s="904" t="s">
        <v>207</v>
      </c>
      <c r="S21" s="905"/>
      <c r="T21" s="905"/>
      <c r="U21" s="905"/>
      <c r="V21" s="395">
        <f>129510-48820-9000</f>
        <v>71690</v>
      </c>
      <c r="W21" s="902">
        <f>SUM(V21:V22)</f>
        <v>79373</v>
      </c>
      <c r="X21" s="372"/>
      <c r="Y21" s="373"/>
      <c r="Z21" s="363"/>
      <c r="AA21" s="374"/>
      <c r="AB21" s="375"/>
      <c r="AC21" s="376"/>
    </row>
    <row r="22" spans="1:29" s="264" customFormat="1" ht="12.75" customHeight="1" thickBot="1">
      <c r="A22" s="386"/>
      <c r="B22" s="387"/>
      <c r="C22" s="388"/>
      <c r="D22" s="388"/>
      <c r="E22" s="389"/>
      <c r="F22" s="390"/>
      <c r="G22" s="906"/>
      <c r="H22" s="907"/>
      <c r="I22" s="907"/>
      <c r="J22" s="536"/>
      <c r="K22" s="920"/>
      <c r="L22" s="908" t="s">
        <v>1015</v>
      </c>
      <c r="M22" s="909"/>
      <c r="N22" s="909"/>
      <c r="O22" s="909"/>
      <c r="P22" s="403">
        <v>131327</v>
      </c>
      <c r="Q22" s="917"/>
      <c r="R22" s="912" t="s">
        <v>1013</v>
      </c>
      <c r="S22" s="913"/>
      <c r="T22" s="913"/>
      <c r="U22" s="913"/>
      <c r="V22" s="392">
        <v>7683</v>
      </c>
      <c r="W22" s="903"/>
      <c r="X22" s="372"/>
      <c r="Y22" s="373"/>
      <c r="Z22" s="363"/>
      <c r="AA22" s="374"/>
      <c r="AB22" s="375"/>
      <c r="AC22" s="376"/>
    </row>
    <row r="23" spans="1:29" s="264" customFormat="1" ht="13.5" customHeight="1" thickTop="1">
      <c r="A23" s="723"/>
      <c r="B23" s="723"/>
      <c r="C23" s="724"/>
      <c r="D23" s="724"/>
      <c r="E23" s="514"/>
      <c r="F23" s="406"/>
      <c r="G23" s="725"/>
      <c r="H23" s="726"/>
      <c r="I23" s="726"/>
      <c r="J23" s="514"/>
      <c r="K23" s="711"/>
      <c r="L23" s="979" t="s">
        <v>792</v>
      </c>
      <c r="M23" s="980"/>
      <c r="N23" s="980"/>
      <c r="O23" s="980"/>
      <c r="P23" s="747">
        <v>29505</v>
      </c>
      <c r="Q23" s="898">
        <f>SUM(P23:P24)</f>
        <v>35259</v>
      </c>
      <c r="R23" s="727"/>
      <c r="S23" s="728"/>
      <c r="T23" s="728"/>
      <c r="U23" s="728"/>
      <c r="V23" s="729"/>
      <c r="W23" s="712"/>
      <c r="X23" s="730"/>
      <c r="Y23" s="731"/>
      <c r="Z23" s="732"/>
      <c r="AA23" s="733"/>
      <c r="AB23" s="734"/>
      <c r="AC23" s="722"/>
    </row>
    <row r="24" spans="1:29" ht="19.5" customHeight="1" thickBot="1">
      <c r="A24" s="735"/>
      <c r="B24" s="981" t="s">
        <v>208</v>
      </c>
      <c r="C24" s="982"/>
      <c r="D24" s="736">
        <v>42700</v>
      </c>
      <c r="E24" s="737">
        <v>0</v>
      </c>
      <c r="F24" s="738">
        <f>SUM(D24:E24)</f>
        <v>42700</v>
      </c>
      <c r="G24" s="896"/>
      <c r="H24" s="897"/>
      <c r="I24" s="897"/>
      <c r="J24" s="739"/>
      <c r="K24" s="740">
        <f>SUM(J24)</f>
        <v>0</v>
      </c>
      <c r="L24" s="914" t="s">
        <v>1014</v>
      </c>
      <c r="M24" s="915"/>
      <c r="N24" s="915"/>
      <c r="O24" s="915"/>
      <c r="P24" s="748">
        <v>5754</v>
      </c>
      <c r="Q24" s="919"/>
      <c r="R24" s="914"/>
      <c r="S24" s="915"/>
      <c r="T24" s="915"/>
      <c r="U24" s="915"/>
      <c r="V24" s="741"/>
      <c r="W24" s="742">
        <f>SUM(V24)</f>
        <v>0</v>
      </c>
      <c r="X24" s="743">
        <f>SUM(W24,Q23,K24)</f>
        <v>35259</v>
      </c>
      <c r="Y24" s="744">
        <v>0</v>
      </c>
      <c r="Z24" s="745">
        <f>SUM(X24:Y24)</f>
        <v>35259</v>
      </c>
      <c r="AA24" s="743">
        <f>X24-D24</f>
        <v>-7441</v>
      </c>
      <c r="AB24" s="744">
        <f>Y24-E24</f>
        <v>0</v>
      </c>
      <c r="AC24" s="746">
        <f>SUM(AA24:AB24)</f>
        <v>-7441</v>
      </c>
    </row>
    <row r="25" spans="1:29" ht="24.75" customHeight="1" thickTop="1">
      <c r="A25" s="400"/>
      <c r="B25" s="389"/>
      <c r="C25" s="401"/>
      <c r="D25" s="402"/>
      <c r="E25" s="402"/>
      <c r="F25" s="390"/>
      <c r="G25" s="534"/>
      <c r="H25" s="533"/>
      <c r="I25" s="533"/>
      <c r="J25" s="602"/>
      <c r="K25" s="898">
        <f>SUM(J25:J26)</f>
        <v>0</v>
      </c>
      <c r="L25" s="908"/>
      <c r="M25" s="909"/>
      <c r="N25" s="909"/>
      <c r="O25" s="909"/>
      <c r="P25" s="355"/>
      <c r="Q25" s="898">
        <f>SUM(P25:P26)</f>
        <v>0</v>
      </c>
      <c r="R25" s="912" t="s">
        <v>856</v>
      </c>
      <c r="S25" s="913"/>
      <c r="T25" s="913"/>
      <c r="U25" s="913"/>
      <c r="V25" s="392">
        <v>7200</v>
      </c>
      <c r="W25" s="910">
        <f>SUM(V25:V26)</f>
        <v>13200</v>
      </c>
      <c r="X25" s="404"/>
      <c r="Y25" s="405"/>
      <c r="Z25" s="550"/>
      <c r="AA25" s="404"/>
      <c r="AB25" s="405"/>
      <c r="AC25" s="406"/>
    </row>
    <row r="26" spans="1:29" ht="25.5" customHeight="1" thickBot="1">
      <c r="A26" s="968" t="s">
        <v>737</v>
      </c>
      <c r="B26" s="969"/>
      <c r="C26" s="970"/>
      <c r="D26" s="409">
        <v>60009</v>
      </c>
      <c r="E26" s="370">
        <v>11595</v>
      </c>
      <c r="F26" s="371">
        <f>SUM(D26:E26)</f>
        <v>71604</v>
      </c>
      <c r="G26" s="380"/>
      <c r="H26" s="354"/>
      <c r="I26" s="354"/>
      <c r="J26" s="403"/>
      <c r="K26" s="899"/>
      <c r="L26" s="908"/>
      <c r="M26" s="909"/>
      <c r="N26" s="909"/>
      <c r="O26" s="909"/>
      <c r="P26" s="355"/>
      <c r="Q26" s="899"/>
      <c r="R26" s="900" t="s">
        <v>1023</v>
      </c>
      <c r="S26" s="901"/>
      <c r="T26" s="901"/>
      <c r="U26" s="901"/>
      <c r="V26" s="760">
        <v>6000</v>
      </c>
      <c r="W26" s="911"/>
      <c r="X26" s="407">
        <f>SUM(W25,Q25,K25)</f>
        <v>13200</v>
      </c>
      <c r="Y26" s="383">
        <f>SUM(Q27,W27,K27)</f>
        <v>3000</v>
      </c>
      <c r="Z26" s="384">
        <f>SUM(X26:Y26)</f>
        <v>16200</v>
      </c>
      <c r="AA26" s="382">
        <f>X26-D26</f>
        <v>-46809</v>
      </c>
      <c r="AB26" s="383">
        <f>Y26-E26</f>
        <v>-8595</v>
      </c>
      <c r="AC26" s="385">
        <f>SUM(AA26:AB26)</f>
        <v>-55404</v>
      </c>
    </row>
    <row r="27" spans="1:29" ht="27" customHeight="1" thickBot="1">
      <c r="A27" s="968"/>
      <c r="B27" s="969"/>
      <c r="C27" s="970"/>
      <c r="D27" s="409"/>
      <c r="E27" s="370"/>
      <c r="F27" s="371"/>
      <c r="G27" s="537"/>
      <c r="H27" s="538"/>
      <c r="I27" s="538"/>
      <c r="J27" s="539"/>
      <c r="K27" s="710">
        <f>SUM(J27:J27)</f>
        <v>0</v>
      </c>
      <c r="L27" s="904"/>
      <c r="M27" s="905"/>
      <c r="N27" s="905"/>
      <c r="O27" s="905"/>
      <c r="P27" s="394"/>
      <c r="Q27" s="710">
        <f>SUM(P27:P27)</f>
        <v>0</v>
      </c>
      <c r="R27" s="900" t="s">
        <v>1022</v>
      </c>
      <c r="S27" s="901"/>
      <c r="T27" s="901"/>
      <c r="U27" s="901"/>
      <c r="V27" s="392">
        <v>3000</v>
      </c>
      <c r="W27" s="710">
        <f>SUM(V27:V27)</f>
        <v>3000</v>
      </c>
      <c r="X27" s="410"/>
      <c r="Y27" s="408"/>
      <c r="Z27" s="384"/>
      <c r="AA27" s="382"/>
      <c r="AB27" s="383"/>
      <c r="AC27" s="376"/>
    </row>
    <row r="28" spans="1:29" ht="25.5" customHeight="1" thickBot="1">
      <c r="A28" s="971" t="s">
        <v>209</v>
      </c>
      <c r="B28" s="972"/>
      <c r="C28" s="973"/>
      <c r="D28" s="412">
        <f>SUM(D8:D27)</f>
        <v>710249</v>
      </c>
      <c r="E28" s="413">
        <f>SUM(E7:E27)</f>
        <v>61928</v>
      </c>
      <c r="F28" s="414">
        <f>SUM(F7:F27)</f>
        <v>772177</v>
      </c>
      <c r="G28" s="415"/>
      <c r="H28" s="974" t="s">
        <v>210</v>
      </c>
      <c r="I28" s="975"/>
      <c r="J28" s="976"/>
      <c r="K28" s="416">
        <f>SUM(K7:K27)</f>
        <v>207773</v>
      </c>
      <c r="L28" s="419"/>
      <c r="M28" s="966" t="s">
        <v>211</v>
      </c>
      <c r="N28" s="966"/>
      <c r="O28" s="966"/>
      <c r="P28" s="967"/>
      <c r="Q28" s="416">
        <f>SUM(Q7:Q27)</f>
        <v>258709</v>
      </c>
      <c r="R28" s="419"/>
      <c r="S28" s="966" t="s">
        <v>212</v>
      </c>
      <c r="T28" s="966"/>
      <c r="U28" s="966"/>
      <c r="V28" s="967"/>
      <c r="W28" s="416">
        <f>SUM(W7:W27)</f>
        <v>379492</v>
      </c>
      <c r="X28" s="420">
        <f>SUM(X7:X27)</f>
        <v>591734</v>
      </c>
      <c r="Y28" s="421">
        <f>SUM(Y7:Y27)</f>
        <v>254240</v>
      </c>
      <c r="Z28" s="422">
        <f>SUM(X28:Y28)</f>
        <v>845974</v>
      </c>
      <c r="AA28" s="423">
        <f>SUM(AA10:AA27)</f>
        <v>-118515</v>
      </c>
      <c r="AB28" s="424">
        <f>SUM(AB9:AB27)</f>
        <v>192312</v>
      </c>
      <c r="AC28" s="549">
        <f>SUM(AA28:AB28)</f>
        <v>73797</v>
      </c>
    </row>
    <row r="29" spans="1:29" ht="27.75" customHeight="1" thickBot="1" thickTop="1">
      <c r="A29" s="938" t="s">
        <v>213</v>
      </c>
      <c r="B29" s="958"/>
      <c r="C29" s="983"/>
      <c r="D29" s="948" t="s">
        <v>577</v>
      </c>
      <c r="E29" s="949"/>
      <c r="F29" s="950"/>
      <c r="G29" s="951" t="s">
        <v>777</v>
      </c>
      <c r="H29" s="958"/>
      <c r="I29" s="958"/>
      <c r="J29" s="958"/>
      <c r="K29" s="986"/>
      <c r="L29" s="942" t="s">
        <v>778</v>
      </c>
      <c r="M29" s="958"/>
      <c r="N29" s="958"/>
      <c r="O29" s="958"/>
      <c r="P29" s="958"/>
      <c r="Q29" s="986"/>
      <c r="R29" s="942" t="s">
        <v>779</v>
      </c>
      <c r="S29" s="958"/>
      <c r="T29" s="958"/>
      <c r="U29" s="958"/>
      <c r="V29" s="958"/>
      <c r="W29" s="959"/>
      <c r="X29" s="963" t="s">
        <v>780</v>
      </c>
      <c r="Y29" s="932"/>
      <c r="Z29" s="964"/>
      <c r="AA29" s="957" t="s">
        <v>201</v>
      </c>
      <c r="AB29" s="934"/>
      <c r="AC29" s="935"/>
    </row>
    <row r="30" spans="1:223" s="268" customFormat="1" ht="18.75" customHeight="1" thickBot="1" thickTop="1">
      <c r="A30" s="984"/>
      <c r="B30" s="961"/>
      <c r="C30" s="985"/>
      <c r="D30" s="338" t="s">
        <v>202</v>
      </c>
      <c r="E30" s="339" t="s">
        <v>192</v>
      </c>
      <c r="F30" s="340" t="s">
        <v>203</v>
      </c>
      <c r="G30" s="984"/>
      <c r="H30" s="961"/>
      <c r="I30" s="961"/>
      <c r="J30" s="987"/>
      <c r="K30" s="988"/>
      <c r="L30" s="960"/>
      <c r="M30" s="961"/>
      <c r="N30" s="961"/>
      <c r="O30" s="961"/>
      <c r="P30" s="961"/>
      <c r="Q30" s="988"/>
      <c r="R30" s="960"/>
      <c r="S30" s="961"/>
      <c r="T30" s="961"/>
      <c r="U30" s="961"/>
      <c r="V30" s="961"/>
      <c r="W30" s="962"/>
      <c r="X30" s="425" t="s">
        <v>202</v>
      </c>
      <c r="Y30" s="426" t="s">
        <v>192</v>
      </c>
      <c r="Z30" s="427" t="s">
        <v>203</v>
      </c>
      <c r="AA30" s="428" t="s">
        <v>202</v>
      </c>
      <c r="AB30" s="345" t="s">
        <v>192</v>
      </c>
      <c r="AC30" s="346" t="s">
        <v>203</v>
      </c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4"/>
      <c r="EN30" s="264"/>
      <c r="EO30" s="264"/>
      <c r="EP30" s="264"/>
      <c r="EQ30" s="264"/>
      <c r="ER30" s="264"/>
      <c r="ES30" s="264"/>
      <c r="ET30" s="264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4"/>
      <c r="FF30" s="264"/>
      <c r="FG30" s="264"/>
      <c r="FH30" s="264"/>
      <c r="FI30" s="264"/>
      <c r="FJ30" s="264"/>
      <c r="FK30" s="264"/>
      <c r="FL30" s="264"/>
      <c r="FM30" s="264"/>
      <c r="FN30" s="264"/>
      <c r="FO30" s="264"/>
      <c r="FP30" s="264"/>
      <c r="FQ30" s="264"/>
      <c r="FR30" s="264"/>
      <c r="FS30" s="264"/>
      <c r="FT30" s="264"/>
      <c r="FU30" s="264"/>
      <c r="FV30" s="264"/>
      <c r="FW30" s="264"/>
      <c r="FX30" s="264"/>
      <c r="FY30" s="264"/>
      <c r="FZ30" s="264"/>
      <c r="GA30" s="264"/>
      <c r="GB30" s="264"/>
      <c r="GC30" s="264"/>
      <c r="GD30" s="264"/>
      <c r="GE30" s="264"/>
      <c r="GF30" s="264"/>
      <c r="GG30" s="264"/>
      <c r="GH30" s="264"/>
      <c r="GI30" s="264"/>
      <c r="GJ30" s="264"/>
      <c r="GK30" s="264"/>
      <c r="GL30" s="264"/>
      <c r="GM30" s="264"/>
      <c r="GN30" s="264"/>
      <c r="GO30" s="264"/>
      <c r="GP30" s="264"/>
      <c r="GQ30" s="264"/>
      <c r="GR30" s="264"/>
      <c r="GS30" s="264"/>
      <c r="GT30" s="264"/>
      <c r="GU30" s="264"/>
      <c r="GV30" s="264"/>
      <c r="GW30" s="264"/>
      <c r="GX30" s="264"/>
      <c r="GY30" s="264"/>
      <c r="GZ30" s="264"/>
      <c r="HA30" s="264"/>
      <c r="HB30" s="264"/>
      <c r="HC30" s="264"/>
      <c r="HD30" s="264"/>
      <c r="HE30" s="264"/>
      <c r="HF30" s="264"/>
      <c r="HG30" s="264"/>
      <c r="HH30" s="264"/>
      <c r="HI30" s="264"/>
      <c r="HJ30" s="264"/>
      <c r="HK30" s="264"/>
      <c r="HL30" s="264"/>
      <c r="HM30" s="264"/>
      <c r="HN30" s="264"/>
      <c r="HO30" s="264"/>
    </row>
    <row r="31" spans="1:29" ht="12.75" customHeight="1">
      <c r="A31" s="347"/>
      <c r="B31" s="389"/>
      <c r="C31" s="389"/>
      <c r="D31" s="402"/>
      <c r="E31" s="389"/>
      <c r="F31" s="351"/>
      <c r="G31" s="998" t="s">
        <v>709</v>
      </c>
      <c r="H31" s="905"/>
      <c r="I31" s="905"/>
      <c r="J31" s="689">
        <v>122149</v>
      </c>
      <c r="K31" s="990">
        <f>SUM(J31:J36)</f>
        <v>122197</v>
      </c>
      <c r="L31" s="989" t="s">
        <v>232</v>
      </c>
      <c r="M31" s="925"/>
      <c r="N31" s="925"/>
      <c r="O31" s="925"/>
      <c r="P31" s="996">
        <v>12000</v>
      </c>
      <c r="Q31" s="916">
        <f>SUM(P31:P36)</f>
        <v>12276</v>
      </c>
      <c r="R31" s="908" t="s">
        <v>793</v>
      </c>
      <c r="S31" s="909"/>
      <c r="T31" s="909"/>
      <c r="U31" s="909"/>
      <c r="V31" s="355">
        <v>10</v>
      </c>
      <c r="W31" s="902">
        <f>SUM(V31:V36)</f>
        <v>8544</v>
      </c>
      <c r="X31" s="429"/>
      <c r="Y31" s="430"/>
      <c r="Z31" s="431"/>
      <c r="AA31" s="347"/>
      <c r="AB31" s="364"/>
      <c r="AC31" s="365"/>
    </row>
    <row r="32" spans="1:29" ht="12.75" customHeight="1">
      <c r="A32" s="396"/>
      <c r="B32" s="387"/>
      <c r="C32" s="387"/>
      <c r="D32" s="432"/>
      <c r="E32" s="389"/>
      <c r="F32" s="390"/>
      <c r="G32" s="354" t="s">
        <v>794</v>
      </c>
      <c r="H32" s="354"/>
      <c r="I32" s="354"/>
      <c r="J32" s="615">
        <v>48</v>
      </c>
      <c r="K32" s="920"/>
      <c r="L32" s="912"/>
      <c r="M32" s="913"/>
      <c r="N32" s="913"/>
      <c r="O32" s="913"/>
      <c r="P32" s="997"/>
      <c r="Q32" s="920"/>
      <c r="R32" s="908" t="s">
        <v>793</v>
      </c>
      <c r="S32" s="909"/>
      <c r="T32" s="909"/>
      <c r="U32" s="909"/>
      <c r="V32" s="355"/>
      <c r="W32" s="965"/>
      <c r="X32" s="433"/>
      <c r="Y32" s="373"/>
      <c r="Z32" s="363"/>
      <c r="AA32" s="374"/>
      <c r="AB32" s="375"/>
      <c r="AC32" s="376"/>
    </row>
    <row r="33" spans="1:29" ht="12.75" customHeight="1">
      <c r="A33" s="396"/>
      <c r="B33" s="969" t="s">
        <v>736</v>
      </c>
      <c r="C33" s="970"/>
      <c r="D33" s="409">
        <v>128375</v>
      </c>
      <c r="E33" s="370">
        <v>1279</v>
      </c>
      <c r="F33" s="371">
        <f>SUM(D33:E33)</f>
        <v>129654</v>
      </c>
      <c r="G33" s="354"/>
      <c r="H33" s="354"/>
      <c r="I33" s="354"/>
      <c r="J33" s="615"/>
      <c r="K33" s="920"/>
      <c r="L33" s="912" t="s">
        <v>231</v>
      </c>
      <c r="M33" s="913"/>
      <c r="N33" s="913"/>
      <c r="O33" s="913"/>
      <c r="P33" s="997">
        <v>276</v>
      </c>
      <c r="Q33" s="920"/>
      <c r="R33" s="908" t="s">
        <v>795</v>
      </c>
      <c r="S33" s="909"/>
      <c r="T33" s="909"/>
      <c r="U33" s="909"/>
      <c r="V33" s="544">
        <v>150</v>
      </c>
      <c r="W33" s="965"/>
      <c r="X33" s="433">
        <f>SUM(W31,Q31,K31)</f>
        <v>143017</v>
      </c>
      <c r="Y33" s="373">
        <v>0</v>
      </c>
      <c r="Z33" s="384">
        <f>SUM(Y33,X33)</f>
        <v>143017</v>
      </c>
      <c r="AA33" s="382">
        <f>X33-D33</f>
        <v>14642</v>
      </c>
      <c r="AB33" s="383">
        <f>Y33-E33</f>
        <v>-1279</v>
      </c>
      <c r="AC33" s="376">
        <f>SUM(AA33:AB33)</f>
        <v>13363</v>
      </c>
    </row>
    <row r="34" spans="1:29" ht="20.25" customHeight="1">
      <c r="A34" s="396"/>
      <c r="B34" s="387"/>
      <c r="C34" s="387"/>
      <c r="D34" s="434"/>
      <c r="E34" s="435"/>
      <c r="F34" s="436"/>
      <c r="G34" s="354"/>
      <c r="H34" s="354"/>
      <c r="I34" s="354"/>
      <c r="J34" s="691"/>
      <c r="K34" s="920"/>
      <c r="L34" s="912"/>
      <c r="M34" s="913"/>
      <c r="N34" s="913"/>
      <c r="O34" s="913"/>
      <c r="P34" s="997"/>
      <c r="Q34" s="920"/>
      <c r="R34" s="908" t="s">
        <v>796</v>
      </c>
      <c r="S34" s="909"/>
      <c r="T34" s="909"/>
      <c r="U34" s="909"/>
      <c r="V34" s="355">
        <v>6697</v>
      </c>
      <c r="W34" s="965"/>
      <c r="X34" s="433"/>
      <c r="Y34" s="373"/>
      <c r="Z34" s="363"/>
      <c r="AA34" s="374"/>
      <c r="AB34" s="375"/>
      <c r="AC34" s="376"/>
    </row>
    <row r="35" spans="1:29" ht="14.25" customHeight="1">
      <c r="A35" s="396"/>
      <c r="B35" s="387"/>
      <c r="C35" s="387"/>
      <c r="D35" s="434"/>
      <c r="E35" s="435"/>
      <c r="F35" s="436"/>
      <c r="G35" s="909"/>
      <c r="H35" s="909"/>
      <c r="I35" s="909"/>
      <c r="J35" s="691"/>
      <c r="K35" s="920"/>
      <c r="L35" s="353"/>
      <c r="M35" s="354"/>
      <c r="N35" s="354"/>
      <c r="O35" s="354"/>
      <c r="P35" s="355"/>
      <c r="Q35" s="920"/>
      <c r="R35" s="908" t="s">
        <v>233</v>
      </c>
      <c r="S35" s="909"/>
      <c r="T35" s="909"/>
      <c r="U35" s="909"/>
      <c r="V35" s="355">
        <v>1684</v>
      </c>
      <c r="W35" s="965"/>
      <c r="X35" s="433"/>
      <c r="Y35" s="373"/>
      <c r="Z35" s="363"/>
      <c r="AA35" s="374"/>
      <c r="AB35" s="375"/>
      <c r="AC35" s="376"/>
    </row>
    <row r="36" spans="1:29" ht="12.75" customHeight="1" thickBot="1">
      <c r="A36" s="396"/>
      <c r="B36" s="387"/>
      <c r="C36" s="387"/>
      <c r="D36" s="434"/>
      <c r="E36" s="435"/>
      <c r="F36" s="436"/>
      <c r="K36" s="920"/>
      <c r="L36" s="353"/>
      <c r="M36" s="354" t="s">
        <v>206</v>
      </c>
      <c r="N36" s="354"/>
      <c r="O36" s="354"/>
      <c r="P36" s="355"/>
      <c r="Q36" s="920"/>
      <c r="R36" s="908" t="s">
        <v>797</v>
      </c>
      <c r="S36" s="909"/>
      <c r="T36" s="909"/>
      <c r="U36" s="909"/>
      <c r="V36" s="391">
        <v>3</v>
      </c>
      <c r="W36" s="965"/>
      <c r="X36" s="433"/>
      <c r="Y36" s="373"/>
      <c r="Z36" s="363"/>
      <c r="AA36" s="374"/>
      <c r="AB36" s="375"/>
      <c r="AC36" s="376"/>
    </row>
    <row r="37" spans="1:29" ht="16.5" thickBot="1">
      <c r="A37" s="437"/>
      <c r="B37" s="1001" t="s">
        <v>791</v>
      </c>
      <c r="C37" s="1002"/>
      <c r="D37" s="438">
        <v>0</v>
      </c>
      <c r="E37" s="439">
        <v>0</v>
      </c>
      <c r="F37" s="440">
        <f>SUM(D37:E37)</f>
        <v>0</v>
      </c>
      <c r="G37" s="1031" t="s">
        <v>798</v>
      </c>
      <c r="H37" s="1031"/>
      <c r="I37" s="1031"/>
      <c r="J37" s="441">
        <v>4</v>
      </c>
      <c r="K37" s="442">
        <f>SUM(J37)</f>
        <v>4</v>
      </c>
      <c r="L37" s="443"/>
      <c r="M37" s="444"/>
      <c r="N37" s="444"/>
      <c r="O37" s="444"/>
      <c r="P37" s="445"/>
      <c r="Q37" s="442">
        <v>0</v>
      </c>
      <c r="R37" s="444"/>
      <c r="S37" s="444"/>
      <c r="T37" s="444"/>
      <c r="U37" s="444"/>
      <c r="V37" s="446"/>
      <c r="W37" s="447">
        <v>0</v>
      </c>
      <c r="X37" s="448">
        <f>SUM(W37,Q37,K37)</f>
        <v>4</v>
      </c>
      <c r="Y37" s="449">
        <v>0</v>
      </c>
      <c r="Z37" s="450">
        <f>SUM(X37:Y37)</f>
        <v>4</v>
      </c>
      <c r="AA37" s="451">
        <f>X37-D37</f>
        <v>4</v>
      </c>
      <c r="AB37" s="452">
        <v>0</v>
      </c>
      <c r="AC37" s="453">
        <v>0</v>
      </c>
    </row>
    <row r="38" spans="1:29" ht="16.5" thickBot="1">
      <c r="A38" s="971" t="s">
        <v>214</v>
      </c>
      <c r="B38" s="972"/>
      <c r="C38" s="973"/>
      <c r="D38" s="412">
        <f>SUM(D31:D37)</f>
        <v>128375</v>
      </c>
      <c r="E38" s="413">
        <f>SUM(E31:E37)</f>
        <v>1279</v>
      </c>
      <c r="F38" s="414">
        <f>SUM(F31:F37)</f>
        <v>129654</v>
      </c>
      <c r="G38" s="455"/>
      <c r="H38" s="974" t="s">
        <v>210</v>
      </c>
      <c r="I38" s="975"/>
      <c r="J38" s="976"/>
      <c r="K38" s="418">
        <f>SUM(K31:K37)</f>
        <v>122201</v>
      </c>
      <c r="L38" s="417"/>
      <c r="M38" s="999" t="s">
        <v>211</v>
      </c>
      <c r="N38" s="999"/>
      <c r="O38" s="999"/>
      <c r="P38" s="1000"/>
      <c r="Q38" s="418">
        <f>SUM(Q31:Q37)</f>
        <v>12276</v>
      </c>
      <c r="R38" s="415"/>
      <c r="S38" s="999" t="s">
        <v>212</v>
      </c>
      <c r="T38" s="999"/>
      <c r="U38" s="999"/>
      <c r="V38" s="1000"/>
      <c r="W38" s="456">
        <f>SUM(W31:W37)</f>
        <v>8544</v>
      </c>
      <c r="X38" s="457">
        <f>SUM(X31:X37)</f>
        <v>143021</v>
      </c>
      <c r="Y38" s="458">
        <v>0</v>
      </c>
      <c r="Z38" s="459">
        <f>SUM(X38:Y38)</f>
        <v>143021</v>
      </c>
      <c r="AA38" s="460">
        <f>X38-D38</f>
        <v>14646</v>
      </c>
      <c r="AB38" s="461">
        <f>Y38-E38</f>
        <v>-1279</v>
      </c>
      <c r="AC38" s="462">
        <f>SUM(AA38:AB38)</f>
        <v>13367</v>
      </c>
    </row>
    <row r="39" spans="1:29" ht="17.25" thickBot="1" thickTop="1">
      <c r="A39" s="463"/>
      <c r="B39" s="464"/>
      <c r="C39" s="464"/>
      <c r="D39" s="465"/>
      <c r="E39" s="466"/>
      <c r="F39" s="467"/>
      <c r="G39" s="466"/>
      <c r="H39" s="466"/>
      <c r="I39" s="468"/>
      <c r="J39" s="468"/>
      <c r="K39" s="469"/>
      <c r="L39" s="470"/>
      <c r="M39" s="466"/>
      <c r="N39" s="466"/>
      <c r="O39" s="466"/>
      <c r="P39" s="466"/>
      <c r="Q39" s="469"/>
      <c r="R39" s="466"/>
      <c r="S39" s="466"/>
      <c r="T39" s="466"/>
      <c r="U39" s="466"/>
      <c r="V39" s="466"/>
      <c r="W39" s="471"/>
      <c r="X39" s="472"/>
      <c r="Y39" s="473"/>
      <c r="Z39" s="474"/>
      <c r="AA39" s="463"/>
      <c r="AB39" s="475"/>
      <c r="AC39" s="476"/>
    </row>
    <row r="40" spans="1:29" ht="14.25" thickBot="1" thickTop="1">
      <c r="A40" s="938" t="s">
        <v>909</v>
      </c>
      <c r="B40" s="939"/>
      <c r="C40" s="939"/>
      <c r="D40" s="948" t="s">
        <v>577</v>
      </c>
      <c r="E40" s="949"/>
      <c r="F40" s="950"/>
      <c r="G40" s="951" t="s">
        <v>777</v>
      </c>
      <c r="H40" s="991"/>
      <c r="I40" s="991"/>
      <c r="J40" s="991"/>
      <c r="K40" s="992"/>
      <c r="L40" s="942" t="s">
        <v>778</v>
      </c>
      <c r="M40" s="943"/>
      <c r="N40" s="943"/>
      <c r="O40" s="943"/>
      <c r="P40" s="943"/>
      <c r="Q40" s="944"/>
      <c r="R40" s="942" t="s">
        <v>779</v>
      </c>
      <c r="S40" s="943"/>
      <c r="T40" s="943"/>
      <c r="U40" s="943"/>
      <c r="V40" s="943"/>
      <c r="W40" s="1032"/>
      <c r="X40" s="963" t="s">
        <v>780</v>
      </c>
      <c r="Y40" s="932"/>
      <c r="Z40" s="932"/>
      <c r="AA40" s="933" t="s">
        <v>201</v>
      </c>
      <c r="AB40" s="934"/>
      <c r="AC40" s="935"/>
    </row>
    <row r="41" spans="1:29" ht="32.25" customHeight="1" thickBot="1">
      <c r="A41" s="940"/>
      <c r="B41" s="941"/>
      <c r="C41" s="941"/>
      <c r="D41" s="338" t="s">
        <v>202</v>
      </c>
      <c r="E41" s="339" t="s">
        <v>192</v>
      </c>
      <c r="F41" s="340" t="s">
        <v>203</v>
      </c>
      <c r="G41" s="993"/>
      <c r="H41" s="994"/>
      <c r="I41" s="994"/>
      <c r="J41" s="994"/>
      <c r="K41" s="995"/>
      <c r="L41" s="945"/>
      <c r="M41" s="946"/>
      <c r="N41" s="946"/>
      <c r="O41" s="946"/>
      <c r="P41" s="946"/>
      <c r="Q41" s="947"/>
      <c r="R41" s="945"/>
      <c r="S41" s="946"/>
      <c r="T41" s="946"/>
      <c r="U41" s="946"/>
      <c r="V41" s="946"/>
      <c r="W41" s="1033"/>
      <c r="X41" s="425" t="s">
        <v>202</v>
      </c>
      <c r="Y41" s="342" t="s">
        <v>192</v>
      </c>
      <c r="Z41" s="343" t="s">
        <v>203</v>
      </c>
      <c r="AA41" s="341" t="s">
        <v>202</v>
      </c>
      <c r="AB41" s="345" t="s">
        <v>192</v>
      </c>
      <c r="AC41" s="346" t="s">
        <v>203</v>
      </c>
    </row>
    <row r="42" spans="1:29" ht="15.75" customHeight="1">
      <c r="A42" s="396"/>
      <c r="B42" s="389"/>
      <c r="C42" s="389"/>
      <c r="D42" s="402"/>
      <c r="E42" s="477"/>
      <c r="F42" s="390"/>
      <c r="G42" s="1006" t="s">
        <v>721</v>
      </c>
      <c r="H42" s="909"/>
      <c r="I42" s="909"/>
      <c r="J42" s="403">
        <v>16107</v>
      </c>
      <c r="K42" s="1013">
        <f>SUM(J42:J46)</f>
        <v>158777</v>
      </c>
      <c r="L42" s="400"/>
      <c r="M42" s="389"/>
      <c r="N42" s="389"/>
      <c r="O42" s="389"/>
      <c r="P42" s="389"/>
      <c r="Q42" s="478"/>
      <c r="R42" s="477"/>
      <c r="S42" s="477"/>
      <c r="T42" s="477"/>
      <c r="U42" s="477"/>
      <c r="V42" s="477"/>
      <c r="W42" s="479"/>
      <c r="X42" s="389"/>
      <c r="Y42" s="402"/>
      <c r="Z42" s="480"/>
      <c r="AA42" s="396"/>
      <c r="AB42" s="402"/>
      <c r="AC42" s="365"/>
    </row>
    <row r="43" spans="1:29" ht="25.5" customHeight="1">
      <c r="A43" s="396"/>
      <c r="B43" s="389"/>
      <c r="C43" s="389"/>
      <c r="D43" s="402"/>
      <c r="E43" s="477"/>
      <c r="F43" s="390"/>
      <c r="G43" s="913" t="s">
        <v>230</v>
      </c>
      <c r="H43" s="913"/>
      <c r="I43" s="913"/>
      <c r="J43" s="403">
        <v>8586</v>
      </c>
      <c r="K43" s="1014"/>
      <c r="L43" s="1003"/>
      <c r="M43" s="1004"/>
      <c r="N43" s="1004"/>
      <c r="O43" s="1004"/>
      <c r="P43" s="532"/>
      <c r="Q43" s="920">
        <f>SUM(P43)</f>
        <v>0</v>
      </c>
      <c r="R43" s="912" t="s">
        <v>799</v>
      </c>
      <c r="S43" s="1005"/>
      <c r="T43" s="1005"/>
      <c r="U43" s="1005"/>
      <c r="V43" s="545">
        <v>1768</v>
      </c>
      <c r="W43" s="965">
        <f>SUM(V43:V46)</f>
        <v>1798</v>
      </c>
      <c r="X43" s="355"/>
      <c r="Y43" s="375"/>
      <c r="Z43" s="363"/>
      <c r="AA43" s="374"/>
      <c r="AB43" s="375"/>
      <c r="AC43" s="376"/>
    </row>
    <row r="44" spans="1:29" ht="28.5" customHeight="1">
      <c r="A44" s="1010" t="s">
        <v>736</v>
      </c>
      <c r="B44" s="1011"/>
      <c r="C44" s="1012"/>
      <c r="D44" s="409">
        <v>244379</v>
      </c>
      <c r="E44" s="370">
        <v>3360</v>
      </c>
      <c r="F44" s="371">
        <f>SUM(D44:E44)</f>
        <v>247739</v>
      </c>
      <c r="G44" s="918" t="s">
        <v>1010</v>
      </c>
      <c r="H44" s="913"/>
      <c r="I44" s="913"/>
      <c r="J44" s="403">
        <f>85242+26400</f>
        <v>111642</v>
      </c>
      <c r="K44" s="1014"/>
      <c r="L44" s="400"/>
      <c r="M44" s="389"/>
      <c r="N44" s="389"/>
      <c r="O44" s="389"/>
      <c r="P44" s="389"/>
      <c r="Q44" s="920"/>
      <c r="R44" s="908" t="s">
        <v>797</v>
      </c>
      <c r="S44" s="909"/>
      <c r="T44" s="909"/>
      <c r="U44" s="909"/>
      <c r="V44" s="546">
        <v>30</v>
      </c>
      <c r="W44" s="965"/>
      <c r="X44" s="482">
        <f>SUM(W43+Q43+K42)</f>
        <v>160575</v>
      </c>
      <c r="Y44" s="383">
        <v>0</v>
      </c>
      <c r="Z44" s="384">
        <f>SUM(X44:Y44)</f>
        <v>160575</v>
      </c>
      <c r="AA44" s="483">
        <f>X44-D44</f>
        <v>-83804</v>
      </c>
      <c r="AB44" s="383">
        <f>Y44-E44</f>
        <v>-3360</v>
      </c>
      <c r="AC44" s="385">
        <f>SUM(AA44:AB44)</f>
        <v>-87164</v>
      </c>
    </row>
    <row r="45" spans="1:29" ht="14.25" customHeight="1">
      <c r="A45" s="366"/>
      <c r="B45" s="337"/>
      <c r="C45" s="267"/>
      <c r="D45" s="409"/>
      <c r="E45" s="370"/>
      <c r="F45" s="371"/>
      <c r="G45" s="913" t="s">
        <v>489</v>
      </c>
      <c r="H45" s="913"/>
      <c r="I45" s="913"/>
      <c r="J45" s="403">
        <v>17615</v>
      </c>
      <c r="K45" s="1014"/>
      <c r="L45" s="400"/>
      <c r="M45" s="389"/>
      <c r="N45" s="389"/>
      <c r="O45" s="389"/>
      <c r="P45" s="484"/>
      <c r="Q45" s="920"/>
      <c r="R45" s="908"/>
      <c r="S45" s="909"/>
      <c r="T45" s="909"/>
      <c r="U45" s="909"/>
      <c r="V45" s="546"/>
      <c r="W45" s="965"/>
      <c r="X45" s="433"/>
      <c r="Y45" s="373"/>
      <c r="Z45" s="384"/>
      <c r="AA45" s="382"/>
      <c r="AB45" s="383"/>
      <c r="AC45" s="376"/>
    </row>
    <row r="46" spans="1:29" ht="39" customHeight="1" thickBot="1">
      <c r="A46" s="366"/>
      <c r="B46" s="337"/>
      <c r="C46" s="267"/>
      <c r="D46" s="409"/>
      <c r="E46" s="370"/>
      <c r="F46" s="371"/>
      <c r="G46" s="1019" t="s">
        <v>818</v>
      </c>
      <c r="H46" s="901"/>
      <c r="I46" s="901"/>
      <c r="J46" s="690">
        <v>4827</v>
      </c>
      <c r="K46" s="1014"/>
      <c r="L46" s="485"/>
      <c r="M46" s="486"/>
      <c r="N46" s="486"/>
      <c r="O46" s="486"/>
      <c r="P46" s="487"/>
      <c r="Q46" s="899"/>
      <c r="R46" s="912"/>
      <c r="S46" s="913"/>
      <c r="T46" s="913"/>
      <c r="U46" s="913"/>
      <c r="V46" s="749"/>
      <c r="W46" s="1018"/>
      <c r="X46" s="433"/>
      <c r="Y46" s="373"/>
      <c r="Z46" s="384"/>
      <c r="AA46" s="382"/>
      <c r="AB46" s="383"/>
      <c r="AC46" s="376"/>
    </row>
    <row r="47" spans="1:29" ht="15.75">
      <c r="A47" s="626"/>
      <c r="B47" s="627"/>
      <c r="C47" s="627"/>
      <c r="D47" s="628"/>
      <c r="E47" s="629"/>
      <c r="F47" s="630"/>
      <c r="G47" s="998"/>
      <c r="H47" s="905"/>
      <c r="I47" s="905"/>
      <c r="J47" s="692"/>
      <c r="K47" s="1013">
        <f>SUM(J47:J50)</f>
        <v>0</v>
      </c>
      <c r="L47" s="998" t="s">
        <v>853</v>
      </c>
      <c r="M47" s="905"/>
      <c r="N47" s="905"/>
      <c r="O47" s="905"/>
      <c r="P47" s="692">
        <v>6245</v>
      </c>
      <c r="Q47" s="916">
        <f>SUM(P47:P50)</f>
        <v>6245</v>
      </c>
      <c r="R47" s="750"/>
      <c r="S47" s="751"/>
      <c r="T47" s="751"/>
      <c r="U47" s="751"/>
      <c r="V47" s="752"/>
      <c r="W47" s="488"/>
      <c r="X47" s="620"/>
      <c r="Y47" s="621"/>
      <c r="Z47" s="622"/>
      <c r="AA47" s="623"/>
      <c r="AB47" s="624"/>
      <c r="AC47" s="625"/>
    </row>
    <row r="48" spans="1:29" ht="15.75">
      <c r="A48" s="968" t="s">
        <v>737</v>
      </c>
      <c r="B48" s="969"/>
      <c r="C48" s="970"/>
      <c r="D48" s="409">
        <v>6223</v>
      </c>
      <c r="E48" s="370">
        <v>22</v>
      </c>
      <c r="F48" s="371">
        <f>SUM(D48:E48)</f>
        <v>6245</v>
      </c>
      <c r="G48" s="534"/>
      <c r="H48" s="533"/>
      <c r="I48" s="533"/>
      <c r="J48" s="601"/>
      <c r="K48" s="1014"/>
      <c r="L48" s="908"/>
      <c r="M48" s="909"/>
      <c r="N48" s="909"/>
      <c r="O48" s="909"/>
      <c r="P48" s="355"/>
      <c r="Q48" s="920"/>
      <c r="R48" s="1021"/>
      <c r="S48" s="907"/>
      <c r="T48" s="907"/>
      <c r="U48" s="907"/>
      <c r="V48" s="543"/>
      <c r="W48" s="488">
        <f>SUM(V48)</f>
        <v>0</v>
      </c>
      <c r="X48" s="433">
        <f>SUM(K48+Q47+W50)</f>
        <v>6245</v>
      </c>
      <c r="Y48" s="373">
        <v>0</v>
      </c>
      <c r="Z48" s="384">
        <f>SUM(X48:Y48)</f>
        <v>6245</v>
      </c>
      <c r="AA48" s="483">
        <f>X48-D48</f>
        <v>22</v>
      </c>
      <c r="AB48" s="383">
        <f>Y48-E48</f>
        <v>-22</v>
      </c>
      <c r="AC48" s="385">
        <f>SUM(AA48:AB48)</f>
        <v>0</v>
      </c>
    </row>
    <row r="49" spans="1:29" ht="15.75">
      <c r="A49" s="366"/>
      <c r="B49" s="337"/>
      <c r="C49" s="267"/>
      <c r="D49" s="409"/>
      <c r="E49" s="370"/>
      <c r="F49" s="371"/>
      <c r="G49" s="534"/>
      <c r="H49" s="533"/>
      <c r="I49" s="533"/>
      <c r="J49" s="601"/>
      <c r="K49" s="1014"/>
      <c r="L49" s="400"/>
      <c r="M49" s="389"/>
      <c r="N49" s="389"/>
      <c r="O49" s="389"/>
      <c r="P49" s="389"/>
      <c r="Q49" s="920"/>
      <c r="R49" s="533"/>
      <c r="S49" s="533"/>
      <c r="T49" s="533"/>
      <c r="U49" s="533"/>
      <c r="V49" s="543"/>
      <c r="W49" s="488"/>
      <c r="X49" s="433"/>
      <c r="Y49" s="373"/>
      <c r="Z49" s="384"/>
      <c r="AA49" s="382"/>
      <c r="AB49" s="383"/>
      <c r="AC49" s="376"/>
    </row>
    <row r="50" spans="1:29" ht="16.5" thickBot="1">
      <c r="A50" s="377"/>
      <c r="B50" s="378"/>
      <c r="C50" s="378"/>
      <c r="D50" s="434"/>
      <c r="E50" s="435"/>
      <c r="F50" s="489"/>
      <c r="G50" s="540"/>
      <c r="H50" s="541"/>
      <c r="I50" s="541"/>
      <c r="J50" s="542"/>
      <c r="K50" s="1020"/>
      <c r="L50" s="400"/>
      <c r="M50" s="389"/>
      <c r="N50" s="389"/>
      <c r="O50" s="389"/>
      <c r="P50" s="389"/>
      <c r="Q50" s="920"/>
      <c r="R50" s="477"/>
      <c r="S50" s="477"/>
      <c r="T50" s="477"/>
      <c r="U50" s="477"/>
      <c r="V50" s="477"/>
      <c r="W50" s="490"/>
      <c r="X50" s="491"/>
      <c r="Y50" s="492"/>
      <c r="Z50" s="450"/>
      <c r="AA50" s="493"/>
      <c r="AB50" s="494"/>
      <c r="AC50" s="411"/>
    </row>
    <row r="51" spans="1:29" ht="47.25" customHeight="1" thickBot="1" thickTop="1">
      <c r="A51" s="1007" t="s">
        <v>215</v>
      </c>
      <c r="B51" s="1008"/>
      <c r="C51" s="1009"/>
      <c r="D51" s="530">
        <f>SUM(D43:D50)</f>
        <v>250602</v>
      </c>
      <c r="E51" s="531">
        <f>SUM(E43:E50)</f>
        <v>3382</v>
      </c>
      <c r="F51" s="495">
        <f>SUM(D51:E51)</f>
        <v>253984</v>
      </c>
      <c r="G51" s="496"/>
      <c r="H51" s="974" t="s">
        <v>210</v>
      </c>
      <c r="I51" s="975"/>
      <c r="J51" s="976"/>
      <c r="K51" s="497">
        <f>SUM(K42:K50)</f>
        <v>158777</v>
      </c>
      <c r="L51" s="419"/>
      <c r="M51" s="966" t="s">
        <v>211</v>
      </c>
      <c r="N51" s="966"/>
      <c r="O51" s="966"/>
      <c r="P51" s="967"/>
      <c r="Q51" s="547">
        <f>SUM(Q43:Q50)</f>
        <v>6245</v>
      </c>
      <c r="R51" s="548"/>
      <c r="S51" s="966" t="s">
        <v>212</v>
      </c>
      <c r="T51" s="966"/>
      <c r="U51" s="966"/>
      <c r="V51" s="967"/>
      <c r="W51" s="498">
        <f>SUM(W43:W50)</f>
        <v>1798</v>
      </c>
      <c r="X51" s="499">
        <f>SUM(X41:X50)</f>
        <v>166820</v>
      </c>
      <c r="Y51" s="500">
        <f>SUM(Y41:Y50)</f>
        <v>0</v>
      </c>
      <c r="Z51" s="501">
        <f>SUM(X51:Y51)</f>
        <v>166820</v>
      </c>
      <c r="AA51" s="499">
        <f>X51-D51</f>
        <v>-83782</v>
      </c>
      <c r="AB51" s="502">
        <f>Y51-E51</f>
        <v>-3382</v>
      </c>
      <c r="AC51" s="501">
        <f>SUM(AA51:AB51)</f>
        <v>-87164</v>
      </c>
    </row>
    <row r="52" spans="1:29" ht="20.25" thickBot="1" thickTop="1">
      <c r="A52" s="1022" t="s">
        <v>580</v>
      </c>
      <c r="B52" s="1023"/>
      <c r="C52" s="1024"/>
      <c r="D52" s="503">
        <f>SUM(D51,D38,D28)</f>
        <v>1089226</v>
      </c>
      <c r="E52" s="504">
        <f>SUM(E51,E38,E28)</f>
        <v>66589</v>
      </c>
      <c r="F52" s="505">
        <f>SUM(D52:E52)</f>
        <v>1155815</v>
      </c>
      <c r="G52" s="398"/>
      <c r="H52" s="1025" t="s">
        <v>216</v>
      </c>
      <c r="I52" s="1026"/>
      <c r="J52" s="1027"/>
      <c r="K52" s="506">
        <f>SUM(K51,K38,K28)</f>
        <v>488751</v>
      </c>
      <c r="L52" s="507"/>
      <c r="M52" s="1028" t="s">
        <v>217</v>
      </c>
      <c r="N52" s="1028"/>
      <c r="O52" s="1028"/>
      <c r="P52" s="1029"/>
      <c r="Q52" s="397">
        <f>SUM(Q51,Q38,Q28)</f>
        <v>277230</v>
      </c>
      <c r="R52" s="508"/>
      <c r="S52" s="1028" t="s">
        <v>218</v>
      </c>
      <c r="T52" s="1028"/>
      <c r="U52" s="1028"/>
      <c r="V52" s="1029"/>
      <c r="W52" s="399">
        <f>SUM(W51,W38,W28)</f>
        <v>389834</v>
      </c>
      <c r="X52" s="617">
        <f>SUM(X51,X38,X28)</f>
        <v>901575</v>
      </c>
      <c r="Y52" s="618">
        <f>SUM(Y51,Y38,Y28)</f>
        <v>254240</v>
      </c>
      <c r="Z52" s="619">
        <f>SUM(W52+Q52+K52)</f>
        <v>1155815</v>
      </c>
      <c r="AA52" s="510">
        <f>SUM(AA51,AA38,AA28)</f>
        <v>-187651</v>
      </c>
      <c r="AB52" s="509">
        <f>SUM(AB51,AB38,AB28)</f>
        <v>187651</v>
      </c>
      <c r="AC52" s="511">
        <f>SUM(AC51,AC38,AC28)</f>
        <v>0</v>
      </c>
    </row>
    <row r="53" spans="1:29" ht="16.5" thickTop="1">
      <c r="A53" s="477"/>
      <c r="B53" s="477"/>
      <c r="C53" s="477"/>
      <c r="D53" s="477"/>
      <c r="E53" s="477"/>
      <c r="F53" s="477"/>
      <c r="G53" s="512"/>
      <c r="H53" s="512"/>
      <c r="I53" s="512"/>
      <c r="J53" s="513"/>
      <c r="K53" s="429"/>
      <c r="L53" s="514"/>
      <c r="M53" s="389"/>
      <c r="N53" s="389"/>
      <c r="O53" s="389"/>
      <c r="P53" s="389"/>
      <c r="Q53" s="389"/>
      <c r="R53" s="514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514"/>
    </row>
    <row r="54" spans="1:29" ht="15.75">
      <c r="A54" s="477"/>
      <c r="B54" s="477"/>
      <c r="C54" s="477"/>
      <c r="D54" s="1015" t="s">
        <v>734</v>
      </c>
      <c r="E54" s="1030"/>
      <c r="F54" s="1030"/>
      <c r="G54" s="354"/>
      <c r="H54" s="354"/>
      <c r="I54" s="354"/>
      <c r="J54" s="348"/>
      <c r="K54" s="429"/>
      <c r="L54" s="389"/>
      <c r="M54" s="389"/>
      <c r="N54" s="389"/>
      <c r="O54" s="389"/>
      <c r="P54" s="389"/>
      <c r="Q54" s="389"/>
      <c r="R54" s="389"/>
      <c r="S54" s="477"/>
      <c r="T54" s="477"/>
      <c r="U54" s="477"/>
      <c r="V54" s="477"/>
      <c r="W54" s="1015" t="s">
        <v>219</v>
      </c>
      <c r="X54" s="1016"/>
      <c r="Y54" s="1016"/>
      <c r="Z54" s="515"/>
      <c r="AA54" s="1015" t="s">
        <v>201</v>
      </c>
      <c r="AB54" s="1016"/>
      <c r="AC54" s="1016"/>
    </row>
    <row r="55" spans="1:29" ht="15.75">
      <c r="A55" s="477"/>
      <c r="B55" s="477"/>
      <c r="C55" s="477"/>
      <c r="D55" s="516" t="s">
        <v>202</v>
      </c>
      <c r="E55" s="516" t="s">
        <v>220</v>
      </c>
      <c r="F55" s="516" t="s">
        <v>203</v>
      </c>
      <c r="G55" s="354"/>
      <c r="H55" s="354"/>
      <c r="I55" s="354"/>
      <c r="J55" s="348"/>
      <c r="K55" s="429"/>
      <c r="L55" s="389"/>
      <c r="M55" s="389"/>
      <c r="N55" s="389"/>
      <c r="O55" s="389"/>
      <c r="P55" s="389"/>
      <c r="Q55" s="389"/>
      <c r="R55" s="389"/>
      <c r="S55" s="1017"/>
      <c r="T55" s="1017"/>
      <c r="U55" s="1017"/>
      <c r="V55" s="1017"/>
      <c r="W55" s="516" t="s">
        <v>202</v>
      </c>
      <c r="X55" s="516" t="s">
        <v>220</v>
      </c>
      <c r="Y55" s="516" t="s">
        <v>203</v>
      </c>
      <c r="Z55" s="517"/>
      <c r="AA55" s="516" t="s">
        <v>202</v>
      </c>
      <c r="AB55" s="516" t="s">
        <v>220</v>
      </c>
      <c r="AC55" s="516" t="s">
        <v>203</v>
      </c>
    </row>
    <row r="56" spans="1:29" ht="15.75">
      <c r="A56" s="477"/>
      <c r="B56" s="477"/>
      <c r="C56" s="518" t="s">
        <v>221</v>
      </c>
      <c r="D56" s="477"/>
      <c r="E56" s="477"/>
      <c r="F56" s="477"/>
      <c r="G56" s="354"/>
      <c r="H56" s="354"/>
      <c r="I56" s="354"/>
      <c r="J56" s="348"/>
      <c r="K56" s="429"/>
      <c r="L56" s="389"/>
      <c r="M56" s="389"/>
      <c r="N56" s="389"/>
      <c r="O56" s="389"/>
      <c r="P56" s="389"/>
      <c r="Q56" s="389"/>
      <c r="R56" s="389"/>
      <c r="S56" s="477"/>
      <c r="T56" s="518" t="s">
        <v>221</v>
      </c>
      <c r="U56" s="477"/>
      <c r="V56" s="1015"/>
      <c r="W56" s="1016"/>
      <c r="X56" s="477"/>
      <c r="Y56" s="477"/>
      <c r="Z56" s="477"/>
      <c r="AA56" s="477"/>
      <c r="AB56" s="477"/>
      <c r="AC56" s="389"/>
    </row>
    <row r="57" spans="1:29" ht="15.75">
      <c r="A57" s="477"/>
      <c r="B57" s="477"/>
      <c r="C57" s="519" t="s">
        <v>222</v>
      </c>
      <c r="D57" s="481">
        <f>SUM(D9)</f>
        <v>607540</v>
      </c>
      <c r="E57" s="481">
        <f>SUM(E9)</f>
        <v>50333</v>
      </c>
      <c r="F57" s="481">
        <f>SUM(D57:E57)</f>
        <v>657873</v>
      </c>
      <c r="G57" s="354"/>
      <c r="H57" s="354"/>
      <c r="I57" s="354"/>
      <c r="J57" s="348"/>
      <c r="K57" s="429"/>
      <c r="L57" s="389"/>
      <c r="M57" s="389"/>
      <c r="N57" s="389"/>
      <c r="O57" s="389"/>
      <c r="P57" s="389"/>
      <c r="Q57" s="389"/>
      <c r="R57" s="389"/>
      <c r="S57" s="477"/>
      <c r="T57" s="519" t="s">
        <v>222</v>
      </c>
      <c r="U57" s="477"/>
      <c r="V57" s="519"/>
      <c r="W57" s="481">
        <f>SUM(X13)</f>
        <v>543275</v>
      </c>
      <c r="X57" s="481">
        <f>Y13</f>
        <v>251240</v>
      </c>
      <c r="Y57" s="481">
        <f>SUM(W57:X57)</f>
        <v>794515</v>
      </c>
      <c r="Z57" s="454"/>
      <c r="AA57" s="481">
        <f aca="true" t="shared" si="0" ref="AA57:AB59">W57-D57</f>
        <v>-64265</v>
      </c>
      <c r="AB57" s="481">
        <f t="shared" si="0"/>
        <v>200907</v>
      </c>
      <c r="AC57" s="454">
        <f>SUM(AA57:AB57)</f>
        <v>136642</v>
      </c>
    </row>
    <row r="58" spans="1:29" ht="15.75">
      <c r="A58" s="477"/>
      <c r="B58" s="477"/>
      <c r="C58" s="519" t="s">
        <v>590</v>
      </c>
      <c r="D58" s="481">
        <f>SUM(D33)</f>
        <v>128375</v>
      </c>
      <c r="E58" s="481">
        <f>SUM(E33)</f>
        <v>1279</v>
      </c>
      <c r="F58" s="481">
        <f>SUM(D58:E58)</f>
        <v>129654</v>
      </c>
      <c r="G58" s="354"/>
      <c r="H58" s="354"/>
      <c r="I58" s="354"/>
      <c r="J58" s="520"/>
      <c r="K58" s="429"/>
      <c r="L58" s="389"/>
      <c r="M58" s="389"/>
      <c r="N58" s="389"/>
      <c r="O58" s="389"/>
      <c r="P58" s="389"/>
      <c r="Q58" s="389"/>
      <c r="R58" s="389"/>
      <c r="S58" s="477"/>
      <c r="T58" s="519" t="s">
        <v>590</v>
      </c>
      <c r="U58" s="477"/>
      <c r="V58" s="519"/>
      <c r="W58" s="481">
        <f>SUM(X33)</f>
        <v>143017</v>
      </c>
      <c r="X58" s="481">
        <f>Y33</f>
        <v>0</v>
      </c>
      <c r="Y58" s="481">
        <f>SUM(W58:X58)</f>
        <v>143017</v>
      </c>
      <c r="Z58" s="454"/>
      <c r="AA58" s="481">
        <f t="shared" si="0"/>
        <v>14642</v>
      </c>
      <c r="AB58" s="481">
        <f t="shared" si="0"/>
        <v>-1279</v>
      </c>
      <c r="AC58" s="454">
        <f>SUM(AA58:AB58)</f>
        <v>13363</v>
      </c>
    </row>
    <row r="59" spans="1:29" ht="12.75">
      <c r="A59" s="477"/>
      <c r="B59" s="477"/>
      <c r="C59" s="521" t="s">
        <v>223</v>
      </c>
      <c r="D59" s="522">
        <f>SUM(D44)</f>
        <v>244379</v>
      </c>
      <c r="E59" s="522">
        <f>SUM(E44)</f>
        <v>3360</v>
      </c>
      <c r="F59" s="522">
        <f>SUM(D59:E59)</f>
        <v>247739</v>
      </c>
      <c r="G59" s="477"/>
      <c r="H59" s="477"/>
      <c r="I59" s="477"/>
      <c r="J59" s="477"/>
      <c r="K59" s="389"/>
      <c r="L59" s="389"/>
      <c r="M59" s="389"/>
      <c r="N59" s="389"/>
      <c r="O59" s="389"/>
      <c r="P59" s="389"/>
      <c r="Q59" s="389"/>
      <c r="R59" s="389"/>
      <c r="S59" s="477"/>
      <c r="T59" s="521" t="s">
        <v>223</v>
      </c>
      <c r="U59" s="523"/>
      <c r="V59" s="524"/>
      <c r="W59" s="522">
        <f>SUM(X44)</f>
        <v>160575</v>
      </c>
      <c r="X59" s="522">
        <f>Y44</f>
        <v>0</v>
      </c>
      <c r="Y59" s="522">
        <f>SUM(W59:X59)</f>
        <v>160575</v>
      </c>
      <c r="Z59" s="454"/>
      <c r="AA59" s="522">
        <f t="shared" si="0"/>
        <v>-83804</v>
      </c>
      <c r="AB59" s="522">
        <f t="shared" si="0"/>
        <v>-3360</v>
      </c>
      <c r="AC59" s="522">
        <f>SUM(AA59:AB59)</f>
        <v>-87164</v>
      </c>
    </row>
    <row r="60" spans="1:29" ht="12.75">
      <c r="A60" s="477"/>
      <c r="B60" s="477"/>
      <c r="C60" s="525" t="s">
        <v>579</v>
      </c>
      <c r="D60" s="481">
        <f>SUM(D57:D59)</f>
        <v>980294</v>
      </c>
      <c r="E60" s="481">
        <f>SUM(E57:E59)</f>
        <v>54972</v>
      </c>
      <c r="F60" s="481">
        <f>SUM(F57:F59)</f>
        <v>1035266</v>
      </c>
      <c r="G60" s="477"/>
      <c r="H60" s="477"/>
      <c r="I60" s="477"/>
      <c r="J60" s="477"/>
      <c r="K60" s="389"/>
      <c r="L60" s="389"/>
      <c r="M60" s="389"/>
      <c r="N60" s="389"/>
      <c r="O60" s="389"/>
      <c r="P60" s="389"/>
      <c r="Q60" s="389"/>
      <c r="R60" s="389"/>
      <c r="S60" s="477"/>
      <c r="T60" s="525" t="s">
        <v>579</v>
      </c>
      <c r="U60" s="477"/>
      <c r="V60" s="525"/>
      <c r="W60" s="481">
        <f>SUM(W57:W59)</f>
        <v>846867</v>
      </c>
      <c r="X60" s="481">
        <f>SUM(X57:X59)</f>
        <v>251240</v>
      </c>
      <c r="Y60" s="481">
        <f>SUM(Y57:Y59)</f>
        <v>1098107</v>
      </c>
      <c r="Z60" s="454"/>
      <c r="AA60" s="481">
        <f>SUM(AA57:AA59)</f>
        <v>-133427</v>
      </c>
      <c r="AB60" s="481">
        <f>SUM(AB57:AB59)</f>
        <v>196268</v>
      </c>
      <c r="AC60" s="481">
        <f>SUM(AC57:AC59)</f>
        <v>62841</v>
      </c>
    </row>
    <row r="61" spans="1:29" ht="12.75">
      <c r="A61" s="477"/>
      <c r="B61" s="477"/>
      <c r="C61" s="477"/>
      <c r="D61" s="481"/>
      <c r="E61" s="481"/>
      <c r="F61" s="481"/>
      <c r="G61" s="477"/>
      <c r="H61" s="477"/>
      <c r="I61" s="477"/>
      <c r="J61" s="477"/>
      <c r="K61" s="477"/>
      <c r="L61" s="389"/>
      <c r="M61" s="389"/>
      <c r="N61" s="389"/>
      <c r="O61" s="389"/>
      <c r="P61" s="389"/>
      <c r="Q61" s="389"/>
      <c r="R61" s="389"/>
      <c r="S61" s="477"/>
      <c r="T61" s="477"/>
      <c r="U61" s="477"/>
      <c r="V61" s="477"/>
      <c r="W61" s="477"/>
      <c r="X61" s="477"/>
      <c r="Y61" s="477"/>
      <c r="Z61" s="477"/>
      <c r="AA61" s="477"/>
      <c r="AB61" s="477"/>
      <c r="AC61" s="389"/>
    </row>
    <row r="62" spans="1:29" ht="12.75">
      <c r="A62" s="477"/>
      <c r="B62" s="477"/>
      <c r="C62" s="518" t="s">
        <v>224</v>
      </c>
      <c r="D62" s="481"/>
      <c r="E62" s="481"/>
      <c r="F62" s="481"/>
      <c r="G62" s="477"/>
      <c r="H62" s="477"/>
      <c r="I62" s="477"/>
      <c r="J62" s="477"/>
      <c r="K62" s="477"/>
      <c r="L62" s="389"/>
      <c r="M62" s="389"/>
      <c r="N62" s="389"/>
      <c r="O62" s="389"/>
      <c r="P62" s="389"/>
      <c r="Q62" s="389"/>
      <c r="R62" s="389"/>
      <c r="S62" s="477"/>
      <c r="T62" s="518" t="s">
        <v>224</v>
      </c>
      <c r="U62" s="526"/>
      <c r="V62" s="518"/>
      <c r="W62" s="527"/>
      <c r="X62" s="527"/>
      <c r="Y62" s="477"/>
      <c r="Z62" s="477"/>
      <c r="AA62" s="477"/>
      <c r="AB62" s="477"/>
      <c r="AC62" s="389"/>
    </row>
    <row r="63" spans="1:29" ht="12.75">
      <c r="A63" s="477"/>
      <c r="B63" s="477"/>
      <c r="C63" s="519" t="s">
        <v>222</v>
      </c>
      <c r="D63" s="481">
        <f>SUM(D26)</f>
        <v>60009</v>
      </c>
      <c r="E63" s="481">
        <f>SUM(E26)</f>
        <v>11595</v>
      </c>
      <c r="F63" s="481">
        <f>SUM(D63:E63)</f>
        <v>71604</v>
      </c>
      <c r="G63" s="477"/>
      <c r="H63" s="477"/>
      <c r="I63" s="477"/>
      <c r="J63" s="477"/>
      <c r="K63" s="477"/>
      <c r="L63" s="389"/>
      <c r="M63" s="389"/>
      <c r="N63" s="389"/>
      <c r="O63" s="389"/>
      <c r="P63" s="389"/>
      <c r="Q63" s="389"/>
      <c r="R63" s="389"/>
      <c r="S63" s="477"/>
      <c r="T63" s="519" t="s">
        <v>222</v>
      </c>
      <c r="U63" s="477"/>
      <c r="V63" s="519"/>
      <c r="W63" s="481">
        <f>SUM(X26)</f>
        <v>13200</v>
      </c>
      <c r="X63" s="481">
        <f>Y26</f>
        <v>3000</v>
      </c>
      <c r="Y63" s="481">
        <f>SUM(W63:X63)</f>
        <v>16200</v>
      </c>
      <c r="Z63" s="454"/>
      <c r="AA63" s="481">
        <f aca="true" t="shared" si="1" ref="AA63:AB65">W63-D63</f>
        <v>-46809</v>
      </c>
      <c r="AB63" s="481">
        <f t="shared" si="1"/>
        <v>-8595</v>
      </c>
      <c r="AC63" s="454">
        <f>SUM(AA63:AB63)</f>
        <v>-55404</v>
      </c>
    </row>
    <row r="64" spans="1:29" ht="12.75">
      <c r="A64" s="477"/>
      <c r="B64" s="477"/>
      <c r="C64" s="519" t="s">
        <v>590</v>
      </c>
      <c r="D64" s="481">
        <v>0</v>
      </c>
      <c r="E64" s="481">
        <v>0</v>
      </c>
      <c r="F64" s="481">
        <f>SUM(D64:E64)</f>
        <v>0</v>
      </c>
      <c r="G64" s="477"/>
      <c r="H64" s="477"/>
      <c r="I64" s="477"/>
      <c r="J64" s="477"/>
      <c r="K64" s="477"/>
      <c r="L64" s="389"/>
      <c r="M64" s="389"/>
      <c r="N64" s="389"/>
      <c r="O64" s="389"/>
      <c r="P64" s="389"/>
      <c r="Q64" s="389"/>
      <c r="R64" s="389"/>
      <c r="S64" s="477"/>
      <c r="T64" s="519" t="s">
        <v>590</v>
      </c>
      <c r="U64" s="477"/>
      <c r="V64" s="519"/>
      <c r="W64" s="481">
        <v>0</v>
      </c>
      <c r="X64" s="481">
        <v>0</v>
      </c>
      <c r="Y64" s="481">
        <f>SUM(W64:X64)</f>
        <v>0</v>
      </c>
      <c r="Z64" s="454"/>
      <c r="AA64" s="481">
        <f t="shared" si="1"/>
        <v>0</v>
      </c>
      <c r="AB64" s="481">
        <f t="shared" si="1"/>
        <v>0</v>
      </c>
      <c r="AC64" s="454">
        <f>SUM(AA64:AB64)</f>
        <v>0</v>
      </c>
    </row>
    <row r="65" spans="1:29" ht="12.75">
      <c r="A65" s="477"/>
      <c r="B65" s="477"/>
      <c r="C65" s="521" t="s">
        <v>223</v>
      </c>
      <c r="D65" s="522">
        <f>SUM(D48)</f>
        <v>6223</v>
      </c>
      <c r="E65" s="522">
        <f>SUM(E48)</f>
        <v>22</v>
      </c>
      <c r="F65" s="522">
        <f>SUM(D65:E65)</f>
        <v>6245</v>
      </c>
      <c r="G65" s="477"/>
      <c r="H65" s="477"/>
      <c r="I65" s="477"/>
      <c r="J65" s="477"/>
      <c r="K65" s="477"/>
      <c r="L65" s="389"/>
      <c r="M65" s="389"/>
      <c r="N65" s="389"/>
      <c r="O65" s="389"/>
      <c r="P65" s="389"/>
      <c r="Q65" s="389"/>
      <c r="R65" s="389"/>
      <c r="S65" s="477"/>
      <c r="T65" s="521" t="s">
        <v>223</v>
      </c>
      <c r="U65" s="523"/>
      <c r="V65" s="524"/>
      <c r="W65" s="522">
        <f>SUM(X48)</f>
        <v>6245</v>
      </c>
      <c r="X65" s="522">
        <v>0</v>
      </c>
      <c r="Y65" s="522">
        <f>SUM(W65:X65)</f>
        <v>6245</v>
      </c>
      <c r="Z65" s="454"/>
      <c r="AA65" s="522">
        <f t="shared" si="1"/>
        <v>22</v>
      </c>
      <c r="AB65" s="522">
        <f t="shared" si="1"/>
        <v>-22</v>
      </c>
      <c r="AC65" s="522">
        <f>SUM(AA65:AB65)</f>
        <v>0</v>
      </c>
    </row>
    <row r="66" spans="1:29" ht="12.75">
      <c r="A66" s="477"/>
      <c r="B66" s="477"/>
      <c r="C66" s="525" t="s">
        <v>579</v>
      </c>
      <c r="D66" s="481">
        <f>SUM(D63:D65)</f>
        <v>66232</v>
      </c>
      <c r="E66" s="481">
        <f>SUM(E63:E65)</f>
        <v>11617</v>
      </c>
      <c r="F66" s="481">
        <f>SUM(F63:F65)</f>
        <v>77849</v>
      </c>
      <c r="G66" s="477"/>
      <c r="H66" s="477"/>
      <c r="I66" s="477"/>
      <c r="J66" s="477"/>
      <c r="K66" s="477"/>
      <c r="L66" s="389"/>
      <c r="M66" s="389"/>
      <c r="N66" s="389"/>
      <c r="O66" s="389"/>
      <c r="P66" s="389"/>
      <c r="Q66" s="389"/>
      <c r="R66" s="389"/>
      <c r="S66" s="477"/>
      <c r="T66" s="525" t="s">
        <v>579</v>
      </c>
      <c r="U66" s="477"/>
      <c r="V66" s="525"/>
      <c r="W66" s="481">
        <f>SUM(W63:W65)</f>
        <v>19445</v>
      </c>
      <c r="X66" s="481">
        <f>SUM(X63:X65)</f>
        <v>3000</v>
      </c>
      <c r="Y66" s="481">
        <f>SUM(Y63:Y65)</f>
        <v>22445</v>
      </c>
      <c r="Z66" s="454"/>
      <c r="AA66" s="481">
        <f>SUM(AA63:AA65)</f>
        <v>-46787</v>
      </c>
      <c r="AB66" s="481">
        <f>SUM(AB63:AB65)</f>
        <v>-8617</v>
      </c>
      <c r="AC66" s="481">
        <f>SUM(AC63:AC65)</f>
        <v>-55404</v>
      </c>
    </row>
    <row r="67" spans="1:29" ht="12.75">
      <c r="A67" s="477"/>
      <c r="B67" s="477"/>
      <c r="C67" s="477"/>
      <c r="D67" s="481"/>
      <c r="E67" s="481"/>
      <c r="F67" s="481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7"/>
      <c r="V67" s="477"/>
      <c r="W67" s="477"/>
      <c r="X67" s="477"/>
      <c r="Y67" s="477"/>
      <c r="Z67" s="389"/>
      <c r="AA67" s="481"/>
      <c r="AB67" s="481"/>
      <c r="AC67" s="389"/>
    </row>
    <row r="68" spans="1:29" ht="12.75">
      <c r="A68" s="477"/>
      <c r="B68" s="477"/>
      <c r="C68" s="518" t="s">
        <v>225</v>
      </c>
      <c r="D68" s="481"/>
      <c r="E68" s="481"/>
      <c r="F68" s="481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7"/>
      <c r="T68" s="518" t="s">
        <v>225</v>
      </c>
      <c r="U68" s="477"/>
      <c r="V68" s="518"/>
      <c r="W68" s="477"/>
      <c r="X68" s="477"/>
      <c r="Y68" s="477"/>
      <c r="Z68" s="389"/>
      <c r="AA68" s="481"/>
      <c r="AB68" s="481"/>
      <c r="AC68" s="389"/>
    </row>
    <row r="69" spans="1:29" ht="12.75">
      <c r="A69" s="477"/>
      <c r="B69" s="477"/>
      <c r="C69" s="519" t="s">
        <v>222</v>
      </c>
      <c r="D69" s="481">
        <f>SUM(D24)</f>
        <v>42700</v>
      </c>
      <c r="E69" s="481">
        <f>SUM(E24)</f>
        <v>0</v>
      </c>
      <c r="F69" s="481">
        <f>SUM(D69:E69)</f>
        <v>42700</v>
      </c>
      <c r="G69" s="477"/>
      <c r="H69" s="477"/>
      <c r="I69" s="477"/>
      <c r="J69" s="477"/>
      <c r="K69" s="477"/>
      <c r="L69" s="477"/>
      <c r="M69" s="477"/>
      <c r="N69" s="477"/>
      <c r="O69" s="477"/>
      <c r="P69" s="477"/>
      <c r="Q69" s="477"/>
      <c r="R69" s="477"/>
      <c r="S69" s="477"/>
      <c r="T69" s="519" t="s">
        <v>222</v>
      </c>
      <c r="U69" s="477"/>
      <c r="V69" s="519"/>
      <c r="W69" s="481">
        <f>SUM(X24)</f>
        <v>35259</v>
      </c>
      <c r="X69" s="481">
        <v>0</v>
      </c>
      <c r="Y69" s="481">
        <f>SUM(W69:X69)</f>
        <v>35259</v>
      </c>
      <c r="Z69" s="454"/>
      <c r="AA69" s="481">
        <f aca="true" t="shared" si="2" ref="AA69:AB71">W69-D69</f>
        <v>-7441</v>
      </c>
      <c r="AB69" s="481">
        <f t="shared" si="2"/>
        <v>0</v>
      </c>
      <c r="AC69" s="454">
        <f>SUM(AA69:AB69)</f>
        <v>-7441</v>
      </c>
    </row>
    <row r="70" spans="1:29" ht="12.75">
      <c r="A70" s="477"/>
      <c r="B70" s="477"/>
      <c r="C70" s="519" t="s">
        <v>590</v>
      </c>
      <c r="D70" s="481">
        <f>SUM(D37)</f>
        <v>0</v>
      </c>
      <c r="E70" s="481">
        <f>SUM(E37)</f>
        <v>0</v>
      </c>
      <c r="F70" s="481">
        <f>SUM(D70:E70)</f>
        <v>0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519" t="s">
        <v>590</v>
      </c>
      <c r="U70" s="477"/>
      <c r="V70" s="519"/>
      <c r="W70" s="481">
        <f>SUM(X37)</f>
        <v>4</v>
      </c>
      <c r="X70" s="481">
        <v>0</v>
      </c>
      <c r="Y70" s="481">
        <f>SUM(W70:X70)</f>
        <v>4</v>
      </c>
      <c r="Z70" s="454"/>
      <c r="AA70" s="481">
        <f t="shared" si="2"/>
        <v>4</v>
      </c>
      <c r="AB70" s="481">
        <f t="shared" si="2"/>
        <v>0</v>
      </c>
      <c r="AC70" s="454">
        <f>SUM(AA70:AB70)</f>
        <v>4</v>
      </c>
    </row>
    <row r="71" spans="1:29" ht="12.75">
      <c r="A71" s="477"/>
      <c r="B71" s="477"/>
      <c r="C71" s="521" t="s">
        <v>223</v>
      </c>
      <c r="D71" s="522">
        <v>0</v>
      </c>
      <c r="E71" s="522">
        <v>0</v>
      </c>
      <c r="F71" s="522">
        <f>SUM(D71:E71)</f>
        <v>0</v>
      </c>
      <c r="G71" s="477"/>
      <c r="H71" s="477"/>
      <c r="I71" s="477"/>
      <c r="J71" s="477"/>
      <c r="K71" s="477"/>
      <c r="L71" s="477"/>
      <c r="M71" s="477"/>
      <c r="N71" s="477"/>
      <c r="O71" s="477"/>
      <c r="P71" s="477"/>
      <c r="Q71" s="477"/>
      <c r="R71" s="477"/>
      <c r="S71" s="477"/>
      <c r="T71" s="521" t="s">
        <v>223</v>
      </c>
      <c r="U71" s="523"/>
      <c r="V71" s="524"/>
      <c r="W71" s="522">
        <v>0</v>
      </c>
      <c r="X71" s="522">
        <v>0</v>
      </c>
      <c r="Y71" s="522">
        <f>SUM(W71:X71)</f>
        <v>0</v>
      </c>
      <c r="Z71" s="454"/>
      <c r="AA71" s="522">
        <f t="shared" si="2"/>
        <v>0</v>
      </c>
      <c r="AB71" s="522">
        <f t="shared" si="2"/>
        <v>0</v>
      </c>
      <c r="AC71" s="522">
        <f>SUM(AA71:AB71)</f>
        <v>0</v>
      </c>
    </row>
    <row r="72" spans="1:29" ht="12.75">
      <c r="A72" s="477"/>
      <c r="B72" s="477"/>
      <c r="C72" s="525" t="s">
        <v>579</v>
      </c>
      <c r="D72" s="481">
        <f>SUM(D69:D71)</f>
        <v>42700</v>
      </c>
      <c r="E72" s="481">
        <f>SUM(E69:E71)</f>
        <v>0</v>
      </c>
      <c r="F72" s="481">
        <f>SUM(F69:F71)</f>
        <v>42700</v>
      </c>
      <c r="G72" s="477"/>
      <c r="H72" s="477"/>
      <c r="I72" s="477"/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525" t="s">
        <v>579</v>
      </c>
      <c r="U72" s="477"/>
      <c r="V72" s="525"/>
      <c r="W72" s="481">
        <f>SUM(W69:W71)</f>
        <v>35263</v>
      </c>
      <c r="X72" s="481">
        <f>SUM(X69:X71)</f>
        <v>0</v>
      </c>
      <c r="Y72" s="481">
        <f>SUM(Y69:Y71)</f>
        <v>35263</v>
      </c>
      <c r="Z72" s="454"/>
      <c r="AA72" s="481">
        <f>SUM(AA69:AA71)</f>
        <v>-7437</v>
      </c>
      <c r="AB72" s="481">
        <f>SUM(AB69:AB71)</f>
        <v>0</v>
      </c>
      <c r="AC72" s="481">
        <f>SUM(AC69:AC71)</f>
        <v>-7437</v>
      </c>
    </row>
    <row r="73" spans="1:29" ht="12.75">
      <c r="A73" s="477"/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7"/>
      <c r="T73" s="477"/>
      <c r="U73" s="477"/>
      <c r="V73" s="477"/>
      <c r="W73" s="477"/>
      <c r="X73" s="477"/>
      <c r="Y73" s="477"/>
      <c r="Z73" s="389"/>
      <c r="AA73" s="481"/>
      <c r="AB73" s="481"/>
      <c r="AC73" s="389"/>
    </row>
    <row r="74" spans="1:29" ht="12.75">
      <c r="A74" s="528"/>
      <c r="B74" s="528"/>
      <c r="C74" s="528" t="s">
        <v>226</v>
      </c>
      <c r="D74" s="529">
        <f>SUM(D72,D66,D60)</f>
        <v>1089226</v>
      </c>
      <c r="E74" s="529">
        <f>SUM(E72,E66,E60)</f>
        <v>66589</v>
      </c>
      <c r="F74" s="529">
        <f>SUM(F72,F66,F60)</f>
        <v>1155815</v>
      </c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 t="s">
        <v>226</v>
      </c>
      <c r="U74" s="528"/>
      <c r="V74" s="528"/>
      <c r="W74" s="529">
        <f>SUM(W72,W66,W60)</f>
        <v>901575</v>
      </c>
      <c r="X74" s="529">
        <f>SUM(X72,X66,X60)</f>
        <v>254240</v>
      </c>
      <c r="Y74" s="529">
        <f>SUM(Y72,Y66,Y60)</f>
        <v>1155815</v>
      </c>
      <c r="Z74" s="370"/>
      <c r="AA74" s="529">
        <f>SUM(AA72,AA66,AA60)</f>
        <v>-187651</v>
      </c>
      <c r="AB74" s="529">
        <f>SUM(AB72,AB66,AB60)</f>
        <v>187651</v>
      </c>
      <c r="AC74" s="529">
        <f>SUM(AC72,AC66,AC60)</f>
        <v>0</v>
      </c>
    </row>
    <row r="75" spans="1:29" ht="12.75">
      <c r="A75" s="477"/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/>
      <c r="AB75" s="477"/>
      <c r="AC75" s="389"/>
    </row>
    <row r="76" spans="1:29" ht="12.75">
      <c r="A76" s="477"/>
      <c r="B76" s="477"/>
      <c r="C76" s="477"/>
      <c r="D76" s="477"/>
      <c r="E76" s="477"/>
      <c r="F76" s="477"/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7"/>
      <c r="AC76" s="389"/>
    </row>
  </sheetData>
  <sheetProtection/>
  <mergeCells count="151">
    <mergeCell ref="G15:I15"/>
    <mergeCell ref="G14:I14"/>
    <mergeCell ref="G13:I13"/>
    <mergeCell ref="V56:W56"/>
    <mergeCell ref="G37:I37"/>
    <mergeCell ref="S38:V38"/>
    <mergeCell ref="R40:W41"/>
    <mergeCell ref="L33:O34"/>
    <mergeCell ref="R32:U32"/>
    <mergeCell ref="R33:U33"/>
    <mergeCell ref="A52:C52"/>
    <mergeCell ref="H52:J52"/>
    <mergeCell ref="M52:P52"/>
    <mergeCell ref="S52:V52"/>
    <mergeCell ref="D54:F54"/>
    <mergeCell ref="W54:Y54"/>
    <mergeCell ref="AA54:AC54"/>
    <mergeCell ref="S55:V55"/>
    <mergeCell ref="W43:W46"/>
    <mergeCell ref="G46:I46"/>
    <mergeCell ref="G47:I47"/>
    <mergeCell ref="K47:K50"/>
    <mergeCell ref="L47:O47"/>
    <mergeCell ref="R48:U48"/>
    <mergeCell ref="L48:O48"/>
    <mergeCell ref="R46:U46"/>
    <mergeCell ref="A51:C51"/>
    <mergeCell ref="H51:J51"/>
    <mergeCell ref="M51:P51"/>
    <mergeCell ref="S51:V51"/>
    <mergeCell ref="A44:C44"/>
    <mergeCell ref="Q47:Q50"/>
    <mergeCell ref="R45:U45"/>
    <mergeCell ref="G45:I45"/>
    <mergeCell ref="K42:K46"/>
    <mergeCell ref="A48:C48"/>
    <mergeCell ref="AA40:AC40"/>
    <mergeCell ref="G43:I43"/>
    <mergeCell ref="L43:O43"/>
    <mergeCell ref="Q43:Q46"/>
    <mergeCell ref="R43:U43"/>
    <mergeCell ref="G42:I42"/>
    <mergeCell ref="X40:Z40"/>
    <mergeCell ref="R44:U44"/>
    <mergeCell ref="L40:Q41"/>
    <mergeCell ref="G44:I44"/>
    <mergeCell ref="A40:C41"/>
    <mergeCell ref="D40:F40"/>
    <mergeCell ref="G40:K41"/>
    <mergeCell ref="P31:P32"/>
    <mergeCell ref="P33:P34"/>
    <mergeCell ref="G31:I31"/>
    <mergeCell ref="A38:C38"/>
    <mergeCell ref="H38:J38"/>
    <mergeCell ref="M38:P38"/>
    <mergeCell ref="B37:C37"/>
    <mergeCell ref="A29:C30"/>
    <mergeCell ref="D29:F29"/>
    <mergeCell ref="G29:K30"/>
    <mergeCell ref="L31:O32"/>
    <mergeCell ref="L29:Q30"/>
    <mergeCell ref="K31:K36"/>
    <mergeCell ref="Q31:Q36"/>
    <mergeCell ref="R35:U35"/>
    <mergeCell ref="B24:C24"/>
    <mergeCell ref="L17:O17"/>
    <mergeCell ref="W31:W36"/>
    <mergeCell ref="R34:U34"/>
    <mergeCell ref="R36:U36"/>
    <mergeCell ref="M28:P28"/>
    <mergeCell ref="R31:U31"/>
    <mergeCell ref="B33:C33"/>
    <mergeCell ref="G35:I35"/>
    <mergeCell ref="A27:C27"/>
    <mergeCell ref="A28:C28"/>
    <mergeCell ref="H28:J28"/>
    <mergeCell ref="L27:O27"/>
    <mergeCell ref="G16:I16"/>
    <mergeCell ref="G21:I21"/>
    <mergeCell ref="A26:C26"/>
    <mergeCell ref="L23:O23"/>
    <mergeCell ref="K7:K20"/>
    <mergeCell ref="L21:O21"/>
    <mergeCell ref="G10:I10"/>
    <mergeCell ref="AA29:AC29"/>
    <mergeCell ref="R29:W30"/>
    <mergeCell ref="X29:Z29"/>
    <mergeCell ref="W7:W20"/>
    <mergeCell ref="R16:U16"/>
    <mergeCell ref="R9:U9"/>
    <mergeCell ref="S28:V28"/>
    <mergeCell ref="R13:U13"/>
    <mergeCell ref="R17:U17"/>
    <mergeCell ref="R14:U14"/>
    <mergeCell ref="T1:AB1"/>
    <mergeCell ref="X5:Z5"/>
    <mergeCell ref="AA5:AC5"/>
    <mergeCell ref="A3:X4"/>
    <mergeCell ref="A5:C6"/>
    <mergeCell ref="L5:Q6"/>
    <mergeCell ref="R5:W6"/>
    <mergeCell ref="D5:F5"/>
    <mergeCell ref="G5:K6"/>
    <mergeCell ref="G9:I9"/>
    <mergeCell ref="G7:I7"/>
    <mergeCell ref="G11:I11"/>
    <mergeCell ref="R7:U7"/>
    <mergeCell ref="L10:O10"/>
    <mergeCell ref="L7:O7"/>
    <mergeCell ref="R10:U10"/>
    <mergeCell ref="R11:U11"/>
    <mergeCell ref="G8:I8"/>
    <mergeCell ref="R8:U8"/>
    <mergeCell ref="R19:U19"/>
    <mergeCell ref="R18:U18"/>
    <mergeCell ref="R20:U20"/>
    <mergeCell ref="R15:U15"/>
    <mergeCell ref="L8:O8"/>
    <mergeCell ref="L18:O18"/>
    <mergeCell ref="L14:O14"/>
    <mergeCell ref="L15:O15"/>
    <mergeCell ref="Q7:Q20"/>
    <mergeCell ref="R12:U12"/>
    <mergeCell ref="R24:U24"/>
    <mergeCell ref="L13:O13"/>
    <mergeCell ref="L9:O9"/>
    <mergeCell ref="Q21:Q22"/>
    <mergeCell ref="G18:I18"/>
    <mergeCell ref="G12:I12"/>
    <mergeCell ref="R22:U22"/>
    <mergeCell ref="Q23:Q24"/>
    <mergeCell ref="L24:O24"/>
    <mergeCell ref="K21:K22"/>
    <mergeCell ref="L22:O22"/>
    <mergeCell ref="Q25:Q26"/>
    <mergeCell ref="L25:O25"/>
    <mergeCell ref="L11:O11"/>
    <mergeCell ref="L16:O16"/>
    <mergeCell ref="L19:O19"/>
    <mergeCell ref="L20:O20"/>
    <mergeCell ref="L12:O12"/>
    <mergeCell ref="G24:I24"/>
    <mergeCell ref="K25:K26"/>
    <mergeCell ref="R27:U27"/>
    <mergeCell ref="W21:W22"/>
    <mergeCell ref="R21:U21"/>
    <mergeCell ref="G22:I22"/>
    <mergeCell ref="L26:O26"/>
    <mergeCell ref="W25:W26"/>
    <mergeCell ref="R26:U26"/>
    <mergeCell ref="R25:U2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M2" sqref="M2"/>
    </sheetView>
  </sheetViews>
  <sheetFormatPr defaultColWidth="9.00390625" defaultRowHeight="12.75"/>
  <cols>
    <col min="1" max="1" width="29.00390625" style="0" customWidth="1"/>
    <col min="14" max="14" width="9.125" style="761" customWidth="1"/>
  </cols>
  <sheetData>
    <row r="1" spans="8:13" ht="15">
      <c r="H1" s="4"/>
      <c r="I1" s="4"/>
      <c r="J1" s="4"/>
      <c r="K1" s="4"/>
      <c r="L1" s="4"/>
      <c r="M1" s="9" t="s">
        <v>1057</v>
      </c>
    </row>
    <row r="2" spans="8:13" ht="12.75">
      <c r="H2" s="4"/>
      <c r="I2" s="4"/>
      <c r="J2" s="4"/>
      <c r="K2" s="4"/>
      <c r="L2" s="4"/>
      <c r="M2" s="5"/>
    </row>
    <row r="3" spans="1:14" s="124" customFormat="1" ht="14.25" customHeight="1">
      <c r="A3" s="1034" t="s">
        <v>801</v>
      </c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762"/>
    </row>
    <row r="4" spans="1:14" s="124" customFormat="1" ht="14.25" customHeight="1">
      <c r="A4" s="1034" t="s">
        <v>680</v>
      </c>
      <c r="B4" s="1034"/>
      <c r="C4" s="1034"/>
      <c r="D4" s="1034"/>
      <c r="E4" s="1034"/>
      <c r="F4" s="1034"/>
      <c r="G4" s="1034"/>
      <c r="H4" s="1034"/>
      <c r="I4" s="1034"/>
      <c r="J4" s="1034"/>
      <c r="K4" s="1034"/>
      <c r="L4" s="1034"/>
      <c r="M4" s="1034"/>
      <c r="N4" s="762"/>
    </row>
    <row r="5" spans="1:14" s="124" customFormat="1" ht="18" customHeight="1">
      <c r="A5" s="1034"/>
      <c r="B5" s="1034"/>
      <c r="C5" s="1034"/>
      <c r="D5" s="1034"/>
      <c r="E5" s="1034"/>
      <c r="F5" s="1034"/>
      <c r="G5" s="1034"/>
      <c r="H5" s="1034"/>
      <c r="I5" s="1034"/>
      <c r="J5" s="1034"/>
      <c r="K5" s="1034"/>
      <c r="L5" s="1034"/>
      <c r="M5" s="1034"/>
      <c r="N5" s="762"/>
    </row>
    <row r="6" spans="1:14" s="123" customFormat="1" ht="12.75">
      <c r="A6" s="566" t="s">
        <v>576</v>
      </c>
      <c r="B6" s="195" t="s">
        <v>548</v>
      </c>
      <c r="C6" s="195" t="s">
        <v>549</v>
      </c>
      <c r="D6" s="195" t="s">
        <v>550</v>
      </c>
      <c r="E6" s="195" t="s">
        <v>551</v>
      </c>
      <c r="F6" s="195" t="s">
        <v>552</v>
      </c>
      <c r="G6" s="195" t="s">
        <v>553</v>
      </c>
      <c r="H6" s="195" t="s">
        <v>554</v>
      </c>
      <c r="I6" s="195" t="s">
        <v>555</v>
      </c>
      <c r="J6" s="195" t="s">
        <v>556</v>
      </c>
      <c r="K6" s="195" t="s">
        <v>557</v>
      </c>
      <c r="L6" s="195" t="s">
        <v>558</v>
      </c>
      <c r="M6" s="195" t="s">
        <v>559</v>
      </c>
      <c r="N6" s="763"/>
    </row>
    <row r="7" spans="1:14" s="126" customFormat="1" ht="22.5" customHeight="1">
      <c r="A7" s="764" t="s">
        <v>909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9"/>
    </row>
    <row r="8" spans="1:14" s="768" customFormat="1" ht="27" customHeight="1">
      <c r="A8" s="765" t="s">
        <v>1024</v>
      </c>
      <c r="B8" s="766"/>
      <c r="C8" s="766"/>
      <c r="D8" s="766"/>
      <c r="E8" s="766"/>
      <c r="F8" s="766"/>
      <c r="G8" s="766"/>
      <c r="H8" s="766"/>
      <c r="I8" s="766"/>
      <c r="J8" s="766"/>
      <c r="K8" s="766"/>
      <c r="L8" s="766"/>
      <c r="M8" s="766"/>
      <c r="N8" s="767"/>
    </row>
    <row r="9" spans="1:14" s="125" customFormat="1" ht="12.75">
      <c r="A9" s="570" t="s">
        <v>1025</v>
      </c>
      <c r="B9" s="197">
        <v>1</v>
      </c>
      <c r="C9" s="197">
        <v>1</v>
      </c>
      <c r="D9" s="197">
        <v>1</v>
      </c>
      <c r="E9" s="197">
        <v>1</v>
      </c>
      <c r="F9" s="197">
        <v>1</v>
      </c>
      <c r="G9" s="197">
        <v>1</v>
      </c>
      <c r="H9" s="197">
        <v>1</v>
      </c>
      <c r="I9" s="197">
        <v>1</v>
      </c>
      <c r="J9" s="197">
        <v>1</v>
      </c>
      <c r="K9" s="197">
        <v>1</v>
      </c>
      <c r="L9" s="197">
        <v>1</v>
      </c>
      <c r="M9" s="197">
        <v>1</v>
      </c>
      <c r="N9" s="769"/>
    </row>
    <row r="10" spans="1:14" s="125" customFormat="1" ht="12.75">
      <c r="A10" s="570" t="s">
        <v>1026</v>
      </c>
      <c r="B10" s="197">
        <v>18</v>
      </c>
      <c r="C10" s="197">
        <v>18</v>
      </c>
      <c r="D10" s="197">
        <v>18</v>
      </c>
      <c r="E10" s="197">
        <v>18</v>
      </c>
      <c r="F10" s="197">
        <v>18</v>
      </c>
      <c r="G10" s="197">
        <v>18</v>
      </c>
      <c r="H10" s="197">
        <v>18</v>
      </c>
      <c r="I10" s="197">
        <v>18</v>
      </c>
      <c r="J10" s="197">
        <v>18</v>
      </c>
      <c r="K10" s="197">
        <v>18</v>
      </c>
      <c r="L10" s="197">
        <v>18</v>
      </c>
      <c r="M10" s="197">
        <v>16</v>
      </c>
      <c r="N10" s="769"/>
    </row>
    <row r="11" spans="1:14" s="125" customFormat="1" ht="12.75" customHeight="1">
      <c r="A11" s="570" t="s">
        <v>1027</v>
      </c>
      <c r="B11" s="197">
        <v>3</v>
      </c>
      <c r="C11" s="197">
        <v>3</v>
      </c>
      <c r="D11" s="197">
        <v>3</v>
      </c>
      <c r="E11" s="197">
        <v>3</v>
      </c>
      <c r="F11" s="197">
        <v>3</v>
      </c>
      <c r="G11" s="197">
        <v>3</v>
      </c>
      <c r="H11" s="197">
        <v>2</v>
      </c>
      <c r="I11" s="197">
        <v>2</v>
      </c>
      <c r="J11" s="197">
        <v>2</v>
      </c>
      <c r="K11" s="197">
        <v>2</v>
      </c>
      <c r="L11" s="197">
        <v>2</v>
      </c>
      <c r="M11" s="197">
        <v>2</v>
      </c>
      <c r="N11" s="769"/>
    </row>
    <row r="12" spans="1:14" s="125" customFormat="1" ht="12.75">
      <c r="A12" s="770" t="s">
        <v>1028</v>
      </c>
      <c r="B12" s="197">
        <v>9</v>
      </c>
      <c r="C12" s="197">
        <v>9</v>
      </c>
      <c r="D12" s="197">
        <v>9</v>
      </c>
      <c r="E12" s="197">
        <v>9</v>
      </c>
      <c r="F12" s="197">
        <v>9</v>
      </c>
      <c r="G12" s="197">
        <v>9</v>
      </c>
      <c r="H12" s="197">
        <v>10</v>
      </c>
      <c r="I12" s="197">
        <v>10</v>
      </c>
      <c r="J12" s="197">
        <v>10</v>
      </c>
      <c r="K12" s="197">
        <v>10</v>
      </c>
      <c r="L12" s="197">
        <v>9</v>
      </c>
      <c r="M12" s="197">
        <v>9</v>
      </c>
      <c r="N12" s="769"/>
    </row>
    <row r="13" spans="1:14" s="125" customFormat="1" ht="12.75">
      <c r="A13" s="570" t="s">
        <v>1029</v>
      </c>
      <c r="B13" s="197">
        <v>1</v>
      </c>
      <c r="C13" s="197">
        <v>1</v>
      </c>
      <c r="D13" s="197">
        <v>1</v>
      </c>
      <c r="E13" s="197">
        <v>1</v>
      </c>
      <c r="F13" s="197">
        <v>1</v>
      </c>
      <c r="G13" s="197">
        <v>1</v>
      </c>
      <c r="H13" s="197">
        <v>1</v>
      </c>
      <c r="I13" s="197">
        <v>1</v>
      </c>
      <c r="J13" s="197">
        <v>1</v>
      </c>
      <c r="K13" s="197">
        <v>1</v>
      </c>
      <c r="L13" s="197">
        <v>1</v>
      </c>
      <c r="M13" s="197">
        <v>1</v>
      </c>
      <c r="N13" s="769"/>
    </row>
    <row r="14" spans="1:14" s="125" customFormat="1" ht="12.75">
      <c r="A14" s="570" t="s">
        <v>1030</v>
      </c>
      <c r="B14" s="197">
        <v>1</v>
      </c>
      <c r="C14" s="197">
        <v>1</v>
      </c>
      <c r="D14" s="197">
        <v>1</v>
      </c>
      <c r="E14" s="197">
        <v>1</v>
      </c>
      <c r="F14" s="197">
        <v>1</v>
      </c>
      <c r="G14" s="197">
        <v>1</v>
      </c>
      <c r="H14" s="197">
        <v>1</v>
      </c>
      <c r="I14" s="197">
        <v>1</v>
      </c>
      <c r="J14" s="197">
        <v>1</v>
      </c>
      <c r="K14" s="197">
        <v>1</v>
      </c>
      <c r="L14" s="197">
        <v>1</v>
      </c>
      <c r="M14" s="197">
        <v>1</v>
      </c>
      <c r="N14" s="769"/>
    </row>
    <row r="15" spans="1:14" s="768" customFormat="1" ht="25.5">
      <c r="A15" s="771" t="s">
        <v>1031</v>
      </c>
      <c r="B15" s="766"/>
      <c r="C15" s="766"/>
      <c r="D15" s="766"/>
      <c r="E15" s="766"/>
      <c r="F15" s="766"/>
      <c r="G15" s="766"/>
      <c r="H15" s="766"/>
      <c r="I15" s="766"/>
      <c r="J15" s="766"/>
      <c r="K15" s="766"/>
      <c r="L15" s="766"/>
      <c r="M15" s="766"/>
      <c r="N15" s="767"/>
    </row>
    <row r="16" spans="1:14" s="125" customFormat="1" ht="12.75">
      <c r="A16" s="570" t="s">
        <v>1032</v>
      </c>
      <c r="B16" s="197">
        <v>2</v>
      </c>
      <c r="C16" s="197">
        <v>2</v>
      </c>
      <c r="D16" s="197">
        <v>2</v>
      </c>
      <c r="E16" s="197">
        <v>2</v>
      </c>
      <c r="F16" s="197">
        <v>2</v>
      </c>
      <c r="G16" s="197">
        <v>2</v>
      </c>
      <c r="H16" s="197">
        <v>2</v>
      </c>
      <c r="I16" s="197">
        <v>2</v>
      </c>
      <c r="J16" s="197">
        <v>2</v>
      </c>
      <c r="K16" s="197">
        <v>2</v>
      </c>
      <c r="L16" s="197">
        <v>2</v>
      </c>
      <c r="M16" s="197">
        <v>2</v>
      </c>
      <c r="N16" s="769"/>
    </row>
    <row r="17" spans="1:14" s="125" customFormat="1" ht="12.75">
      <c r="A17" s="570" t="s">
        <v>1033</v>
      </c>
      <c r="B17" s="197">
        <v>1</v>
      </c>
      <c r="C17" s="197">
        <v>1</v>
      </c>
      <c r="D17" s="197">
        <v>1</v>
      </c>
      <c r="E17" s="197">
        <v>1</v>
      </c>
      <c r="F17" s="197">
        <v>1</v>
      </c>
      <c r="G17" s="197">
        <v>1</v>
      </c>
      <c r="H17" s="197">
        <v>1</v>
      </c>
      <c r="I17" s="197">
        <v>1</v>
      </c>
      <c r="J17" s="197">
        <v>1</v>
      </c>
      <c r="K17" s="197">
        <v>1</v>
      </c>
      <c r="L17" s="197">
        <v>1</v>
      </c>
      <c r="M17" s="197">
        <v>1</v>
      </c>
      <c r="N17" s="769"/>
    </row>
    <row r="18" spans="1:14" s="125" customFormat="1" ht="12.75">
      <c r="A18" s="570" t="s">
        <v>1027</v>
      </c>
      <c r="B18" s="197">
        <v>1</v>
      </c>
      <c r="C18" s="197">
        <v>1</v>
      </c>
      <c r="D18" s="197">
        <v>1</v>
      </c>
      <c r="E18" s="197">
        <v>1</v>
      </c>
      <c r="F18" s="197">
        <v>1</v>
      </c>
      <c r="G18" s="197">
        <v>1</v>
      </c>
      <c r="H18" s="197">
        <v>1</v>
      </c>
      <c r="I18" s="197">
        <v>1</v>
      </c>
      <c r="J18" s="197">
        <v>1</v>
      </c>
      <c r="K18" s="197">
        <v>1</v>
      </c>
      <c r="L18" s="197">
        <v>1</v>
      </c>
      <c r="M18" s="197">
        <v>1</v>
      </c>
      <c r="N18" s="769"/>
    </row>
    <row r="19" spans="1:14" s="125" customFormat="1" ht="12.75">
      <c r="A19" s="570" t="s">
        <v>1034</v>
      </c>
      <c r="B19" s="197">
        <v>1</v>
      </c>
      <c r="C19" s="197">
        <v>1</v>
      </c>
      <c r="D19" s="197">
        <v>1</v>
      </c>
      <c r="E19" s="197">
        <v>1</v>
      </c>
      <c r="F19" s="197">
        <v>1</v>
      </c>
      <c r="G19" s="197">
        <v>1</v>
      </c>
      <c r="H19" s="197">
        <v>1</v>
      </c>
      <c r="I19" s="197">
        <v>1</v>
      </c>
      <c r="J19" s="197">
        <v>1</v>
      </c>
      <c r="K19" s="197">
        <v>1</v>
      </c>
      <c r="L19" s="197">
        <v>1</v>
      </c>
      <c r="M19" s="197">
        <v>1</v>
      </c>
      <c r="N19" s="769"/>
    </row>
    <row r="20" spans="1:14" s="768" customFormat="1" ht="22.5" customHeight="1">
      <c r="A20" s="765" t="s">
        <v>560</v>
      </c>
      <c r="B20" s="766"/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7"/>
    </row>
    <row r="21" spans="1:14" s="125" customFormat="1" ht="12.75">
      <c r="A21" s="570" t="s">
        <v>1032</v>
      </c>
      <c r="B21" s="197">
        <v>2</v>
      </c>
      <c r="C21" s="197">
        <v>2</v>
      </c>
      <c r="D21" s="197">
        <v>2</v>
      </c>
      <c r="E21" s="197">
        <v>2</v>
      </c>
      <c r="F21" s="197">
        <v>2</v>
      </c>
      <c r="G21" s="197">
        <v>2</v>
      </c>
      <c r="H21" s="197">
        <v>2</v>
      </c>
      <c r="I21" s="197">
        <v>2</v>
      </c>
      <c r="J21" s="197">
        <v>2</v>
      </c>
      <c r="K21" s="197">
        <v>2</v>
      </c>
      <c r="L21" s="197">
        <v>2</v>
      </c>
      <c r="M21" s="197">
        <v>2</v>
      </c>
      <c r="N21" s="769"/>
    </row>
    <row r="22" spans="1:14" s="125" customFormat="1" ht="12.75">
      <c r="A22" s="570" t="s">
        <v>1035</v>
      </c>
      <c r="B22" s="197">
        <v>1</v>
      </c>
      <c r="C22" s="197">
        <v>1</v>
      </c>
      <c r="D22" s="197">
        <v>1</v>
      </c>
      <c r="E22" s="197">
        <v>1</v>
      </c>
      <c r="F22" s="197">
        <v>1</v>
      </c>
      <c r="G22" s="197">
        <v>1</v>
      </c>
      <c r="H22" s="197">
        <v>1</v>
      </c>
      <c r="I22" s="197">
        <v>1</v>
      </c>
      <c r="J22" s="197">
        <v>1</v>
      </c>
      <c r="K22" s="197">
        <v>1</v>
      </c>
      <c r="L22" s="197">
        <v>1</v>
      </c>
      <c r="M22" s="197">
        <v>1</v>
      </c>
      <c r="N22" s="769"/>
    </row>
    <row r="23" spans="1:14" s="768" customFormat="1" ht="22.5" customHeight="1">
      <c r="A23" s="765" t="s">
        <v>915</v>
      </c>
      <c r="B23" s="766"/>
      <c r="C23" s="766"/>
      <c r="D23" s="766"/>
      <c r="E23" s="766"/>
      <c r="F23" s="766"/>
      <c r="G23" s="766"/>
      <c r="H23" s="766"/>
      <c r="I23" s="766"/>
      <c r="J23" s="766"/>
      <c r="K23" s="766"/>
      <c r="L23" s="766"/>
      <c r="M23" s="766"/>
      <c r="N23" s="767"/>
    </row>
    <row r="24" spans="1:14" s="125" customFormat="1" ht="12.75">
      <c r="A24" s="570" t="s">
        <v>1036</v>
      </c>
      <c r="B24" s="197">
        <v>1</v>
      </c>
      <c r="C24" s="197">
        <v>1</v>
      </c>
      <c r="D24" s="197">
        <v>1</v>
      </c>
      <c r="E24" s="197">
        <v>1</v>
      </c>
      <c r="F24" s="197">
        <v>1</v>
      </c>
      <c r="G24" s="197">
        <v>1</v>
      </c>
      <c r="H24" s="197">
        <v>1</v>
      </c>
      <c r="I24" s="197">
        <v>1</v>
      </c>
      <c r="J24" s="197">
        <v>1</v>
      </c>
      <c r="K24" s="197">
        <v>1</v>
      </c>
      <c r="L24" s="197">
        <v>1</v>
      </c>
      <c r="M24" s="197">
        <v>1</v>
      </c>
      <c r="N24" s="769"/>
    </row>
    <row r="25" spans="1:14" s="125" customFormat="1" ht="12.75">
      <c r="A25" s="570" t="s">
        <v>1037</v>
      </c>
      <c r="B25" s="197">
        <v>4</v>
      </c>
      <c r="C25" s="197">
        <v>4</v>
      </c>
      <c r="D25" s="197">
        <v>4</v>
      </c>
      <c r="E25" s="197">
        <v>4</v>
      </c>
      <c r="F25" s="197">
        <v>4</v>
      </c>
      <c r="G25" s="197">
        <v>4</v>
      </c>
      <c r="H25" s="197">
        <v>4</v>
      </c>
      <c r="I25" s="197">
        <v>4</v>
      </c>
      <c r="J25" s="197">
        <v>4</v>
      </c>
      <c r="K25" s="197">
        <v>4</v>
      </c>
      <c r="L25" s="197">
        <v>4</v>
      </c>
      <c r="M25" s="197">
        <v>4</v>
      </c>
      <c r="N25" s="769"/>
    </row>
    <row r="26" spans="1:14" s="125" customFormat="1" ht="12.75">
      <c r="A26" s="570" t="s">
        <v>1038</v>
      </c>
      <c r="B26" s="197">
        <v>4</v>
      </c>
      <c r="C26" s="197">
        <v>4</v>
      </c>
      <c r="D26" s="197">
        <v>4</v>
      </c>
      <c r="E26" s="197">
        <v>4</v>
      </c>
      <c r="F26" s="197">
        <v>4</v>
      </c>
      <c r="G26" s="197">
        <v>4</v>
      </c>
      <c r="H26" s="197">
        <v>4</v>
      </c>
      <c r="I26" s="197">
        <v>4</v>
      </c>
      <c r="J26" s="197">
        <v>4</v>
      </c>
      <c r="K26" s="197">
        <v>4</v>
      </c>
      <c r="L26" s="197">
        <v>4</v>
      </c>
      <c r="M26" s="197">
        <v>4</v>
      </c>
      <c r="N26" s="769"/>
    </row>
    <row r="27" spans="1:14" s="768" customFormat="1" ht="22.5" customHeight="1">
      <c r="A27" s="765" t="s">
        <v>1039</v>
      </c>
      <c r="B27" s="766"/>
      <c r="C27" s="766"/>
      <c r="D27" s="766"/>
      <c r="E27" s="766"/>
      <c r="F27" s="766"/>
      <c r="G27" s="766"/>
      <c r="H27" s="766"/>
      <c r="I27" s="766"/>
      <c r="J27" s="766"/>
      <c r="K27" s="766"/>
      <c r="L27" s="766"/>
      <c r="M27" s="766"/>
      <c r="N27" s="767"/>
    </row>
    <row r="28" spans="1:14" s="125" customFormat="1" ht="12.75">
      <c r="A28" s="570" t="s">
        <v>1040</v>
      </c>
      <c r="B28" s="197">
        <v>1</v>
      </c>
      <c r="C28" s="197">
        <v>1</v>
      </c>
      <c r="D28" s="197">
        <v>1</v>
      </c>
      <c r="E28" s="197">
        <v>1</v>
      </c>
      <c r="F28" s="197">
        <v>1</v>
      </c>
      <c r="G28" s="197">
        <v>1</v>
      </c>
      <c r="H28" s="197">
        <v>1</v>
      </c>
      <c r="I28" s="197">
        <v>1</v>
      </c>
      <c r="J28" s="197">
        <v>1</v>
      </c>
      <c r="K28" s="197">
        <v>1</v>
      </c>
      <c r="L28" s="197">
        <v>1</v>
      </c>
      <c r="M28" s="197">
        <v>1</v>
      </c>
      <c r="N28" s="769"/>
    </row>
    <row r="29" spans="1:14" s="125" customFormat="1" ht="12.75">
      <c r="A29" s="570" t="s">
        <v>1041</v>
      </c>
      <c r="B29" s="197">
        <v>1</v>
      </c>
      <c r="C29" s="197">
        <v>1</v>
      </c>
      <c r="D29" s="197">
        <v>1</v>
      </c>
      <c r="E29" s="197">
        <v>1</v>
      </c>
      <c r="F29" s="197">
        <v>1</v>
      </c>
      <c r="G29" s="197">
        <v>1</v>
      </c>
      <c r="H29" s="197">
        <v>1</v>
      </c>
      <c r="I29" s="197">
        <v>1</v>
      </c>
      <c r="J29" s="197">
        <v>1</v>
      </c>
      <c r="K29" s="197">
        <v>1</v>
      </c>
      <c r="L29" s="197">
        <v>1</v>
      </c>
      <c r="M29" s="197">
        <v>1</v>
      </c>
      <c r="N29" s="769"/>
    </row>
    <row r="30" spans="1:14" s="125" customFormat="1" ht="12.75">
      <c r="A30" s="570" t="s">
        <v>1041</v>
      </c>
      <c r="B30" s="197">
        <v>0.5</v>
      </c>
      <c r="C30" s="197">
        <v>0.5</v>
      </c>
      <c r="D30" s="197">
        <v>0.5</v>
      </c>
      <c r="E30" s="197">
        <v>0.5</v>
      </c>
      <c r="F30" s="197">
        <v>0.5</v>
      </c>
      <c r="G30" s="197">
        <v>0.5</v>
      </c>
      <c r="H30" s="197">
        <v>0.5</v>
      </c>
      <c r="I30" s="197">
        <v>0.5</v>
      </c>
      <c r="J30" s="197">
        <v>0.5</v>
      </c>
      <c r="K30" s="197">
        <v>0.5</v>
      </c>
      <c r="L30" s="197">
        <v>0.5</v>
      </c>
      <c r="M30" s="197">
        <v>0.5</v>
      </c>
      <c r="N30" s="769"/>
    </row>
    <row r="31" spans="1:14" s="270" customFormat="1" ht="51">
      <c r="A31" s="568" t="s">
        <v>916</v>
      </c>
      <c r="B31" s="269">
        <f aca="true" t="shared" si="0" ref="B31:M31">SUM(B9:B30)</f>
        <v>52.5</v>
      </c>
      <c r="C31" s="269">
        <f t="shared" si="0"/>
        <v>52.5</v>
      </c>
      <c r="D31" s="269">
        <f t="shared" si="0"/>
        <v>52.5</v>
      </c>
      <c r="E31" s="269">
        <f t="shared" si="0"/>
        <v>52.5</v>
      </c>
      <c r="F31" s="269">
        <f t="shared" si="0"/>
        <v>52.5</v>
      </c>
      <c r="G31" s="269">
        <f t="shared" si="0"/>
        <v>52.5</v>
      </c>
      <c r="H31" s="269">
        <f t="shared" si="0"/>
        <v>52.5</v>
      </c>
      <c r="I31" s="269">
        <f t="shared" si="0"/>
        <v>52.5</v>
      </c>
      <c r="J31" s="269">
        <f t="shared" si="0"/>
        <v>52.5</v>
      </c>
      <c r="K31" s="269">
        <f t="shared" si="0"/>
        <v>52.5</v>
      </c>
      <c r="L31" s="269">
        <f t="shared" si="0"/>
        <v>51.5</v>
      </c>
      <c r="M31" s="269">
        <f t="shared" si="0"/>
        <v>49.5</v>
      </c>
      <c r="N31" s="772"/>
    </row>
    <row r="32" spans="1:14" s="125" customFormat="1" ht="14.25" customHeight="1">
      <c r="A32" s="56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769"/>
    </row>
    <row r="33" spans="1:14" s="126" customFormat="1" ht="22.5" customHeight="1">
      <c r="A33" s="764" t="s">
        <v>590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9"/>
    </row>
    <row r="34" spans="1:14" s="125" customFormat="1" ht="12.75">
      <c r="A34" s="570" t="s">
        <v>654</v>
      </c>
      <c r="B34" s="197">
        <v>25</v>
      </c>
      <c r="C34" s="197">
        <v>25</v>
      </c>
      <c r="D34" s="197">
        <v>25</v>
      </c>
      <c r="E34" s="197">
        <v>25</v>
      </c>
      <c r="F34" s="197">
        <v>25</v>
      </c>
      <c r="G34" s="197">
        <v>25</v>
      </c>
      <c r="H34" s="197">
        <v>25</v>
      </c>
      <c r="I34" s="197">
        <v>25</v>
      </c>
      <c r="J34" s="197">
        <v>25</v>
      </c>
      <c r="K34" s="197">
        <v>25</v>
      </c>
      <c r="L34" s="197">
        <v>25</v>
      </c>
      <c r="M34" s="197">
        <v>25</v>
      </c>
      <c r="N34" s="769"/>
    </row>
    <row r="35" spans="1:14" s="125" customFormat="1" ht="25.5">
      <c r="A35" s="570" t="s">
        <v>732</v>
      </c>
      <c r="B35" s="197">
        <v>2</v>
      </c>
      <c r="C35" s="197">
        <v>2</v>
      </c>
      <c r="D35" s="197">
        <v>2</v>
      </c>
      <c r="E35" s="197">
        <v>2</v>
      </c>
      <c r="F35" s="197">
        <v>2</v>
      </c>
      <c r="G35" s="197">
        <v>2</v>
      </c>
      <c r="H35" s="197">
        <v>2</v>
      </c>
      <c r="I35" s="197">
        <v>2</v>
      </c>
      <c r="J35" s="197">
        <v>2</v>
      </c>
      <c r="K35" s="197">
        <v>2</v>
      </c>
      <c r="L35" s="197">
        <v>2</v>
      </c>
      <c r="M35" s="197">
        <v>2</v>
      </c>
      <c r="N35" s="769"/>
    </row>
    <row r="36" spans="1:14" s="126" customFormat="1" ht="22.5" customHeight="1">
      <c r="A36" s="764" t="s">
        <v>655</v>
      </c>
      <c r="B36" s="196">
        <f aca="true" t="shared" si="1" ref="B36:M36">SUM(B34:B35)</f>
        <v>27</v>
      </c>
      <c r="C36" s="196">
        <f t="shared" si="1"/>
        <v>27</v>
      </c>
      <c r="D36" s="196">
        <f t="shared" si="1"/>
        <v>27</v>
      </c>
      <c r="E36" s="196">
        <f t="shared" si="1"/>
        <v>27</v>
      </c>
      <c r="F36" s="196">
        <f t="shared" si="1"/>
        <v>27</v>
      </c>
      <c r="G36" s="196">
        <f t="shared" si="1"/>
        <v>27</v>
      </c>
      <c r="H36" s="196">
        <f t="shared" si="1"/>
        <v>27</v>
      </c>
      <c r="I36" s="196">
        <f t="shared" si="1"/>
        <v>27</v>
      </c>
      <c r="J36" s="196">
        <f t="shared" si="1"/>
        <v>27</v>
      </c>
      <c r="K36" s="196">
        <f t="shared" si="1"/>
        <v>27</v>
      </c>
      <c r="L36" s="196">
        <f t="shared" si="1"/>
        <v>27</v>
      </c>
      <c r="M36" s="196">
        <f t="shared" si="1"/>
        <v>27</v>
      </c>
      <c r="N36" s="199"/>
    </row>
    <row r="37" spans="1:13" s="199" customFormat="1" ht="14.25" customHeight="1">
      <c r="A37" s="571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</row>
    <row r="38" spans="1:14" s="126" customFormat="1" ht="22.5" customHeight="1">
      <c r="A38" s="764" t="s">
        <v>679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9"/>
    </row>
    <row r="39" spans="1:14" s="125" customFormat="1" ht="12.75">
      <c r="A39" s="570" t="s">
        <v>1042</v>
      </c>
      <c r="B39" s="197">
        <v>1</v>
      </c>
      <c r="C39" s="197">
        <v>1</v>
      </c>
      <c r="D39" s="197">
        <v>1</v>
      </c>
      <c r="E39" s="197">
        <v>1</v>
      </c>
      <c r="F39" s="197">
        <v>1</v>
      </c>
      <c r="G39" s="197">
        <v>1</v>
      </c>
      <c r="H39" s="197">
        <v>1</v>
      </c>
      <c r="I39" s="197">
        <v>1</v>
      </c>
      <c r="J39" s="197">
        <v>1</v>
      </c>
      <c r="K39" s="197">
        <v>1</v>
      </c>
      <c r="L39" s="197">
        <v>1</v>
      </c>
      <c r="M39" s="197">
        <v>1</v>
      </c>
      <c r="N39" s="769"/>
    </row>
    <row r="40" spans="1:14" s="125" customFormat="1" ht="12.75">
      <c r="A40" s="572" t="s">
        <v>1043</v>
      </c>
      <c r="B40" s="197">
        <v>1</v>
      </c>
      <c r="C40" s="197">
        <v>1</v>
      </c>
      <c r="D40" s="197">
        <v>1</v>
      </c>
      <c r="E40" s="197">
        <v>1</v>
      </c>
      <c r="F40" s="197">
        <v>1</v>
      </c>
      <c r="G40" s="197">
        <v>1</v>
      </c>
      <c r="H40" s="197">
        <v>1</v>
      </c>
      <c r="I40" s="197">
        <v>1</v>
      </c>
      <c r="J40" s="197">
        <v>1</v>
      </c>
      <c r="K40" s="197">
        <v>1</v>
      </c>
      <c r="L40" s="197">
        <v>1</v>
      </c>
      <c r="M40" s="197">
        <v>1</v>
      </c>
      <c r="N40" s="769"/>
    </row>
    <row r="41" spans="1:14" s="768" customFormat="1" ht="22.5" customHeight="1">
      <c r="A41" s="765" t="s">
        <v>1044</v>
      </c>
      <c r="B41" s="766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7"/>
    </row>
    <row r="42" spans="1:14" s="125" customFormat="1" ht="12.75">
      <c r="A42" s="572" t="s">
        <v>569</v>
      </c>
      <c r="B42" s="197">
        <v>13</v>
      </c>
      <c r="C42" s="197">
        <v>13</v>
      </c>
      <c r="D42" s="197">
        <v>13</v>
      </c>
      <c r="E42" s="197">
        <v>13</v>
      </c>
      <c r="F42" s="197">
        <v>13</v>
      </c>
      <c r="G42" s="197">
        <v>13</v>
      </c>
      <c r="H42" s="197">
        <v>13</v>
      </c>
      <c r="I42" s="197">
        <v>13</v>
      </c>
      <c r="J42" s="197">
        <v>13</v>
      </c>
      <c r="K42" s="197">
        <v>13</v>
      </c>
      <c r="L42" s="197">
        <v>13</v>
      </c>
      <c r="M42" s="197">
        <v>13</v>
      </c>
      <c r="N42" s="769"/>
    </row>
    <row r="43" spans="1:14" s="768" customFormat="1" ht="22.5" customHeight="1">
      <c r="A43" s="765" t="s">
        <v>542</v>
      </c>
      <c r="B43" s="766"/>
      <c r="C43" s="766"/>
      <c r="D43" s="766"/>
      <c r="E43" s="766"/>
      <c r="F43" s="766"/>
      <c r="G43" s="766"/>
      <c r="H43" s="766"/>
      <c r="I43" s="766"/>
      <c r="J43" s="766"/>
      <c r="K43" s="766"/>
      <c r="L43" s="766"/>
      <c r="M43" s="766"/>
      <c r="N43" s="767"/>
    </row>
    <row r="44" spans="1:14" s="125" customFormat="1" ht="12.75">
      <c r="A44" s="570" t="s">
        <v>543</v>
      </c>
      <c r="B44" s="197">
        <v>2</v>
      </c>
      <c r="C44" s="197">
        <v>2</v>
      </c>
      <c r="D44" s="197">
        <v>2</v>
      </c>
      <c r="E44" s="197">
        <v>2</v>
      </c>
      <c r="F44" s="197">
        <v>2</v>
      </c>
      <c r="G44" s="197">
        <v>2</v>
      </c>
      <c r="H44" s="197">
        <v>2</v>
      </c>
      <c r="I44" s="197">
        <v>2</v>
      </c>
      <c r="J44" s="197">
        <v>2</v>
      </c>
      <c r="K44" s="197">
        <v>2</v>
      </c>
      <c r="L44" s="197">
        <v>2</v>
      </c>
      <c r="M44" s="197">
        <v>2</v>
      </c>
      <c r="N44" s="769"/>
    </row>
    <row r="45" spans="1:14" s="125" customFormat="1" ht="12.75">
      <c r="A45" s="569" t="s">
        <v>566</v>
      </c>
      <c r="B45" s="197">
        <v>5.75</v>
      </c>
      <c r="C45" s="197">
        <v>5.75</v>
      </c>
      <c r="D45" s="197">
        <v>5.75</v>
      </c>
      <c r="E45" s="197">
        <v>5.75</v>
      </c>
      <c r="F45" s="197">
        <v>5.75</v>
      </c>
      <c r="G45" s="197">
        <v>5.75</v>
      </c>
      <c r="H45" s="197">
        <v>5.75</v>
      </c>
      <c r="I45" s="197">
        <v>5.75</v>
      </c>
      <c r="J45" s="197">
        <v>5.75</v>
      </c>
      <c r="K45" s="197">
        <v>5.75</v>
      </c>
      <c r="L45" s="197">
        <v>5.75</v>
      </c>
      <c r="M45" s="197">
        <v>5.75</v>
      </c>
      <c r="N45" s="769"/>
    </row>
    <row r="46" spans="1:14" s="125" customFormat="1" ht="12.75">
      <c r="A46" s="569" t="s">
        <v>567</v>
      </c>
      <c r="B46" s="197">
        <v>2</v>
      </c>
      <c r="C46" s="197">
        <v>2</v>
      </c>
      <c r="D46" s="197">
        <v>2</v>
      </c>
      <c r="E46" s="197">
        <v>2</v>
      </c>
      <c r="F46" s="197">
        <v>2</v>
      </c>
      <c r="G46" s="197">
        <v>2</v>
      </c>
      <c r="H46" s="197">
        <v>2</v>
      </c>
      <c r="I46" s="197">
        <v>2</v>
      </c>
      <c r="J46" s="197">
        <v>2</v>
      </c>
      <c r="K46" s="197">
        <v>2</v>
      </c>
      <c r="L46" s="197">
        <v>2</v>
      </c>
      <c r="M46" s="197">
        <v>2</v>
      </c>
      <c r="N46" s="769"/>
    </row>
    <row r="47" spans="1:14" s="125" customFormat="1" ht="12.75">
      <c r="A47" s="569" t="s">
        <v>568</v>
      </c>
      <c r="B47" s="197">
        <v>1</v>
      </c>
      <c r="C47" s="197">
        <v>1</v>
      </c>
      <c r="D47" s="197">
        <v>1</v>
      </c>
      <c r="E47" s="197">
        <v>1</v>
      </c>
      <c r="F47" s="197">
        <v>1</v>
      </c>
      <c r="G47" s="197">
        <v>1</v>
      </c>
      <c r="H47" s="197">
        <v>1</v>
      </c>
      <c r="I47" s="197">
        <v>1</v>
      </c>
      <c r="J47" s="197">
        <v>1</v>
      </c>
      <c r="K47" s="197">
        <v>1</v>
      </c>
      <c r="L47" s="197">
        <v>1</v>
      </c>
      <c r="M47" s="197">
        <v>1</v>
      </c>
      <c r="N47" s="769"/>
    </row>
    <row r="48" spans="1:14" s="768" customFormat="1" ht="22.5" customHeight="1">
      <c r="A48" s="765" t="s">
        <v>571</v>
      </c>
      <c r="B48" s="766"/>
      <c r="C48" s="766"/>
      <c r="D48" s="766"/>
      <c r="E48" s="766"/>
      <c r="F48" s="766"/>
      <c r="G48" s="766"/>
      <c r="H48" s="766"/>
      <c r="I48" s="766"/>
      <c r="J48" s="766"/>
      <c r="K48" s="766"/>
      <c r="L48" s="766"/>
      <c r="M48" s="766"/>
      <c r="N48" s="767"/>
    </row>
    <row r="49" spans="1:14" s="125" customFormat="1" ht="12.75">
      <c r="A49" s="569" t="s">
        <v>572</v>
      </c>
      <c r="B49" s="197">
        <v>3</v>
      </c>
      <c r="C49" s="197">
        <v>3</v>
      </c>
      <c r="D49" s="197">
        <v>3</v>
      </c>
      <c r="E49" s="197">
        <v>3</v>
      </c>
      <c r="F49" s="197">
        <v>3</v>
      </c>
      <c r="G49" s="197">
        <v>3</v>
      </c>
      <c r="H49" s="197">
        <v>3</v>
      </c>
      <c r="I49" s="197">
        <v>3</v>
      </c>
      <c r="J49" s="197">
        <v>3</v>
      </c>
      <c r="K49" s="197">
        <v>3</v>
      </c>
      <c r="L49" s="197">
        <v>3</v>
      </c>
      <c r="M49" s="197">
        <v>3</v>
      </c>
      <c r="N49" s="769"/>
    </row>
    <row r="50" spans="1:14" s="125" customFormat="1" ht="12.75">
      <c r="A50" s="569" t="s">
        <v>573</v>
      </c>
      <c r="B50" s="197">
        <v>3</v>
      </c>
      <c r="C50" s="197">
        <v>3</v>
      </c>
      <c r="D50" s="197">
        <v>3</v>
      </c>
      <c r="E50" s="197">
        <v>3</v>
      </c>
      <c r="F50" s="197">
        <v>3</v>
      </c>
      <c r="G50" s="197">
        <v>3</v>
      </c>
      <c r="H50" s="197">
        <v>3</v>
      </c>
      <c r="I50" s="197">
        <v>3</v>
      </c>
      <c r="J50" s="197">
        <v>3</v>
      </c>
      <c r="K50" s="197">
        <v>3</v>
      </c>
      <c r="L50" s="197">
        <v>3</v>
      </c>
      <c r="M50" s="197">
        <v>3</v>
      </c>
      <c r="N50" s="769"/>
    </row>
    <row r="51" spans="1:14" s="768" customFormat="1" ht="22.5" customHeight="1">
      <c r="A51" s="765" t="s">
        <v>574</v>
      </c>
      <c r="B51" s="766"/>
      <c r="C51" s="766"/>
      <c r="D51" s="766"/>
      <c r="E51" s="766"/>
      <c r="F51" s="766"/>
      <c r="G51" s="766"/>
      <c r="H51" s="766"/>
      <c r="I51" s="766"/>
      <c r="J51" s="766"/>
      <c r="K51" s="766"/>
      <c r="L51" s="766"/>
      <c r="M51" s="766"/>
      <c r="N51" s="767"/>
    </row>
    <row r="52" spans="1:14" s="125" customFormat="1" ht="12.75">
      <c r="A52" s="569" t="s">
        <v>575</v>
      </c>
      <c r="B52" s="695">
        <v>5</v>
      </c>
      <c r="C52" s="695">
        <v>5</v>
      </c>
      <c r="D52" s="695">
        <v>5</v>
      </c>
      <c r="E52" s="695">
        <v>5</v>
      </c>
      <c r="F52" s="695">
        <v>5</v>
      </c>
      <c r="G52" s="695">
        <v>5</v>
      </c>
      <c r="H52" s="197">
        <v>5</v>
      </c>
      <c r="I52" s="197">
        <v>5</v>
      </c>
      <c r="J52" s="197">
        <v>5</v>
      </c>
      <c r="K52" s="197">
        <v>5</v>
      </c>
      <c r="L52" s="197">
        <v>5</v>
      </c>
      <c r="M52" s="197">
        <v>5</v>
      </c>
      <c r="N52" s="769"/>
    </row>
    <row r="53" spans="1:14" s="768" customFormat="1" ht="22.5" customHeight="1">
      <c r="A53" s="765" t="s">
        <v>561</v>
      </c>
      <c r="B53" s="766"/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7"/>
    </row>
    <row r="54" spans="1:14" s="125" customFormat="1" ht="12.75">
      <c r="A54" s="569" t="s">
        <v>562</v>
      </c>
      <c r="B54" s="197">
        <v>1</v>
      </c>
      <c r="C54" s="197">
        <v>1</v>
      </c>
      <c r="D54" s="197">
        <v>1</v>
      </c>
      <c r="E54" s="197">
        <v>1</v>
      </c>
      <c r="F54" s="197">
        <v>1</v>
      </c>
      <c r="G54" s="197">
        <v>1</v>
      </c>
      <c r="H54" s="197">
        <v>1</v>
      </c>
      <c r="I54" s="197">
        <v>1</v>
      </c>
      <c r="J54" s="197">
        <v>1</v>
      </c>
      <c r="K54" s="197">
        <v>1</v>
      </c>
      <c r="L54" s="197">
        <v>1</v>
      </c>
      <c r="M54" s="197">
        <v>1</v>
      </c>
      <c r="N54" s="769"/>
    </row>
    <row r="55" spans="1:14" s="125" customFormat="1" ht="12.75">
      <c r="A55" s="569" t="s">
        <v>563</v>
      </c>
      <c r="B55" s="197">
        <v>7</v>
      </c>
      <c r="C55" s="197">
        <v>7</v>
      </c>
      <c r="D55" s="197">
        <v>7</v>
      </c>
      <c r="E55" s="197">
        <v>7</v>
      </c>
      <c r="F55" s="197">
        <v>7</v>
      </c>
      <c r="G55" s="197">
        <v>7</v>
      </c>
      <c r="H55" s="197">
        <v>7</v>
      </c>
      <c r="I55" s="197">
        <v>7</v>
      </c>
      <c r="J55" s="197">
        <v>7</v>
      </c>
      <c r="K55" s="197">
        <v>7</v>
      </c>
      <c r="L55" s="197">
        <v>7</v>
      </c>
      <c r="M55" s="197">
        <v>7</v>
      </c>
      <c r="N55" s="769"/>
    </row>
    <row r="56" spans="1:14" s="125" customFormat="1" ht="12.75">
      <c r="A56" s="569" t="s">
        <v>733</v>
      </c>
      <c r="B56" s="197">
        <v>1</v>
      </c>
      <c r="C56" s="197">
        <v>1</v>
      </c>
      <c r="D56" s="197">
        <v>1</v>
      </c>
      <c r="E56" s="197">
        <v>1</v>
      </c>
      <c r="F56" s="197">
        <v>1</v>
      </c>
      <c r="G56" s="197">
        <v>1</v>
      </c>
      <c r="H56" s="197">
        <v>1</v>
      </c>
      <c r="I56" s="197">
        <v>1</v>
      </c>
      <c r="J56" s="197">
        <v>1</v>
      </c>
      <c r="K56" s="197">
        <v>1</v>
      </c>
      <c r="L56" s="197">
        <v>1</v>
      </c>
      <c r="M56" s="197">
        <v>1</v>
      </c>
      <c r="N56" s="769"/>
    </row>
    <row r="57" spans="1:14" s="125" customFormat="1" ht="12.75">
      <c r="A57" s="569" t="s">
        <v>564</v>
      </c>
      <c r="B57" s="197">
        <v>3</v>
      </c>
      <c r="C57" s="197">
        <v>3</v>
      </c>
      <c r="D57" s="197">
        <v>3</v>
      </c>
      <c r="E57" s="197">
        <v>3</v>
      </c>
      <c r="F57" s="197">
        <v>3</v>
      </c>
      <c r="G57" s="197">
        <v>3</v>
      </c>
      <c r="H57" s="197">
        <v>3</v>
      </c>
      <c r="I57" s="197">
        <v>3</v>
      </c>
      <c r="J57" s="197">
        <v>3</v>
      </c>
      <c r="K57" s="197">
        <v>3</v>
      </c>
      <c r="L57" s="197">
        <v>3</v>
      </c>
      <c r="M57" s="197">
        <v>3</v>
      </c>
      <c r="N57" s="769"/>
    </row>
    <row r="58" spans="1:14" s="125" customFormat="1" ht="12.75">
      <c r="A58" s="569" t="s">
        <v>565</v>
      </c>
      <c r="B58" s="197">
        <v>2</v>
      </c>
      <c r="C58" s="197">
        <v>2</v>
      </c>
      <c r="D58" s="197">
        <v>2</v>
      </c>
      <c r="E58" s="197">
        <v>2</v>
      </c>
      <c r="F58" s="197">
        <v>2</v>
      </c>
      <c r="G58" s="197">
        <v>2</v>
      </c>
      <c r="H58" s="197">
        <v>2</v>
      </c>
      <c r="I58" s="197">
        <v>2</v>
      </c>
      <c r="J58" s="197">
        <v>2</v>
      </c>
      <c r="K58" s="197">
        <v>2</v>
      </c>
      <c r="L58" s="197">
        <v>2</v>
      </c>
      <c r="M58" s="197">
        <v>2</v>
      </c>
      <c r="N58" s="769"/>
    </row>
    <row r="59" spans="1:14" s="125" customFormat="1" ht="12.75">
      <c r="A59" s="570" t="s">
        <v>543</v>
      </c>
      <c r="B59" s="197">
        <v>1</v>
      </c>
      <c r="C59" s="197">
        <v>1</v>
      </c>
      <c r="D59" s="197">
        <v>1</v>
      </c>
      <c r="E59" s="197">
        <v>1</v>
      </c>
      <c r="F59" s="197">
        <v>1</v>
      </c>
      <c r="G59" s="197">
        <v>1</v>
      </c>
      <c r="H59" s="197">
        <v>1</v>
      </c>
      <c r="I59" s="197">
        <v>1</v>
      </c>
      <c r="J59" s="197">
        <v>1</v>
      </c>
      <c r="K59" s="197">
        <v>1</v>
      </c>
      <c r="L59" s="197">
        <v>1</v>
      </c>
      <c r="M59" s="197">
        <v>1</v>
      </c>
      <c r="N59" s="769"/>
    </row>
    <row r="60" spans="1:14" s="126" customFormat="1" ht="22.5" customHeight="1">
      <c r="A60" s="764" t="s">
        <v>653</v>
      </c>
      <c r="B60" s="196">
        <f aca="true" t="shared" si="2" ref="B60:M60">SUM(B39:B59)</f>
        <v>51.75</v>
      </c>
      <c r="C60" s="196">
        <f t="shared" si="2"/>
        <v>51.75</v>
      </c>
      <c r="D60" s="196">
        <f t="shared" si="2"/>
        <v>51.75</v>
      </c>
      <c r="E60" s="196">
        <f t="shared" si="2"/>
        <v>51.75</v>
      </c>
      <c r="F60" s="196">
        <f t="shared" si="2"/>
        <v>51.75</v>
      </c>
      <c r="G60" s="196">
        <f t="shared" si="2"/>
        <v>51.75</v>
      </c>
      <c r="H60" s="196">
        <f t="shared" si="2"/>
        <v>51.75</v>
      </c>
      <c r="I60" s="196">
        <f t="shared" si="2"/>
        <v>51.75</v>
      </c>
      <c r="J60" s="196">
        <f t="shared" si="2"/>
        <v>51.75</v>
      </c>
      <c r="K60" s="196">
        <f t="shared" si="2"/>
        <v>51.75</v>
      </c>
      <c r="L60" s="196">
        <f t="shared" si="2"/>
        <v>51.75</v>
      </c>
      <c r="M60" s="196">
        <f t="shared" si="2"/>
        <v>51.75</v>
      </c>
      <c r="N60" s="199"/>
    </row>
    <row r="61" spans="1:14" s="126" customFormat="1" ht="30.75" customHeight="1">
      <c r="A61" s="573" t="s">
        <v>656</v>
      </c>
      <c r="B61" s="200">
        <f aca="true" t="shared" si="3" ref="B61:M61">SUM(B60,B36,B31)</f>
        <v>131.25</v>
      </c>
      <c r="C61" s="200">
        <f t="shared" si="3"/>
        <v>131.25</v>
      </c>
      <c r="D61" s="200">
        <f t="shared" si="3"/>
        <v>131.25</v>
      </c>
      <c r="E61" s="200">
        <f t="shared" si="3"/>
        <v>131.25</v>
      </c>
      <c r="F61" s="200">
        <f t="shared" si="3"/>
        <v>131.25</v>
      </c>
      <c r="G61" s="200">
        <f t="shared" si="3"/>
        <v>131.25</v>
      </c>
      <c r="H61" s="200">
        <f t="shared" si="3"/>
        <v>131.25</v>
      </c>
      <c r="I61" s="200">
        <f t="shared" si="3"/>
        <v>131.25</v>
      </c>
      <c r="J61" s="200">
        <f t="shared" si="3"/>
        <v>131.25</v>
      </c>
      <c r="K61" s="200">
        <f t="shared" si="3"/>
        <v>131.25</v>
      </c>
      <c r="L61" s="200">
        <f t="shared" si="3"/>
        <v>130.25</v>
      </c>
      <c r="M61" s="200">
        <f t="shared" si="3"/>
        <v>128.25</v>
      </c>
      <c r="N61" s="199"/>
    </row>
    <row r="62" spans="1:14" s="125" customFormat="1" ht="6" customHeight="1">
      <c r="A62" s="56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769"/>
    </row>
    <row r="63" spans="1:14" s="126" customFormat="1" ht="25.5" customHeight="1">
      <c r="A63" s="764" t="s">
        <v>570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9"/>
    </row>
    <row r="64" spans="1:14" s="125" customFormat="1" ht="20.25" customHeight="1">
      <c r="A64" s="570" t="s">
        <v>707</v>
      </c>
      <c r="B64" s="197">
        <v>0</v>
      </c>
      <c r="C64" s="197">
        <v>0</v>
      </c>
      <c r="D64" s="197">
        <v>0</v>
      </c>
      <c r="E64" s="197">
        <v>0</v>
      </c>
      <c r="F64" s="197">
        <v>0</v>
      </c>
      <c r="G64" s="197">
        <v>0</v>
      </c>
      <c r="H64" s="197">
        <v>0</v>
      </c>
      <c r="I64" s="197">
        <v>0</v>
      </c>
      <c r="J64" s="197">
        <v>0</v>
      </c>
      <c r="K64" s="197">
        <v>0</v>
      </c>
      <c r="L64" s="197">
        <v>0</v>
      </c>
      <c r="M64" s="197">
        <v>0</v>
      </c>
      <c r="N64" s="769"/>
    </row>
    <row r="65" spans="1:14" s="125" customFormat="1" ht="20.25" customHeight="1">
      <c r="A65" s="570" t="s">
        <v>590</v>
      </c>
      <c r="B65" s="197">
        <v>0</v>
      </c>
      <c r="C65" s="197">
        <v>0</v>
      </c>
      <c r="D65" s="197">
        <v>0</v>
      </c>
      <c r="E65" s="197">
        <v>0</v>
      </c>
      <c r="F65" s="197">
        <v>0</v>
      </c>
      <c r="G65" s="197">
        <v>0</v>
      </c>
      <c r="H65" s="197">
        <v>0</v>
      </c>
      <c r="I65" s="197">
        <v>0</v>
      </c>
      <c r="J65" s="197">
        <v>0</v>
      </c>
      <c r="K65" s="197">
        <v>0</v>
      </c>
      <c r="L65" s="197">
        <v>0</v>
      </c>
      <c r="M65" s="197">
        <v>0</v>
      </c>
      <c r="N65" s="769"/>
    </row>
    <row r="66" spans="1:14" s="125" customFormat="1" ht="37.5" customHeight="1">
      <c r="A66" s="570" t="s">
        <v>920</v>
      </c>
      <c r="B66" s="197">
        <v>0</v>
      </c>
      <c r="C66" s="197">
        <v>0</v>
      </c>
      <c r="D66" s="197">
        <v>0</v>
      </c>
      <c r="E66" s="197">
        <v>0</v>
      </c>
      <c r="F66" s="197">
        <v>0</v>
      </c>
      <c r="G66" s="197">
        <v>0</v>
      </c>
      <c r="H66" s="197">
        <v>0</v>
      </c>
      <c r="I66" s="197">
        <v>0</v>
      </c>
      <c r="J66" s="197">
        <v>0</v>
      </c>
      <c r="K66" s="197">
        <v>0</v>
      </c>
      <c r="L66" s="197">
        <v>0</v>
      </c>
      <c r="M66" s="197">
        <v>0</v>
      </c>
      <c r="N66" s="769"/>
    </row>
    <row r="67" spans="1:14" s="126" customFormat="1" ht="32.25" customHeight="1">
      <c r="A67" s="573" t="s">
        <v>800</v>
      </c>
      <c r="B67" s="200">
        <f>SUM(B64:B66)</f>
        <v>0</v>
      </c>
      <c r="C67" s="200">
        <f aca="true" t="shared" si="4" ref="C67:M67">SUM(C64:C66)</f>
        <v>0</v>
      </c>
      <c r="D67" s="200">
        <f t="shared" si="4"/>
        <v>0</v>
      </c>
      <c r="E67" s="200">
        <f t="shared" si="4"/>
        <v>0</v>
      </c>
      <c r="F67" s="200">
        <f t="shared" si="4"/>
        <v>0</v>
      </c>
      <c r="G67" s="200">
        <f t="shared" si="4"/>
        <v>0</v>
      </c>
      <c r="H67" s="200">
        <f t="shared" si="4"/>
        <v>0</v>
      </c>
      <c r="I67" s="200">
        <f t="shared" si="4"/>
        <v>0</v>
      </c>
      <c r="J67" s="200">
        <f t="shared" si="4"/>
        <v>0</v>
      </c>
      <c r="K67" s="200">
        <f t="shared" si="4"/>
        <v>0</v>
      </c>
      <c r="L67" s="200">
        <f t="shared" si="4"/>
        <v>0</v>
      </c>
      <c r="M67" s="200">
        <f t="shared" si="4"/>
        <v>0</v>
      </c>
      <c r="N67" s="199"/>
    </row>
  </sheetData>
  <sheetProtection/>
  <mergeCells count="3">
    <mergeCell ref="A3:M3"/>
    <mergeCell ref="A4:M4"/>
    <mergeCell ref="A5:M5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H60"/>
  <sheetViews>
    <sheetView zoomScaleSheetLayoutView="100" zoomScalePageLayoutView="0" workbookViewId="0" topLeftCell="A1">
      <selection activeCell="C2" sqref="C2"/>
    </sheetView>
  </sheetViews>
  <sheetFormatPr defaultColWidth="8.875" defaultRowHeight="12.75"/>
  <cols>
    <col min="1" max="1" width="4.125" style="128" bestFit="1" customWidth="1"/>
    <col min="2" max="2" width="2.375" style="6" customWidth="1"/>
    <col min="3" max="3" width="90.00390625" style="6" customWidth="1"/>
    <col min="4" max="4" width="12.625" style="6" customWidth="1"/>
    <col min="5" max="16384" width="8.875" style="6" customWidth="1"/>
  </cols>
  <sheetData>
    <row r="1" spans="3:5" ht="15">
      <c r="C1" s="826" t="s">
        <v>1058</v>
      </c>
      <c r="D1" s="930"/>
      <c r="E1" s="127"/>
    </row>
    <row r="2" spans="3:5" ht="15">
      <c r="C2" s="9"/>
      <c r="D2" s="680"/>
      <c r="E2" s="127"/>
    </row>
    <row r="3" spans="2:4" ht="15">
      <c r="B3" s="1044" t="s">
        <v>921</v>
      </c>
      <c r="C3" s="1044"/>
      <c r="D3" s="1044"/>
    </row>
    <row r="4" spans="2:4" ht="6" customHeight="1">
      <c r="B4" s="1044"/>
      <c r="C4" s="1044"/>
      <c r="D4" s="1044"/>
    </row>
    <row r="5" ht="15.75" thickBot="1">
      <c r="D5" s="9" t="s">
        <v>582</v>
      </c>
    </row>
    <row r="6" spans="1:4" s="7" customFormat="1" ht="14.25">
      <c r="A6" s="1041" t="s">
        <v>669</v>
      </c>
      <c r="B6" s="1045" t="s">
        <v>576</v>
      </c>
      <c r="C6" s="1046"/>
      <c r="D6" s="10" t="s">
        <v>592</v>
      </c>
    </row>
    <row r="7" spans="1:4" s="158" customFormat="1" ht="12">
      <c r="A7" s="1042"/>
      <c r="B7" s="1040" t="s">
        <v>663</v>
      </c>
      <c r="C7" s="1040"/>
      <c r="D7" s="157" t="s">
        <v>664</v>
      </c>
    </row>
    <row r="8" spans="1:4" s="7" customFormat="1" ht="14.25">
      <c r="A8" s="164">
        <v>1</v>
      </c>
      <c r="B8" s="159" t="s">
        <v>583</v>
      </c>
      <c r="C8" s="20"/>
      <c r="D8" s="11"/>
    </row>
    <row r="9" spans="1:4" s="22" customFormat="1" ht="15">
      <c r="A9" s="164">
        <v>2</v>
      </c>
      <c r="B9" s="160" t="s">
        <v>679</v>
      </c>
      <c r="C9" s="21"/>
      <c r="D9" s="19"/>
    </row>
    <row r="10" spans="1:4" ht="15">
      <c r="A10" s="164">
        <v>3</v>
      </c>
      <c r="B10" s="130" t="s">
        <v>593</v>
      </c>
      <c r="C10" s="603" t="s">
        <v>966</v>
      </c>
      <c r="D10" s="148">
        <v>150</v>
      </c>
    </row>
    <row r="11" spans="1:4" ht="15">
      <c r="A11" s="164">
        <v>4</v>
      </c>
      <c r="B11" s="130" t="s">
        <v>593</v>
      </c>
      <c r="C11" s="603" t="s">
        <v>967</v>
      </c>
      <c r="D11" s="12">
        <v>4763</v>
      </c>
    </row>
    <row r="12" spans="1:4" ht="15">
      <c r="A12" s="164">
        <v>6</v>
      </c>
      <c r="B12" s="130" t="s">
        <v>593</v>
      </c>
      <c r="C12" s="604" t="s">
        <v>969</v>
      </c>
      <c r="D12" s="12">
        <v>30</v>
      </c>
    </row>
    <row r="13" spans="1:4" ht="15">
      <c r="A13" s="164">
        <v>7</v>
      </c>
      <c r="B13" s="130" t="s">
        <v>593</v>
      </c>
      <c r="C13" s="603" t="s">
        <v>970</v>
      </c>
      <c r="D13" s="12">
        <v>1000</v>
      </c>
    </row>
    <row r="14" spans="1:4" ht="15">
      <c r="A14" s="164">
        <v>8</v>
      </c>
      <c r="B14" s="130" t="s">
        <v>593</v>
      </c>
      <c r="C14" s="603" t="s">
        <v>971</v>
      </c>
      <c r="D14" s="12">
        <v>25</v>
      </c>
    </row>
    <row r="15" spans="1:4" ht="30">
      <c r="A15" s="164">
        <v>9</v>
      </c>
      <c r="B15" s="130" t="s">
        <v>593</v>
      </c>
      <c r="C15" s="603" t="s">
        <v>972</v>
      </c>
      <c r="D15" s="12">
        <v>1490</v>
      </c>
    </row>
    <row r="16" spans="1:4" ht="15">
      <c r="A16" s="164">
        <v>10</v>
      </c>
      <c r="B16" s="130" t="s">
        <v>593</v>
      </c>
      <c r="C16" s="603" t="s">
        <v>1045</v>
      </c>
      <c r="D16" s="12">
        <v>11201</v>
      </c>
    </row>
    <row r="17" spans="1:4" ht="30">
      <c r="A17" s="164">
        <v>11</v>
      </c>
      <c r="B17" s="130" t="s">
        <v>593</v>
      </c>
      <c r="C17" s="603" t="s">
        <v>973</v>
      </c>
      <c r="D17" s="12">
        <v>394</v>
      </c>
    </row>
    <row r="18" spans="1:4" ht="27.75" customHeight="1">
      <c r="A18" s="164">
        <v>12</v>
      </c>
      <c r="B18" s="130" t="s">
        <v>593</v>
      </c>
      <c r="C18" s="553" t="s">
        <v>1046</v>
      </c>
      <c r="D18" s="12">
        <v>920</v>
      </c>
    </row>
    <row r="19" spans="1:4" ht="27.75" customHeight="1">
      <c r="A19" s="164">
        <v>13</v>
      </c>
      <c r="B19" s="130" t="s">
        <v>593</v>
      </c>
      <c r="C19" s="553" t="s">
        <v>974</v>
      </c>
      <c r="D19" s="12">
        <v>172</v>
      </c>
    </row>
    <row r="20" spans="1:4" ht="27.75" customHeight="1">
      <c r="A20" s="164">
        <v>14</v>
      </c>
      <c r="B20" s="130" t="s">
        <v>593</v>
      </c>
      <c r="C20" s="553" t="s">
        <v>975</v>
      </c>
      <c r="D20" s="12">
        <v>216</v>
      </c>
    </row>
    <row r="21" spans="1:4" s="75" customFormat="1" ht="15">
      <c r="A21" s="164">
        <v>15</v>
      </c>
      <c r="B21" s="130"/>
      <c r="C21" s="24" t="s">
        <v>610</v>
      </c>
      <c r="D21" s="150">
        <f>SUM(D10:D20)</f>
        <v>20361</v>
      </c>
    </row>
    <row r="22" spans="1:4" s="75" customFormat="1" ht="15">
      <c r="A22" s="703">
        <v>16</v>
      </c>
      <c r="B22" s="1035" t="s">
        <v>590</v>
      </c>
      <c r="C22" s="1036"/>
      <c r="D22" s="1037"/>
    </row>
    <row r="23" spans="1:4" s="75" customFormat="1" ht="30">
      <c r="A23" s="164">
        <v>17</v>
      </c>
      <c r="B23" s="130" t="s">
        <v>593</v>
      </c>
      <c r="C23" s="693" t="s">
        <v>976</v>
      </c>
      <c r="D23" s="552">
        <v>1279</v>
      </c>
    </row>
    <row r="24" spans="1:4" s="75" customFormat="1" ht="15">
      <c r="A24" s="164">
        <v>18</v>
      </c>
      <c r="B24" s="551"/>
      <c r="C24" s="24" t="s">
        <v>761</v>
      </c>
      <c r="D24" s="150">
        <f>SUM(D23)</f>
        <v>1279</v>
      </c>
    </row>
    <row r="25" spans="1:4" s="75" customFormat="1" ht="15">
      <c r="A25" s="164">
        <v>19</v>
      </c>
      <c r="B25" s="1035" t="s">
        <v>977</v>
      </c>
      <c r="C25" s="1036"/>
      <c r="D25" s="1037"/>
    </row>
    <row r="26" spans="1:4" s="75" customFormat="1" ht="15">
      <c r="A26" s="164">
        <v>20</v>
      </c>
      <c r="B26" s="130" t="s">
        <v>593</v>
      </c>
      <c r="C26" s="553" t="s">
        <v>1047</v>
      </c>
      <c r="D26" s="12">
        <v>60</v>
      </c>
    </row>
    <row r="27" spans="1:4" s="75" customFormat="1" ht="15">
      <c r="A27" s="164">
        <v>21</v>
      </c>
      <c r="B27" s="759" t="s">
        <v>593</v>
      </c>
      <c r="C27" s="758" t="s">
        <v>1018</v>
      </c>
      <c r="D27" s="12">
        <v>110</v>
      </c>
    </row>
    <row r="28" spans="1:4" s="75" customFormat="1" ht="15">
      <c r="A28" s="164">
        <v>22</v>
      </c>
      <c r="B28" s="759" t="s">
        <v>593</v>
      </c>
      <c r="C28" s="758" t="s">
        <v>1019</v>
      </c>
      <c r="D28" s="12">
        <v>22</v>
      </c>
    </row>
    <row r="29" spans="1:4" s="75" customFormat="1" ht="15">
      <c r="A29" s="164">
        <v>23</v>
      </c>
      <c r="B29" s="759" t="s">
        <v>593</v>
      </c>
      <c r="C29" s="758" t="s">
        <v>1020</v>
      </c>
      <c r="D29" s="12">
        <v>88</v>
      </c>
    </row>
    <row r="30" spans="1:4" s="75" customFormat="1" ht="15">
      <c r="A30" s="164">
        <v>24</v>
      </c>
      <c r="B30" s="759" t="s">
        <v>593</v>
      </c>
      <c r="C30" s="758" t="s">
        <v>1021</v>
      </c>
      <c r="D30" s="12">
        <v>150</v>
      </c>
    </row>
    <row r="31" spans="1:4" s="75" customFormat="1" ht="15">
      <c r="A31" s="164">
        <v>25</v>
      </c>
      <c r="B31" s="759" t="s">
        <v>593</v>
      </c>
      <c r="C31" s="758" t="s">
        <v>1048</v>
      </c>
      <c r="D31" s="12">
        <v>2000</v>
      </c>
    </row>
    <row r="32" spans="1:4" s="75" customFormat="1" ht="15">
      <c r="A32" s="164">
        <v>26</v>
      </c>
      <c r="B32" s="551"/>
      <c r="C32" s="24" t="s">
        <v>978</v>
      </c>
      <c r="D32" s="150">
        <f>SUM(D26:D31)</f>
        <v>2430</v>
      </c>
    </row>
    <row r="33" spans="1:4" s="7" customFormat="1" ht="15" thickBot="1">
      <c r="A33" s="164">
        <v>27</v>
      </c>
      <c r="B33" s="25" t="s">
        <v>579</v>
      </c>
      <c r="C33" s="25"/>
      <c r="D33" s="15">
        <f>SUM(D32+D24+D21)</f>
        <v>24070</v>
      </c>
    </row>
    <row r="34" spans="1:4" ht="15">
      <c r="A34" s="703">
        <v>28</v>
      </c>
      <c r="B34" s="1038" t="s">
        <v>591</v>
      </c>
      <c r="C34" s="1038"/>
      <c r="D34" s="1039"/>
    </row>
    <row r="35" spans="1:4" s="22" customFormat="1" ht="15">
      <c r="A35" s="164">
        <v>29</v>
      </c>
      <c r="B35" s="202" t="s">
        <v>679</v>
      </c>
      <c r="C35" s="23"/>
      <c r="D35" s="13"/>
    </row>
    <row r="36" spans="1:4" s="22" customFormat="1" ht="15">
      <c r="A36" s="164">
        <v>30</v>
      </c>
      <c r="B36" s="130" t="s">
        <v>593</v>
      </c>
      <c r="C36" s="603" t="s">
        <v>968</v>
      </c>
      <c r="D36" s="12">
        <v>300</v>
      </c>
    </row>
    <row r="37" spans="1:4" s="22" customFormat="1" ht="15">
      <c r="A37" s="164">
        <v>31</v>
      </c>
      <c r="B37" s="162"/>
      <c r="C37" s="8" t="s">
        <v>610</v>
      </c>
      <c r="D37" s="46">
        <f>SUM(D34:D36)</f>
        <v>300</v>
      </c>
    </row>
    <row r="38" spans="1:4" s="75" customFormat="1" ht="15">
      <c r="A38" s="164">
        <v>32</v>
      </c>
      <c r="B38" s="1035" t="s">
        <v>977</v>
      </c>
      <c r="C38" s="1036"/>
      <c r="D38" s="1037"/>
    </row>
    <row r="39" spans="1:7" s="756" customFormat="1" ht="15">
      <c r="A39" s="164">
        <v>33</v>
      </c>
      <c r="B39" s="753" t="s">
        <v>593</v>
      </c>
      <c r="C39" s="754" t="s">
        <v>1049</v>
      </c>
      <c r="D39" s="755">
        <v>952</v>
      </c>
      <c r="G39" s="757"/>
    </row>
    <row r="40" spans="1:4" s="75" customFormat="1" ht="15">
      <c r="A40" s="164">
        <v>34</v>
      </c>
      <c r="B40" s="551"/>
      <c r="C40" s="24" t="s">
        <v>978</v>
      </c>
      <c r="D40" s="150">
        <f>SUM(D39)</f>
        <v>952</v>
      </c>
    </row>
    <row r="41" spans="1:4" ht="15.75" thickBot="1">
      <c r="A41" s="164">
        <v>35</v>
      </c>
      <c r="B41" s="161" t="s">
        <v>579</v>
      </c>
      <c r="C41" s="25"/>
      <c r="D41" s="17">
        <f>SUM(D37+D40)</f>
        <v>1252</v>
      </c>
    </row>
    <row r="42" spans="1:4" ht="15">
      <c r="A42" s="164">
        <v>36</v>
      </c>
      <c r="B42" s="1038" t="s">
        <v>234</v>
      </c>
      <c r="C42" s="1038"/>
      <c r="D42" s="1039"/>
    </row>
    <row r="43" spans="1:4" s="22" customFormat="1" ht="15">
      <c r="A43" s="164">
        <v>37</v>
      </c>
      <c r="B43" s="26" t="s">
        <v>679</v>
      </c>
      <c r="C43" s="23"/>
      <c r="D43" s="16"/>
    </row>
    <row r="44" spans="1:4" s="22" customFormat="1" ht="15">
      <c r="A44" s="164">
        <v>38</v>
      </c>
      <c r="B44" s="130" t="s">
        <v>593</v>
      </c>
      <c r="C44" s="554" t="s">
        <v>659</v>
      </c>
      <c r="D44" s="14">
        <v>398</v>
      </c>
    </row>
    <row r="45" spans="1:4" s="7" customFormat="1" ht="15" thickBot="1">
      <c r="A45" s="164">
        <v>39</v>
      </c>
      <c r="B45" s="27" t="s">
        <v>579</v>
      </c>
      <c r="C45" s="25"/>
      <c r="D45" s="18">
        <f>SUM(D44:D44)</f>
        <v>398</v>
      </c>
    </row>
    <row r="46" spans="1:4" ht="15" hidden="1">
      <c r="A46" s="164">
        <v>40</v>
      </c>
      <c r="B46" s="1038" t="s">
        <v>660</v>
      </c>
      <c r="C46" s="1038"/>
      <c r="D46" s="1039"/>
    </row>
    <row r="47" spans="1:4" s="22" customFormat="1" ht="15" hidden="1">
      <c r="A47" s="164">
        <v>41</v>
      </c>
      <c r="B47" s="130"/>
      <c r="C47" s="48"/>
      <c r="D47" s="47"/>
    </row>
    <row r="48" spans="1:4" s="7" customFormat="1" ht="15" hidden="1" thickBot="1">
      <c r="A48" s="164">
        <v>42</v>
      </c>
      <c r="B48" s="27" t="s">
        <v>579</v>
      </c>
      <c r="C48" s="25"/>
      <c r="D48" s="18">
        <f>SUM(D47:D47)</f>
        <v>0</v>
      </c>
    </row>
    <row r="49" spans="1:4" ht="15.75" thickBot="1">
      <c r="A49" s="165">
        <v>40</v>
      </c>
      <c r="B49" s="1038" t="s">
        <v>661</v>
      </c>
      <c r="C49" s="1038"/>
      <c r="D49" s="1039"/>
    </row>
    <row r="50" spans="1:4" ht="15">
      <c r="A50" s="164">
        <v>41</v>
      </c>
      <c r="B50" s="26" t="s">
        <v>679</v>
      </c>
      <c r="C50" s="149"/>
      <c r="D50" s="147"/>
    </row>
    <row r="51" spans="1:4" ht="15">
      <c r="A51" s="164">
        <v>42</v>
      </c>
      <c r="B51" s="130" t="s">
        <v>593</v>
      </c>
      <c r="C51" s="131" t="s">
        <v>858</v>
      </c>
      <c r="D51" s="694">
        <v>40540</v>
      </c>
    </row>
    <row r="52" spans="1:4" ht="30">
      <c r="A52" s="164">
        <v>43</v>
      </c>
      <c r="B52" s="130" t="s">
        <v>593</v>
      </c>
      <c r="C52" s="131" t="s">
        <v>922</v>
      </c>
      <c r="D52" s="636">
        <v>329</v>
      </c>
    </row>
    <row r="53" spans="1:4" s="7" customFormat="1" ht="15" thickBot="1">
      <c r="A53" s="164">
        <v>44</v>
      </c>
      <c r="B53" s="27" t="s">
        <v>579</v>
      </c>
      <c r="C53" s="25"/>
      <c r="D53" s="18">
        <f>SUM(D51:D52)</f>
        <v>40869</v>
      </c>
    </row>
    <row r="54" spans="1:4" ht="21" customHeight="1" thickBot="1">
      <c r="A54" s="165">
        <v>45</v>
      </c>
      <c r="B54" s="163" t="s">
        <v>580</v>
      </c>
      <c r="C54" s="27"/>
      <c r="D54" s="18">
        <f>SUM(D53+D45+D41+D33)</f>
        <v>66589</v>
      </c>
    </row>
    <row r="56" ht="21" customHeight="1"/>
    <row r="58" spans="2:4" ht="15">
      <c r="B58" s="1043"/>
      <c r="C58" s="1043"/>
      <c r="D58" s="1043"/>
    </row>
    <row r="60" ht="15">
      <c r="H60" s="129"/>
    </row>
  </sheetData>
  <sheetProtection/>
  <mergeCells count="14">
    <mergeCell ref="B49:D49"/>
    <mergeCell ref="B58:D58"/>
    <mergeCell ref="B25:D25"/>
    <mergeCell ref="C1:D1"/>
    <mergeCell ref="B4:D4"/>
    <mergeCell ref="B42:D42"/>
    <mergeCell ref="B3:D3"/>
    <mergeCell ref="B6:C6"/>
    <mergeCell ref="B38:D38"/>
    <mergeCell ref="B34:D34"/>
    <mergeCell ref="B7:C7"/>
    <mergeCell ref="B22:D22"/>
    <mergeCell ref="A6:A7"/>
    <mergeCell ref="B46:D4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E31"/>
  <sheetViews>
    <sheetView zoomScalePageLayoutView="0" workbookViewId="0" topLeftCell="A1">
      <selection activeCell="C2" sqref="C2"/>
    </sheetView>
  </sheetViews>
  <sheetFormatPr defaultColWidth="8.875" defaultRowHeight="12.75"/>
  <cols>
    <col min="1" max="1" width="4.125" style="133" bestFit="1" customWidth="1"/>
    <col min="2" max="2" width="2.375" style="89" customWidth="1"/>
    <col min="3" max="3" width="59.25390625" style="89" customWidth="1"/>
    <col min="4" max="4" width="13.75390625" style="89" customWidth="1"/>
    <col min="5" max="16384" width="8.875" style="89" customWidth="1"/>
  </cols>
  <sheetData>
    <row r="1" spans="3:5" ht="15">
      <c r="C1" s="826" t="s">
        <v>1059</v>
      </c>
      <c r="D1" s="930"/>
      <c r="E1" s="127"/>
    </row>
    <row r="2" spans="3:5" ht="15">
      <c r="C2" s="5"/>
      <c r="D2" s="127"/>
      <c r="E2" s="127"/>
    </row>
    <row r="3" spans="2:4" ht="15">
      <c r="B3" s="1050" t="s">
        <v>594</v>
      </c>
      <c r="C3" s="1050"/>
      <c r="D3" s="1050"/>
    </row>
    <row r="4" spans="2:4" ht="15">
      <c r="B4" s="1050" t="s">
        <v>680</v>
      </c>
      <c r="C4" s="1050"/>
      <c r="D4" s="1050"/>
    </row>
    <row r="5" spans="2:4" ht="15">
      <c r="B5" s="91"/>
      <c r="C5" s="91"/>
      <c r="D5" s="91"/>
    </row>
    <row r="6" ht="15">
      <c r="D6" s="90" t="s">
        <v>582</v>
      </c>
    </row>
    <row r="7" spans="1:4" s="92" customFormat="1" ht="21" customHeight="1">
      <c r="A7" s="1047" t="s">
        <v>669</v>
      </c>
      <c r="B7" s="1051" t="s">
        <v>576</v>
      </c>
      <c r="C7" s="1051"/>
      <c r="D7" s="135" t="s">
        <v>592</v>
      </c>
    </row>
    <row r="8" spans="1:4" s="132" customFormat="1" ht="12">
      <c r="A8" s="1048"/>
      <c r="B8" s="1052" t="s">
        <v>663</v>
      </c>
      <c r="C8" s="1053"/>
      <c r="D8" s="134" t="s">
        <v>664</v>
      </c>
    </row>
    <row r="9" spans="1:4" s="92" customFormat="1" ht="25.5" customHeight="1">
      <c r="A9" s="134">
        <v>1</v>
      </c>
      <c r="B9" s="94" t="s">
        <v>606</v>
      </c>
      <c r="C9" s="93"/>
      <c r="D9" s="141"/>
    </row>
    <row r="10" spans="1:4" ht="15">
      <c r="A10" s="134">
        <v>2</v>
      </c>
      <c r="B10" s="136"/>
      <c r="C10" s="131" t="s">
        <v>670</v>
      </c>
      <c r="D10" s="137">
        <v>1000</v>
      </c>
    </row>
    <row r="11" spans="1:4" s="92" customFormat="1" ht="15.75" customHeight="1">
      <c r="A11" s="134">
        <v>3</v>
      </c>
      <c r="B11" s="94" t="s">
        <v>579</v>
      </c>
      <c r="C11" s="94"/>
      <c r="D11" s="138">
        <f>SUM(D10:D10)</f>
        <v>1000</v>
      </c>
    </row>
    <row r="12" spans="1:4" s="92" customFormat="1" ht="6" customHeight="1">
      <c r="A12" s="140"/>
      <c r="B12" s="139"/>
      <c r="C12" s="139"/>
      <c r="D12" s="141"/>
    </row>
    <row r="13" spans="1:4" s="92" customFormat="1" ht="25.5" customHeight="1">
      <c r="A13" s="134">
        <v>4</v>
      </c>
      <c r="B13" s="1049" t="s">
        <v>605</v>
      </c>
      <c r="C13" s="1049"/>
      <c r="D13" s="1049"/>
    </row>
    <row r="14" spans="1:4" s="92" customFormat="1" ht="15">
      <c r="A14" s="134">
        <v>5</v>
      </c>
      <c r="B14" s="136"/>
      <c r="C14" s="131" t="s">
        <v>923</v>
      </c>
      <c r="D14" s="137">
        <v>0</v>
      </c>
    </row>
    <row r="15" spans="1:4" s="92" customFormat="1" ht="30">
      <c r="A15" s="134">
        <v>6</v>
      </c>
      <c r="B15" s="136"/>
      <c r="C15" s="131" t="s">
        <v>924</v>
      </c>
      <c r="D15" s="137">
        <v>200</v>
      </c>
    </row>
    <row r="16" spans="1:4" s="92" customFormat="1" ht="30">
      <c r="A16" s="134">
        <v>7</v>
      </c>
      <c r="B16" s="136"/>
      <c r="C16" s="131" t="s">
        <v>979</v>
      </c>
      <c r="D16" s="137">
        <v>3700</v>
      </c>
    </row>
    <row r="17" spans="1:4" ht="15.75" customHeight="1">
      <c r="A17" s="134">
        <v>8</v>
      </c>
      <c r="B17" s="94" t="s">
        <v>579</v>
      </c>
      <c r="C17" s="94"/>
      <c r="D17" s="138">
        <f>SUM(D14:D16)</f>
        <v>3900</v>
      </c>
    </row>
    <row r="18" spans="1:4" s="92" customFormat="1" ht="7.5" customHeight="1">
      <c r="A18" s="140"/>
      <c r="B18" s="139"/>
      <c r="C18" s="139"/>
      <c r="D18" s="141"/>
    </row>
    <row r="19" spans="1:4" s="92" customFormat="1" ht="25.5" customHeight="1">
      <c r="A19" s="134">
        <v>9</v>
      </c>
      <c r="B19" s="94" t="s">
        <v>704</v>
      </c>
      <c r="C19" s="93"/>
      <c r="D19" s="141"/>
    </row>
    <row r="20" spans="1:4" ht="15">
      <c r="A20" s="134">
        <v>10</v>
      </c>
      <c r="B20" s="136"/>
      <c r="C20" s="131" t="s">
        <v>705</v>
      </c>
      <c r="D20" s="137">
        <v>1000</v>
      </c>
    </row>
    <row r="21" spans="1:4" s="92" customFormat="1" ht="15.75" customHeight="1">
      <c r="A21" s="134">
        <v>11</v>
      </c>
      <c r="B21" s="94" t="s">
        <v>579</v>
      </c>
      <c r="C21" s="94"/>
      <c r="D21" s="138">
        <f>SUM(D20:D20)</f>
        <v>1000</v>
      </c>
    </row>
    <row r="22" spans="1:4" s="92" customFormat="1" ht="7.5" customHeight="1">
      <c r="A22" s="140"/>
      <c r="B22" s="139"/>
      <c r="C22" s="139"/>
      <c r="D22" s="141"/>
    </row>
    <row r="23" spans="1:4" ht="15.75" customHeight="1">
      <c r="A23" s="134">
        <v>12</v>
      </c>
      <c r="B23" s="94" t="s">
        <v>608</v>
      </c>
      <c r="C23" s="94"/>
      <c r="D23" s="138">
        <f>SUM(D11,D17,D21)</f>
        <v>5900</v>
      </c>
    </row>
    <row r="24" spans="1:4" s="92" customFormat="1" ht="8.25" customHeight="1">
      <c r="A24" s="140"/>
      <c r="B24" s="139"/>
      <c r="C24" s="139"/>
      <c r="D24" s="141"/>
    </row>
    <row r="25" spans="1:4" s="92" customFormat="1" ht="25.5" customHeight="1">
      <c r="A25" s="134">
        <v>13</v>
      </c>
      <c r="B25" s="1049" t="s">
        <v>588</v>
      </c>
      <c r="C25" s="1049"/>
      <c r="D25" s="1049"/>
    </row>
    <row r="26" spans="1:4" s="92" customFormat="1" ht="45.75" customHeight="1">
      <c r="A26" s="134">
        <v>14</v>
      </c>
      <c r="B26" s="641"/>
      <c r="C26" s="131" t="s">
        <v>922</v>
      </c>
      <c r="D26" s="137">
        <v>329</v>
      </c>
    </row>
    <row r="27" spans="1:4" s="92" customFormat="1" ht="57.75" customHeight="1">
      <c r="A27" s="134">
        <v>15</v>
      </c>
      <c r="B27" s="136"/>
      <c r="C27" s="131" t="s">
        <v>1050</v>
      </c>
      <c r="D27" s="137">
        <v>40540</v>
      </c>
    </row>
    <row r="28" spans="1:4" s="92" customFormat="1" ht="6.75" customHeight="1">
      <c r="A28" s="134"/>
      <c r="B28" s="136"/>
      <c r="C28" s="131"/>
      <c r="D28" s="137"/>
    </row>
    <row r="29" spans="1:4" ht="15.75" customHeight="1">
      <c r="A29" s="134">
        <v>16</v>
      </c>
      <c r="B29" s="94" t="s">
        <v>609</v>
      </c>
      <c r="C29" s="94"/>
      <c r="D29" s="138">
        <f>SUM(D26:D28)</f>
        <v>40869</v>
      </c>
    </row>
    <row r="30" spans="1:4" s="92" customFormat="1" ht="6.75" customHeight="1">
      <c r="A30" s="140"/>
      <c r="B30" s="139"/>
      <c r="C30" s="139"/>
      <c r="D30" s="141"/>
    </row>
    <row r="31" spans="1:4" ht="15.75" customHeight="1">
      <c r="A31" s="134">
        <v>17</v>
      </c>
      <c r="B31" s="94" t="s">
        <v>607</v>
      </c>
      <c r="C31" s="94"/>
      <c r="D31" s="138">
        <f>SUM(D29,D23)</f>
        <v>46769</v>
      </c>
    </row>
  </sheetData>
  <sheetProtection/>
  <mergeCells count="8">
    <mergeCell ref="A7:A8"/>
    <mergeCell ref="B25:D25"/>
    <mergeCell ref="B13:D13"/>
    <mergeCell ref="C1:D1"/>
    <mergeCell ref="B3:D3"/>
    <mergeCell ref="B7:C7"/>
    <mergeCell ref="B4:D4"/>
    <mergeCell ref="B8:C8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OTP Bank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Tóth Erika</cp:lastModifiedBy>
  <cp:lastPrinted>2016-02-05T10:12:43Z</cp:lastPrinted>
  <dcterms:created xsi:type="dcterms:W3CDTF">2001-11-30T10:27:10Z</dcterms:created>
  <dcterms:modified xsi:type="dcterms:W3CDTF">2016-02-11T15:10:29Z</dcterms:modified>
  <cp:category/>
  <cp:version/>
  <cp:contentType/>
  <cp:contentStatus/>
</cp:coreProperties>
</file>