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60" windowWidth="7680" windowHeight="8685" tabRatio="895" activeTab="0"/>
  </bookViews>
  <sheets>
    <sheet name="1.bevételek" sheetId="1" r:id="rId1"/>
    <sheet name="2.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felhki" sheetId="7" r:id="rId7"/>
    <sheet name="8.tart" sheetId="8" r:id="rId8"/>
    <sheet name="9.Stab.tv. saját bev." sheetId="9" r:id="rId9"/>
    <sheet name="10.EU projektek" sheetId="10" r:id="rId10"/>
    <sheet name="11. Közp-i kv. tám" sheetId="11" r:id="rId11"/>
  </sheets>
  <definedNames>
    <definedName name="_xlnm.Print_Titles" localSheetId="0">'1.bevételek'!$B:$B,'1.bevételek'!$5:$5</definedName>
    <definedName name="_xlnm.Print_Titles" localSheetId="9">'10.EU projektek'!$8:$11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megbontása'!$4:$8</definedName>
    <definedName name="_xlnm.Print_Titles" localSheetId="6">'7.felhki'!$5:$6</definedName>
    <definedName name="_xlnm.Print_Titles" localSheetId="7">'8.tart'!$7:$8</definedName>
    <definedName name="_xlnm.Print_Area" localSheetId="0">'1.bevételek'!$A$1:$F$201</definedName>
    <definedName name="_xlnm.Print_Area" localSheetId="9">'10.EU projektek'!$A$1:$J$130</definedName>
    <definedName name="_xlnm.Print_Area" localSheetId="10">'11. Közp-i kv. tám'!$A$1:$L$44</definedName>
    <definedName name="_xlnm.Print_Area" localSheetId="1">'2.kiadások'!$A$1:$F$52</definedName>
    <definedName name="_xlnm.Print_Area" localSheetId="3">'4.önkorm.szakf. '!$C$1:$Y$60</definedName>
    <definedName name="_xlnm.Print_Area" localSheetId="4">'5. kiadások megbontása'!$A$1:$M$89</definedName>
    <definedName name="_xlnm.Print_Area" localSheetId="5">'6. források sz. bontás'!$A$1:$AC$75</definedName>
    <definedName name="_xlnm.Print_Area" localSheetId="6">'7.felhki'!$A$1:$D$68</definedName>
    <definedName name="_xlnm.Print_Area" localSheetId="7">'8.tart'!$A$1:$D$73</definedName>
  </definedNames>
  <calcPr fullCalcOnLoad="1"/>
</workbook>
</file>

<file path=xl/sharedStrings.xml><?xml version="1.0" encoding="utf-8"?>
<sst xmlns="http://schemas.openxmlformats.org/spreadsheetml/2006/main" count="1482" uniqueCount="965">
  <si>
    <t>3.3. Felh. c. visszatérítendő támogatások, kölcs. törlesztése állh.-on belülre</t>
  </si>
  <si>
    <t>3.4. Felh. c. támogatásértékű kiadások</t>
  </si>
  <si>
    <t>3.5. Felh. c. garancia- és kezességváll.-ból szárm. kif. állh.-on kívülre</t>
  </si>
  <si>
    <t>3.6. Felh. c. visszatérítendő támogatások, kölcs. nyújtása állh.-on kívülre</t>
  </si>
  <si>
    <t>3.8. Felh. c. pénzeszközátadások állh.-on kívülre</t>
  </si>
  <si>
    <t>3.9. Felh. c. céltartalék</t>
  </si>
  <si>
    <t>3.10. Befektetési kiadások</t>
  </si>
  <si>
    <t>A. KÖLTSÉGVETÉSI KIADÁSOK (I.+II.)</t>
  </si>
  <si>
    <t>1.2. Felügyeleti jell. tevékenység díja</t>
  </si>
  <si>
    <t>1.6. Bírságbevételek</t>
  </si>
  <si>
    <t>1.7. Egyéb közhatalmi bevételek</t>
  </si>
  <si>
    <t>2. Intézményi működési bevételek</t>
  </si>
  <si>
    <t>2.1. Egyéb saját működési bevételek</t>
  </si>
  <si>
    <t>2.2. Működési célú Áfa-bevételek, -visszatérülések</t>
  </si>
  <si>
    <t>2.3. Működési célú hozam- és kamatbevételek</t>
  </si>
  <si>
    <t>3. Működési célú támogatás állh.-on belülről</t>
  </si>
  <si>
    <t>3.1. Önkormányzat működési célú költségvetési támogatása</t>
  </si>
  <si>
    <t>A települési önkormányzatok működésének támogatása</t>
  </si>
  <si>
    <t>Óvodapedagógusok és közv. segítők bértámogatása</t>
  </si>
  <si>
    <t>Ingyenes és kedvezményes gyermekétkezetetés támogatása</t>
  </si>
  <si>
    <t>Kéleshalom önk. hozzájárulás óvodai ellátáshoz</t>
  </si>
  <si>
    <t>Szerkezetátalakítási tartalék (beszám.összeg diff.vp.)</t>
  </si>
  <si>
    <t>Szerkezetátalakítási tartalék (gyermekétkeztetés)</t>
  </si>
  <si>
    <t>Közművelődési érdekeltségnövelő támogatás</t>
  </si>
  <si>
    <t>Könyvtári érdekeltségnövelő támogatás</t>
  </si>
  <si>
    <t>Sportcsarnok energetikai beruh. EU tám.</t>
  </si>
  <si>
    <t>Hunyadi Isk. közüzemi díj túlfiz. vtér.</t>
  </si>
  <si>
    <t>Hunyadi Isk. TÁMOP projekt bankszla-n maradó összeg</t>
  </si>
  <si>
    <t>Kukorica értékesítés</t>
  </si>
  <si>
    <t>Szennyv. ber. közb. dokumentáció ÁFA-val</t>
  </si>
  <si>
    <t>Adósságkonszolidáció</t>
  </si>
  <si>
    <t>Gyámhivatal közüzemi díj továbbszáml. bev</t>
  </si>
  <si>
    <t>2012. évi Egységes területalapú támogatás (SAPS)</t>
  </si>
  <si>
    <t>Rendezvények reklámbevételei</t>
  </si>
  <si>
    <t>2012.dec.3-2013.febr. 28. időszakban 26 fő napi 6 órás téli közfoglalk.kapcsán igényelhető támogatás</t>
  </si>
  <si>
    <t xml:space="preserve">Társulás ált. fennt. óvodákba bejáró gyerm. utaztatásának tám. </t>
  </si>
  <si>
    <t>Könyvtári, közművelődési és múzeumi feladatok támogatása</t>
  </si>
  <si>
    <t>Központosított működési célú előirányzatok</t>
  </si>
  <si>
    <t>Működőképesség megőrzését szolgáló kiegészítő támogatás</t>
  </si>
  <si>
    <t>Szerkezetátalakítási tartalék</t>
  </si>
  <si>
    <t>A tartósan fizetésképtelen helyzetbe került helyi önk-ok adósságren-dezésére irányuló hitelfelvétel visszterhes kamattámogatása, a pénzügyi gondnok díja</t>
  </si>
  <si>
    <t>2. Felhalmozási célú támogatások állh.-on belülről</t>
  </si>
  <si>
    <t>2.1. Önkormányzat felh. célú költségvetési támogatása</t>
  </si>
  <si>
    <t>Központosított felh. célú előirányzatok</t>
  </si>
  <si>
    <t xml:space="preserve"> Címzett támogatás</t>
  </si>
  <si>
    <t>Céltámogatás</t>
  </si>
  <si>
    <t>Vis maior támogatás</t>
  </si>
  <si>
    <t>Jánoshalmi Polgármesteri Hivatal</t>
  </si>
  <si>
    <t>Jh.-i Polgármesteri Hivatal</t>
  </si>
  <si>
    <t>Jh.-i Polgárm. Hiv. kiadásai össz.:</t>
  </si>
  <si>
    <t>Jánoshalma Városi Önkormányzat</t>
  </si>
  <si>
    <t>Infrastrukt. fejlesztések a min. oktatás megteremtése céljából a jánoshalmi általános iskolában  (DAOP-4.2.1/B-09-2010-0011)</t>
  </si>
  <si>
    <t>Egyéb felh. célú központi támogatás</t>
  </si>
  <si>
    <t>2.2. Felh. c. gar. és kezv.-ból szárm. megtérülés állh-on belülről</t>
  </si>
  <si>
    <t>2.3. Felh. c. visszatérítendő tám., kölcs. megtérülés állh. belül</t>
  </si>
  <si>
    <t>F.c. tám., kölcs. megtérülés központi költségvetési szervtől</t>
  </si>
  <si>
    <t>F.c. tám., kölcs. megtérülés fejezeti kez.ei.-tól EU-s pr. és társfin.</t>
  </si>
  <si>
    <t xml:space="preserve">F.c. tám., kölcs. megtérülés egyéb fejezeti kez.ei.-tól </t>
  </si>
  <si>
    <t>F.c. tám., kölcs. megtérülés TB pü-i alapjaitól</t>
  </si>
  <si>
    <t>F.c. tám., kölcs. megtérülés elkülönített állami pénzalaptól</t>
  </si>
  <si>
    <t>F.c. tám., kölcs. megtérülés helyi  önk-tól és ktgvet. szerveitől</t>
  </si>
  <si>
    <t>F.c. tám., kölcs. megtérülés társulásoktól és ktgvet. szerveitől</t>
  </si>
  <si>
    <t xml:space="preserve">F.c. tám., kölcs. megtérülés nemz. önk-tól és ktgvet. szerveitől </t>
  </si>
  <si>
    <t>353/2011. (XII. 30.) Korm. rendelet 2.§ (1) bek. szerinti saját bevétel összege az adósságot keletkeztető ügyletek futamidejének végéig</t>
  </si>
  <si>
    <t>Időszak</t>
  </si>
  <si>
    <t>Az önkormányzat saját bevételének típusa</t>
  </si>
  <si>
    <t>1. helyi adóból származó bevétel</t>
  </si>
  <si>
    <t>2. önkormányzati  vagyon és az önkormányzatot megillető vagyoni értékű jog értékesítéséből és hasznosításából származó bevétel</t>
  </si>
  <si>
    <t>3. osztalék, koncessziós díj és hozambevétel</t>
  </si>
  <si>
    <t>4. tárgyi eszköz és az immateriális jószág, részvény, részesedés, vállalat értékesítéséből vagy privatizációból származó bevétel</t>
  </si>
  <si>
    <t>5. bírság-, pótlék- és díjbevétel</t>
  </si>
  <si>
    <t>6. kezességvállalással kapcsolatos megtérülés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</si>
  <si>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</si>
  <si>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</si>
  <si>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</si>
  <si>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</si>
  <si>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</si>
  <si>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</si>
  <si>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</si>
  <si>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</si>
  <si>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</si>
  <si>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</si>
  <si>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</si>
  <si>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</si>
  <si>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</si>
  <si>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</si>
  <si>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F.c. tám., kölcs. megtérülés térségi fejl. tanácstól és ktgvet. sz-től</t>
  </si>
  <si>
    <t>2.4. Felh. c. támogatásértékű bevételek</t>
  </si>
  <si>
    <t>F.c. támogatásértékű bevétel központi költségvetési szervtől</t>
  </si>
  <si>
    <t>F.c. támogatásértékű bevétel fejezeti kez.ei.-tól EU-s pr. és társfin.</t>
  </si>
  <si>
    <t xml:space="preserve">F.c. támogatásértékű bevétel egyéb fejezeti kez.ei.-tól </t>
  </si>
  <si>
    <t>F.c. támogatásértékű bevétel központi kezelésű ei-ból</t>
  </si>
  <si>
    <t>F.c. támogatásértékű bevétel  TB-alaptól</t>
  </si>
  <si>
    <t>F.c. támogatásértékű bevétel elkülönített állami pénzalaptól</t>
  </si>
  <si>
    <t>F.c. támogatásértékű bevétel helyi  önk-tól és ktgvet. szerveitől</t>
  </si>
  <si>
    <t>F.c. támogatásértékű bevétel társulásoktól és ktgvet. szerveitől</t>
  </si>
  <si>
    <t xml:space="preserve">F.c. támogatásértékű bevétel nemz. önk-tól és ktgvet. szerveitől </t>
  </si>
  <si>
    <t>F.c. támogatásértékű bevétel térségi fejl. tanácstól és ktgvet. sz-től</t>
  </si>
  <si>
    <t>3. Felhalmozási célú átvett pénzeszközök</t>
  </si>
  <si>
    <t>3.1. Felh. c. gar. és kezv.-ból szárm. megtérülés állh-on kívülről</t>
  </si>
  <si>
    <t xml:space="preserve">2013. évre tervezett  költségvetési kiadások kötelező-, önként vállalt-, és állami (államigazgatási) feladatok szerinti bontásban </t>
  </si>
  <si>
    <t>2013. költségvetésben tervezett, EU-forrásból finanszírozott  támogatással megvalósuló projektek kiadásai, a helyi önkormányzat ilyen projektekhez történő hozzájárulásai</t>
  </si>
  <si>
    <t>Mötv. 13.§(1)2.11. 9.12.18</t>
  </si>
  <si>
    <t>Áht. 57/A.§</t>
  </si>
  <si>
    <t>Mötv. 13.§(1) 16.</t>
  </si>
  <si>
    <t>FHT-ra jogosultak hossz. id. közfogl.</t>
  </si>
  <si>
    <t>3.2. Felh. c. visszatérítendő tám., kölcs. visszatér. állh. kívülről</t>
  </si>
  <si>
    <t>F.c. tám., kölcs. visszatérülés egyházaktól</t>
  </si>
  <si>
    <t>F.c. tám., kölcs. visszatérülés nonprofit és egyéb civil sz-től</t>
  </si>
  <si>
    <t>F.c. tám., kölcs. visszatérülés háztartásoktól</t>
  </si>
  <si>
    <t>F.c. tám., kölcs. visszatérülés pü-i vállalkozásoktól</t>
  </si>
  <si>
    <t>F.c. tám., kölcs. visszatérülés áll-i többs. tul. nem pü-i vállalk-tól</t>
  </si>
  <si>
    <t>F.c. tám., kölcs. visszatérülés önk-i többs. tul. nem pü-i vállalk-tól</t>
  </si>
  <si>
    <t>Bútor beszerzés</t>
  </si>
  <si>
    <t>2012. évi CLXXXVIII. tv.</t>
  </si>
  <si>
    <t>2012. évi CLXXXVIII. törvény a köznevelési feladatot ellátó egyes önkormányzati fenntartású intézmények állami fenntartásba vételéről</t>
  </si>
  <si>
    <t>47</t>
  </si>
  <si>
    <t>Előző években képz. tartalék maradványa</t>
  </si>
  <si>
    <t>Költségv. bef. köt. többlettámog. miatt</t>
  </si>
  <si>
    <t>F.c. tám., kölcs. visszatérülés egyéb vállalkozásoktól</t>
  </si>
  <si>
    <t>F.c. tám., kölcs. visszatérülés egyéb külföldiektől</t>
  </si>
  <si>
    <t>3.3. Felh. c. pénzeszköz átvétel államháztartáson kívülről</t>
  </si>
  <si>
    <t>F.c. pénzeszközátvétel egyházaktól</t>
  </si>
  <si>
    <t>F.c. pénzeszközátvétel nonprofit és egyéb civil sz-től</t>
  </si>
  <si>
    <t>F.c. pénzeszközátvétel háztartásoktól</t>
  </si>
  <si>
    <t>F.c. pénzeszközátvétel pü-i vállalkozásoktól</t>
  </si>
  <si>
    <t>F.c. pénzeszközátvétel áll-i többs. tul. nem pü-i vállalk-tól</t>
  </si>
  <si>
    <t>F.c. pénzeszközátvétel önk-i többs. tul. nem pü-i vállalk-tól</t>
  </si>
  <si>
    <t>F.c. pénzeszközátvétel egyéb vállalkozásoktól</t>
  </si>
  <si>
    <t>F.c. pénzeszközátvétel Európai Uniótól</t>
  </si>
  <si>
    <t>F.c. pénzeszközátvétel kormányok és nemzetközi szuervezetektől</t>
  </si>
  <si>
    <t>F.c. pénzeszközátvétel egyéb külföldiektől</t>
  </si>
  <si>
    <t>Osztalék- és hozambevétel</t>
  </si>
  <si>
    <t>Egyéb működési célú központi támogatás</t>
  </si>
  <si>
    <t>3.2. Előző évi költségvetési kiegészítések, visszatérülések</t>
  </si>
  <si>
    <t>3.3. Műk. c. gar. és kezv.-ból szárm. megtérülés állh-on belülről</t>
  </si>
  <si>
    <t>M.c. tám., kölcs. megtérülés központi költségvetési szervtől</t>
  </si>
  <si>
    <t>M.c. tám., kölcs. megtérülés fejezeti kez.ei.-tól EU-s pr. és társfin.</t>
  </si>
  <si>
    <t xml:space="preserve">M.c. tám., kölcs. megtérülés egyéb fejezeti kez.ei.-tól </t>
  </si>
  <si>
    <t>M.c. tám., kölcs. megtérülés TB pü-i alapjaitól</t>
  </si>
  <si>
    <t>M.c. tám., kölcs. megtérülés elkülönített állami pénzalaptól</t>
  </si>
  <si>
    <t>M.c. tám., kölcs. megtérülés helyi  önk-tól és ktgvet. szerveitől</t>
  </si>
  <si>
    <t>M.c. tám., kölcs. megtérülés társulásoktól és ktgvet. szerveitől</t>
  </si>
  <si>
    <t>M.c. tám., kölcs. megtérülés térségi fejl. tanácstól és ktgvet. sz-től</t>
  </si>
  <si>
    <t>3.4. Műk. c. visszatérítendő tám., kölcs. megtérülés állh. belül</t>
  </si>
  <si>
    <t>3.5. Műk. c. támogatásértékű bevételek</t>
  </si>
  <si>
    <t>M.c. támogatásértékű bevétel központi költségvetési szervtől</t>
  </si>
  <si>
    <t>M.c. támogatásértékű bevétel fejezeti kez.ei.-tól EU-s pr. és társfin.</t>
  </si>
  <si>
    <t xml:space="preserve">M.c. támogatásértékű bevétel egyéb fejezeti kez.ei.-tól </t>
  </si>
  <si>
    <t>M.c. támogatásértékű bevétel  TB-alaptól</t>
  </si>
  <si>
    <t>M.c. támogatásértékű bevétel központi kezelésű ei-ból</t>
  </si>
  <si>
    <t>M.c. támogatásértékű bevétel elkülönített állami pénzalaptól</t>
  </si>
  <si>
    <t>M.c. támogatásértékű bevétel helyi  önk-tól és ktgvet. szerveitől</t>
  </si>
  <si>
    <t>M.c. támogatásértékű bevétel társulásoktól és ktgvet. szerveitől</t>
  </si>
  <si>
    <t xml:space="preserve">M.c. támogatásértékű bevétel nemz. önk-tól és ktgvet. szerveitől </t>
  </si>
  <si>
    <t xml:space="preserve">M.c. tám., kölcs. megtérülés nemz. önk-tól és ktgvet. szerveitől </t>
  </si>
  <si>
    <t>M.c. támogatásértékű bevétel térségi fejl. tanácstól és ktgvet. sz-től</t>
  </si>
  <si>
    <t>4. Működési célú átvett pénzeszközök</t>
  </si>
  <si>
    <t>4.1. Műk. c. gar. és kezv.-ból szárm. megtérülés állh-on kívülről</t>
  </si>
  <si>
    <t>4.2. Műk. c. visszatérítendő tám., kölcs. visszatér. állh. kívülről</t>
  </si>
  <si>
    <t xml:space="preserve">376/2012.(XII.13.) Kt. hat. Mitsubishi Pajero gépjármű megvás. Városgazda Kft-től </t>
  </si>
  <si>
    <t>1. melléklet a 4/2014.(II.21.) önkormányzati rendelethez</t>
  </si>
  <si>
    <t>2. melléklet a 4/2014.(II.21.) önkormányzati rendelethez</t>
  </si>
  <si>
    <t>3. melléklet a 4/2014.(II.21.) önkormányzati rendelethez</t>
  </si>
  <si>
    <t>4. melléklet a 4/2014.(II.21.) önkormányzati rendelethez</t>
  </si>
  <si>
    <t>5. melléklet a 4/2014.(II.21.) önkormányzati rendelethez</t>
  </si>
  <si>
    <t>6. melléklet a 4/2014.(II.21.) önkormányzati rendelethez</t>
  </si>
  <si>
    <t>7. melléklet a 4/2014.(II.21.) önkormányzati rendelethez</t>
  </si>
  <si>
    <t>8. melléklet a 4/2014.(II.21.) önkormányzati rendelethez</t>
  </si>
  <si>
    <t>9. melléklet a 4/2014. (II.21.) önkormányzati rendelethez</t>
  </si>
  <si>
    <t>10. melléklet a 4/2014. (II.21.) önkormányzati rendelethez</t>
  </si>
  <si>
    <t>11. melléklet a 4/2014. (II.21.) önkormányzati rendelethez</t>
  </si>
  <si>
    <t>Folyadék száll-ra szolg. közmű ép.</t>
  </si>
  <si>
    <t>Mötv. 13.§(1) 21.</t>
  </si>
  <si>
    <t>M.c. tám., kölcs. visszatérülés egyházaktól</t>
  </si>
  <si>
    <t>M.c. tám., kölcs. visszatérülés nonprofit és egyéb civil sz-től</t>
  </si>
  <si>
    <t>M.c. tám., kölcs. visszatérülés háztartásoktól</t>
  </si>
  <si>
    <t>Közművelődési érdekeltségnövelő támogatás átadása Lajtha L. Non-profit Kft. részére</t>
  </si>
  <si>
    <t>KEOP- 4.9.0/11-2011-0069 Sportcsarnok energetikai korszerűsítése projekthez EU forrás</t>
  </si>
  <si>
    <t>M.c. tám., kölcs. visszatérülés pü-i vállalkozásoktól</t>
  </si>
  <si>
    <t>M.c. tám., kölcs. visszatérülés áll-i többs. tul. nem pü-i vállalk-tól</t>
  </si>
  <si>
    <t>M.c. tám., kölcs. visszatérülés önk-i többs. tul. nem pü-i vállalk-tól</t>
  </si>
  <si>
    <t>M.c. tám., kölcs. visszatérülés egyéb vállalkozásoktól</t>
  </si>
  <si>
    <t>M.c. tám., kölcs. visszatérülés egyéb külföldiektől</t>
  </si>
  <si>
    <t>M.c. pénzeszközátvétel egyházaktól</t>
  </si>
  <si>
    <t>M.c. pénzeszközátvétel nonprofit és egyéb civil sz-től</t>
  </si>
  <si>
    <t>M.c. pénzeszközátvétel háztartásoktól</t>
  </si>
  <si>
    <t>M.c. pénzeszközátvétel pü-i vállalkozásoktól</t>
  </si>
  <si>
    <t>M.c. pénzeszközátvétel áll-i többs. tul. nem pü-i vállalk-tól</t>
  </si>
  <si>
    <t>M.c. pénzeszközátvétel önk-i többs. tul. nem pü-i vállalk-tól</t>
  </si>
  <si>
    <t>M.c. pénzeszközátvétel egyéb vállalkozásoktól</t>
  </si>
  <si>
    <t>M.c. pénzeszközátvétel egyéb külföldiektől</t>
  </si>
  <si>
    <t>M.c. pénzeszközátvétel Európai Uniótól</t>
  </si>
  <si>
    <t>M.c. pénzeszközátvétel kormányok és nemzetközi szuervezetektől</t>
  </si>
  <si>
    <t>4.3. Műk. c. pénzeszköz átvétel államháztartáson kívülről</t>
  </si>
  <si>
    <t>1. Felhalmozási bevételek</t>
  </si>
  <si>
    <t>Beruházási kiadásokhoz kapcsolódó ÁFA visszatérülés</t>
  </si>
  <si>
    <t>Felújítási kiadásokhoz kapcsolódó ÁFA visszatérülés</t>
  </si>
  <si>
    <t>1.1. Tárgyi eszközök, immateriális javak értékesítése össz.</t>
  </si>
  <si>
    <t>1.2. Egyéb felhalmozási bevételek</t>
  </si>
  <si>
    <t>1.3. Állami készletek, tartalékok értékesítése</t>
  </si>
  <si>
    <t>1.4. Egyéb önk-i vagyon üzemelt-ből, koncesszióból szárm. bev.</t>
  </si>
  <si>
    <t>1.5. Vagyonkezelésbe adásból származó bevétel</t>
  </si>
  <si>
    <t>1.6. Pénzügyi befektetések bevételei</t>
  </si>
  <si>
    <t xml:space="preserve">Meglévő részesed. tőkekivonásához, tőkeleszállításához kapcs. bev. </t>
  </si>
  <si>
    <t>II. Felhalmozási kiadások</t>
  </si>
  <si>
    <t>1. Beruházási kiadások Áfá-val</t>
  </si>
  <si>
    <t>2. Felújítási kiadások</t>
  </si>
  <si>
    <t>1. Működési célra</t>
  </si>
  <si>
    <t>2. Felhalmozási célra</t>
  </si>
  <si>
    <t>D. Költségvetési hiány belső finanszírozását meghaladó összegének külső finanszírozására szolgáló bevételek</t>
  </si>
  <si>
    <t>1. Működési célú bevételek</t>
  </si>
  <si>
    <t>2. Felhalmozási célú bevételek</t>
  </si>
  <si>
    <t>E. Finanszírozási kiadások</t>
  </si>
  <si>
    <t>Össz.</t>
  </si>
  <si>
    <t>Felhalmozás célú pénzeszköz átadás, befektetési kiadások</t>
  </si>
  <si>
    <t>127/2013.(IV.29) Kt. hat. Üzletrész vásárlása a Halasvíz Kft-nél</t>
  </si>
  <si>
    <t>Felh. célú</t>
  </si>
  <si>
    <t>Műk. célú</t>
  </si>
  <si>
    <t>2. Felújítási kiadások Áfá-val</t>
  </si>
  <si>
    <t>1. Működési célú hitel törlesztése</t>
  </si>
  <si>
    <t>2. Felhalmozási célú hitel törlesztése</t>
  </si>
  <si>
    <t>3. Felhalmozási célú kötvénybeváltás kiadása</t>
  </si>
  <si>
    <t>2. Felhalmozási célú hitel felvétele</t>
  </si>
  <si>
    <t>I. Működési kiadások (1.+2.+3.+4.+5.)</t>
  </si>
  <si>
    <t>II. Felhalmozási kiadások (1.+2.+3.)</t>
  </si>
  <si>
    <t>Ell. szám.</t>
  </si>
  <si>
    <t>Áru- és készletértékesítés ellenértéke</t>
  </si>
  <si>
    <t>Intézményi ellátási díjak</t>
  </si>
  <si>
    <t>Alkalmazottak térítése</t>
  </si>
  <si>
    <t>Továbbszámlázott (közvetített) szolgáltatások értéke</t>
  </si>
  <si>
    <t>Alkalmazott,hallgató,tanuló stb. kártérítése és egyéb térítése</t>
  </si>
  <si>
    <t>Működési kiadásokhoz kapcsolódó Áfa visszatérülés</t>
  </si>
  <si>
    <t>Fordított Áfa miatti bevétel</t>
  </si>
  <si>
    <t>Értékesített tárgyi eszközök, immateriális javak  Áfa-ja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</si>
  <si>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</si>
  <si>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</si>
  <si>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</si>
  <si>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Iparűzési adó állandó jelleggel végzett iparűzési tevékenység után</t>
  </si>
  <si>
    <t>Gyermeklánc Óvoda és Bölcsőde</t>
  </si>
  <si>
    <t>890442</t>
  </si>
  <si>
    <t>FHT-ra jogosultak hossz.id. közfogl.</t>
  </si>
  <si>
    <t>422100</t>
  </si>
  <si>
    <t>Foyladék száll-ra szolg. közmű ép.</t>
  </si>
  <si>
    <t>Pénzm.-ból képzett tart.</t>
  </si>
  <si>
    <t>841902</t>
  </si>
  <si>
    <t>Központi költségvetési befizetések</t>
  </si>
  <si>
    <t>890116</t>
  </si>
  <si>
    <t>Romák társ-i integr. elős. egyéb tev.</t>
  </si>
  <si>
    <t>841403</t>
  </si>
  <si>
    <t>Intézmény finansz.</t>
  </si>
  <si>
    <t>Le: intézményi támogatás</t>
  </si>
  <si>
    <t>Iparűzési adó ideiglenes jelleggel végzett iparűzési tevékenység után</t>
  </si>
  <si>
    <t>Környezetvédelmi bírság</t>
  </si>
  <si>
    <t>Természetvédelmi bírság</t>
  </si>
  <si>
    <t>Műemlékvédelmi bírság</t>
  </si>
  <si>
    <t>Építésügyi bírság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</si>
  <si>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</si>
  <si>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</si>
  <si>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</si>
  <si>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</si>
  <si>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</si>
  <si>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Tám.ért. műk.c.</t>
  </si>
  <si>
    <t>Beruházás</t>
  </si>
  <si>
    <t>F.c.kötv. bevált.</t>
  </si>
  <si>
    <t>Tartós részesedések értékesítése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</si>
  <si>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</si>
  <si>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</si>
  <si>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</si>
  <si>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Jánoshalma Város Önkormányzat 2013. évi költségvetésének bevételi előirányzatai</t>
  </si>
  <si>
    <t>Jánoshalma Város Önkormányzat 2013. évi költségvetésének kiadási előirányzatai</t>
  </si>
  <si>
    <t>Jánoshalma Város Önkormányzat 2013. évi költségvetése működési és felhalmozási célú bontásban</t>
  </si>
  <si>
    <t>2013. évi felhalmozási kiadások feladatonként, felújítási kiadások célonként</t>
  </si>
  <si>
    <t>MFB hitel 2013. évi törlesztése</t>
  </si>
  <si>
    <t>MFB hitel 2013. évi kamata</t>
  </si>
  <si>
    <t>Építményüzemeltetés</t>
  </si>
  <si>
    <t>522001</t>
  </si>
  <si>
    <t>Közutak, alagutak üzemeltetése, fenntartása</t>
  </si>
  <si>
    <t>561000</t>
  </si>
  <si>
    <t>811000</t>
  </si>
  <si>
    <t>Önkormányzati jogalkotás</t>
  </si>
  <si>
    <t>841112</t>
  </si>
  <si>
    <t>Ált. tartalék</t>
  </si>
  <si>
    <t>Alapfokú művészet oktatás tám.</t>
  </si>
  <si>
    <t>910210</t>
  </si>
  <si>
    <t>Helytörténeti Gyűjtemény</t>
  </si>
  <si>
    <t>Munka-adót terh. jár.</t>
  </si>
  <si>
    <t>Személyi juttatások</t>
  </si>
  <si>
    <t>Felh. c. átadás</t>
  </si>
  <si>
    <t>Fejl. c. hitel vf.</t>
  </si>
  <si>
    <t>1. Működési célú hitel felvétele</t>
  </si>
  <si>
    <t>BEVÉTELEK MINDÖSSZESEN (B.+C.+D.)</t>
  </si>
  <si>
    <t>Kiadási jogcím megnevezés</t>
  </si>
  <si>
    <t>Kiadások mindösszesen:</t>
  </si>
  <si>
    <t>2. Kötvénykibocsátás</t>
  </si>
  <si>
    <t>2. Kötvénybeváltás kiadása</t>
  </si>
  <si>
    <t>Új erő = Tiszta lélek c. projekt (TÁMOP 6.1.2/LHH/11-A-2012-0006)</t>
  </si>
  <si>
    <t>Költségvetési egyenleg</t>
  </si>
  <si>
    <t>Diákélelmezési Konyha</t>
  </si>
  <si>
    <t>Felhalmozás célú hitel visszafizetése és kötvénybeváltás kiadása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</si>
  <si>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</si>
  <si>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</si>
  <si>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</si>
  <si>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</si>
  <si>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</si>
  <si>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</si>
  <si>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</si>
  <si>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</si>
  <si>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Működési célú előző évi szabad pénzm.</t>
  </si>
  <si>
    <t>Gyermeklánc Óvoda és Egységes Óvoda-Bölcsőde</t>
  </si>
  <si>
    <t>Gyermeklánc Óvoda és Egységes Óvoda-Bölcsőde kiadásai összesen:</t>
  </si>
  <si>
    <t>Felhalm. c. előző évi szabad pénzm.</t>
  </si>
  <si>
    <t>Felhalm. c. előző évi köt. terhelt pénzm.</t>
  </si>
  <si>
    <t>Működési célú előző évi köt. terhelt pénzm.</t>
  </si>
  <si>
    <t>Fordított adózás miatti ÁFA bevétel</t>
  </si>
  <si>
    <t>2012. évi többlettámogatás</t>
  </si>
  <si>
    <t>Felhalmozási célú előző évi szabad pénzm.</t>
  </si>
  <si>
    <t>26. Eü. ellátás</t>
  </si>
  <si>
    <t>27. Pelikán Kft. feladatellát. tám.</t>
  </si>
  <si>
    <t>28.Szoc.ell.</t>
  </si>
  <si>
    <t>Nagyértékű irodai bútor beszerzés</t>
  </si>
  <si>
    <t>Gyermeklánc Óvoda és Bölcsőde összesen:</t>
  </si>
  <si>
    <t>Bevé-        telek</t>
  </si>
  <si>
    <t>K i a d á s b ó l</t>
  </si>
  <si>
    <t>Kiadások összesen</t>
  </si>
  <si>
    <t>Felú-  jítás</t>
  </si>
  <si>
    <t>adatok E Ft-ban</t>
  </si>
  <si>
    <t>Bevételi jogcím megnevezés</t>
  </si>
  <si>
    <t>Polgármesteri Hivatal</t>
  </si>
  <si>
    <t>Bérleti és lízingdíj bevételek</t>
  </si>
  <si>
    <t>Kötbér, egyéb kártérítés, bánatpénz bevétele</t>
  </si>
  <si>
    <t>Kiszámlázott termékek és szolgáltatások Áfa-ja</t>
  </si>
  <si>
    <t>Telekadó</t>
  </si>
  <si>
    <t>Gépjárműadó</t>
  </si>
  <si>
    <t>Termőföld bérbeadásából származó jövedelemadó</t>
  </si>
  <si>
    <t>Privatizációból származó bevétel</t>
  </si>
  <si>
    <t>Vállalatértékesítésből származó bevétel</t>
  </si>
  <si>
    <t>Polgármesteri         Hivatal</t>
  </si>
  <si>
    <t>Felújítás</t>
  </si>
  <si>
    <t>Összeg</t>
  </si>
  <si>
    <t>–</t>
  </si>
  <si>
    <t>Tervezett tartalékok</t>
  </si>
  <si>
    <t>Műk. c. p.e.átad.</t>
  </si>
  <si>
    <t>Veszélyes hulladék kezelése, ártalmatlanítása</t>
  </si>
  <si>
    <t>Lakóingatlan bérbeadása, üzemeltetése</t>
  </si>
  <si>
    <t>Nem lakóingatlan bérbeadása, üzemeltetése</t>
  </si>
  <si>
    <t>Települési hulladék vegyes (ömlesztett) begyűjtése, szállítása, átrakása</t>
  </si>
  <si>
    <t>Egyéb nem veszélyes hulladék vegyes (ömlesztett) begyűjtése, szállítása, átrakása</t>
  </si>
  <si>
    <t>381103</t>
  </si>
  <si>
    <t>381104</t>
  </si>
  <si>
    <t>382200</t>
  </si>
  <si>
    <t>Üdülői szálláshely-szolgáltatás</t>
  </si>
  <si>
    <t>813000</t>
  </si>
  <si>
    <t>Zöldterület kezelés</t>
  </si>
  <si>
    <t>841192</t>
  </si>
  <si>
    <t>Kiemelt állami és önkormányzati rendezvények</t>
  </si>
  <si>
    <t>841402</t>
  </si>
  <si>
    <t>Közvilágítás</t>
  </si>
  <si>
    <t>évenkénti üteme</t>
  </si>
  <si>
    <t>Jánoshalmi sportcsarnok energetikai felújítása (KEOP-4.9.0/11-2011-0069)</t>
  </si>
  <si>
    <t>Saját erő</t>
  </si>
  <si>
    <t>EU-s forrás</t>
  </si>
  <si>
    <t>Források összesen</t>
  </si>
  <si>
    <t>Szennyvíz-csatornázási és szennyvíztisztítási beruházás (KEOP-1.2.0/2F/09-2010-0029)</t>
  </si>
  <si>
    <t>Saját erő (viziközmű társ. hitel)</t>
  </si>
  <si>
    <t>EU-s forrás és hazai együtt</t>
  </si>
  <si>
    <t>Egyéb forrás (ÁFA visszatérülés)</t>
  </si>
  <si>
    <t>Buszpályaudvar Jánoshalmán (DAOP-3.2.1./B-09-2010-0002)</t>
  </si>
  <si>
    <t>Hunyadi J. Ált. Iskola napelemes rendszer kiépítése (KEOP-4.2.0/A/11-2011-0260)</t>
  </si>
  <si>
    <t xml:space="preserve">Támogatási szerződés szerinti bevételek, kiadások  (eFt)     </t>
  </si>
  <si>
    <t>841906</t>
  </si>
  <si>
    <t>Finanszírozási műveletek</t>
  </si>
  <si>
    <t>Fejezeti és általános tartalékok elszámolása</t>
  </si>
  <si>
    <t>842521</t>
  </si>
  <si>
    <t>Tűzoltás, műszaki mentés, katasztrófahelyzet elhárítása</t>
  </si>
  <si>
    <t>862101</t>
  </si>
  <si>
    <t>Háziorvosi alapellátás</t>
  </si>
  <si>
    <t>862102</t>
  </si>
  <si>
    <t>Háziorvosi ügyeleti ellátás</t>
  </si>
  <si>
    <t>862301</t>
  </si>
  <si>
    <t>Fogorvosi alapellátás</t>
  </si>
  <si>
    <t>869041</t>
  </si>
  <si>
    <t>882122</t>
  </si>
  <si>
    <t>Átmeneti segély</t>
  </si>
  <si>
    <t>882124</t>
  </si>
  <si>
    <t>Rendkívüli gyermekvédelmi tám.</t>
  </si>
  <si>
    <t>882203</t>
  </si>
  <si>
    <t>Köztemetés</t>
  </si>
  <si>
    <t>Könyvtári szolgáltatások</t>
  </si>
  <si>
    <t>Közművelődési intézmények, közösségi színterek működtetése</t>
  </si>
  <si>
    <t>Sportlétesítmények működtetése és fejlesztése</t>
  </si>
  <si>
    <t>841908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</si>
  <si>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</si>
  <si>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</si>
  <si>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</si>
  <si>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</si>
  <si>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</si>
  <si>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680001</t>
  </si>
  <si>
    <t>680002</t>
  </si>
  <si>
    <t>841154</t>
  </si>
  <si>
    <t>Az önkormányzati vagyonnal való gazdálkodással kapcs. feladatok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</si>
  <si>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</si>
  <si>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</si>
  <si>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</si>
  <si>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</si>
  <si>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</si>
  <si>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</si>
  <si>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</si>
  <si>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</si>
  <si>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</si>
  <si>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</si>
  <si>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</si>
  <si>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</si>
  <si>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</si>
  <si>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</si>
  <si>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</si>
  <si>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</si>
  <si>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</si>
  <si>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</si>
  <si>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</si>
  <si>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</si>
  <si>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</si>
  <si>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</si>
  <si>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</si>
  <si>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</si>
  <si>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</si>
  <si>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</si>
  <si>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</si>
  <si>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</si>
  <si>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</si>
  <si>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</si>
  <si>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</si>
  <si>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</si>
  <si>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</si>
  <si>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</si>
  <si>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</si>
  <si>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</si>
  <si>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</si>
  <si>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 </t>
  </si>
  <si>
    <t>Összesen</t>
  </si>
  <si>
    <t>működési</t>
  </si>
  <si>
    <t>felhalmozási</t>
  </si>
  <si>
    <t>össz.</t>
  </si>
  <si>
    <t>Szoc.tv. 25.§ (3) aa, ab</t>
  </si>
  <si>
    <t>Szoc.tv. 25.§ (3) ac</t>
  </si>
  <si>
    <t>Személyi juttatások (elszámolható)</t>
  </si>
  <si>
    <t>Szoc. hj. adó (elszámolható)</t>
  </si>
  <si>
    <t>Rendsz. gyerm. véd. pénzbeli ell.</t>
  </si>
  <si>
    <t>Gyvt. tv.14.§ (3),20/A.§</t>
  </si>
  <si>
    <t>összesen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</si>
  <si>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</si>
  <si>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</si>
  <si>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</si>
  <si>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</si>
  <si>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</si>
  <si>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</si>
  <si>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</si>
  <si>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</si>
  <si>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</si>
  <si>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</si>
  <si>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</si>
  <si>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</si>
  <si>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Önként vállalt feladatok</t>
  </si>
  <si>
    <t>Állami feladatok</t>
  </si>
  <si>
    <t>MINDÖSSZESEN:</t>
  </si>
  <si>
    <t xml:space="preserve">A 2013. évi költségvetési bevételei és  kiadásai kötelező-, önként vállalt-, és állami (államigazgatási) feladatok szerinti bontásban </t>
  </si>
  <si>
    <t>Működőképesség megőrzését szolgáló támogatás</t>
  </si>
  <si>
    <t>Felhalm.célú hitelfelvétel</t>
  </si>
  <si>
    <t>EU Önerő Alap támogatás</t>
  </si>
  <si>
    <t>Hunyadi Isk. 2012. napelemes energ. beruh. EU tám.</t>
  </si>
  <si>
    <t>Új Erő = Tiszta Lélek c. TÁMOP 6.1.2 pályázat EU működési célú támogatása</t>
  </si>
  <si>
    <t>Új Erő = Tiszta Lélek c. TÁMOP 6.1.2 pályázat EU felhalmozási  célú támogatása</t>
  </si>
  <si>
    <t>Felújítási alap befizetési kötelezettség (vegyes tulajdonú társasházak)</t>
  </si>
  <si>
    <t>Talajterhelési díj</t>
  </si>
  <si>
    <t>Fejlesztési célú tartalék</t>
  </si>
  <si>
    <t>Vis maior tartalék</t>
  </si>
  <si>
    <t>KIADÁSOK MINDÖSSZESEN: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</si>
  <si>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</si>
  <si>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</si>
  <si>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</si>
  <si>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</si>
  <si>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</si>
  <si>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</si>
  <si>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</si>
  <si>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</si>
  <si>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</si>
  <si>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</si>
  <si>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360000</t>
  </si>
  <si>
    <t>Víztermelés, -kezelés, -ellátás</t>
  </si>
  <si>
    <t>842541</t>
  </si>
  <si>
    <t>Ár- és belvízvédelem</t>
  </si>
  <si>
    <t>552001</t>
  </si>
  <si>
    <t>910123</t>
  </si>
  <si>
    <t>910502</t>
  </si>
  <si>
    <t>931102</t>
  </si>
  <si>
    <t>33</t>
  </si>
  <si>
    <t>Város-, és községgazdálkodási máshová nem sorolt szolg.</t>
  </si>
  <si>
    <t>Család- és nővédelmi egészségügyi gondozás</t>
  </si>
  <si>
    <t>Körny. véd. alap</t>
  </si>
  <si>
    <t>2011. év</t>
  </si>
  <si>
    <t>Bevételek</t>
  </si>
  <si>
    <t>Bevételek mindösszesen:</t>
  </si>
  <si>
    <t>-</t>
  </si>
  <si>
    <t>2010. év</t>
  </si>
  <si>
    <t>2012. év</t>
  </si>
  <si>
    <t>2013. év</t>
  </si>
  <si>
    <t>Helyi önkormányzat</t>
  </si>
  <si>
    <t>Helyi                    önkormányzat</t>
  </si>
  <si>
    <t>2014. év</t>
  </si>
  <si>
    <t>Bölcsődei ellátás</t>
  </si>
  <si>
    <t>890443</t>
  </si>
  <si>
    <t>Egyéb közfoglalkoztatás</t>
  </si>
  <si>
    <t>I. Működési bevételek</t>
  </si>
  <si>
    <t>Cél-tartalék</t>
  </si>
  <si>
    <t>Családok átmeneti otthonában elhelyezettek ellátása</t>
  </si>
  <si>
    <t>841913</t>
  </si>
  <si>
    <t>852000</t>
  </si>
  <si>
    <t>Alapfokú oktatás intézményeinek komplex támogatása</t>
  </si>
  <si>
    <t>852031</t>
  </si>
  <si>
    <t>Támogatási célú finansz. műveletek</t>
  </si>
  <si>
    <t>Gyermekjóléti szolgáltatás</t>
  </si>
  <si>
    <t>Nappali melegedő</t>
  </si>
  <si>
    <t xml:space="preserve">                - Pénzmaradványból képzett tartalék</t>
  </si>
  <si>
    <t>3. Egyéb felhalmozási célú kiadások (3.1.+…+3.10)</t>
  </si>
  <si>
    <t>Családsegítés</t>
  </si>
  <si>
    <t>Szociális étkeztetés</t>
  </si>
  <si>
    <t>Házi segítségnyújtás</t>
  </si>
  <si>
    <t>Időskorúak tartós bentlakásos szociális ellátása</t>
  </si>
  <si>
    <t>Idősek nappali ellátása</t>
  </si>
  <si>
    <t>A hátrányos helyzetűek életminőségét javító programok</t>
  </si>
  <si>
    <t>879019</t>
  </si>
  <si>
    <t>889201</t>
  </si>
  <si>
    <t>889913</t>
  </si>
  <si>
    <t>889924</t>
  </si>
  <si>
    <t>889921</t>
  </si>
  <si>
    <t>889922</t>
  </si>
  <si>
    <t>873011</t>
  </si>
  <si>
    <t>881011</t>
  </si>
  <si>
    <t>890114</t>
  </si>
  <si>
    <t>II. Felhalmozási bevételek</t>
  </si>
  <si>
    <t>1.1. Tárgyi eszközök, immateriális javak értékesítése</t>
  </si>
  <si>
    <t>1.3. Pénzügyi befektetések bevételei</t>
  </si>
  <si>
    <t>I. Működési kiadások</t>
  </si>
  <si>
    <t>1. Személyi juttatások</t>
  </si>
  <si>
    <t>26</t>
  </si>
  <si>
    <t>180/2012.(V.24.) Kt. hat. Pályázati önerő (Jh. - Temerin - Topolya önkorm.-k közös pályázata) 5.500 euro x 300,- Ft árf.</t>
  </si>
  <si>
    <t>Környezetvédelmi alap képzése a 2013. évre tervezett talajterhelési díj bevételből</t>
  </si>
  <si>
    <t>Általános tartalék</t>
  </si>
  <si>
    <t>Általános tartalék képzése</t>
  </si>
  <si>
    <t>Műk.c. kölcsön nyújtás</t>
  </si>
  <si>
    <t>Önkormányzati hivatal működésének támogatása</t>
  </si>
  <si>
    <t>Óvodapedagógusok és az óvodapedagógusok munkáját közvetlenül segítők bértámogatása</t>
  </si>
  <si>
    <t>Beruházási kiadások (elszámolható)</t>
  </si>
  <si>
    <t>Beruházási kiadások (nem elszámolható)</t>
  </si>
  <si>
    <t>Dologi kiadások (nem elszámolható)</t>
  </si>
  <si>
    <t xml:space="preserve">2013. évi költségvetésben tervezett bevételi előirányzatok (eFt)    </t>
  </si>
  <si>
    <t xml:space="preserve">2013. évi költségvetésben tervezett kiadási előirányzatok (eFt)    </t>
  </si>
  <si>
    <t>356/2012. (XII.13.) Kt. hat. Sportcsarnok energetikai korszerűsítéséhez terv dokumentációk készítése (KEOP- 4.9.0/11-2011-0069)</t>
  </si>
  <si>
    <t>Dologi kiadások (elszámolható)</t>
  </si>
  <si>
    <t>Óvodaműködtetési támogatás</t>
  </si>
  <si>
    <t>Jánoshalma Város Polgármesteri Hivatalának szervezetfejlesztése II. (ÁROP-1.A.5-2013-2013-0111)</t>
  </si>
  <si>
    <t>Jánoshalmi szociális segítők és mentorok képzése és foglalkoztatása (TÁMOP 5.1.1.-09/6-2010-0013)</t>
  </si>
  <si>
    <t>Hozzájárulás a pénzbeli szociális ellátásokhoz</t>
  </si>
  <si>
    <t>Egyes szociális és gyermekjóléti feladatok támogatása</t>
  </si>
  <si>
    <t>Egyes jövedelempótló támogatások kiegészítése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</si>
  <si>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</si>
  <si>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</si>
  <si>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</si>
  <si>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</si>
  <si>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</si>
  <si>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Mötv. 13.§(1) 11. 21.</t>
  </si>
  <si>
    <t>Mötv. 13.§(1) 19.</t>
  </si>
  <si>
    <t>E. FINANSZÍROZÁSI KIADÁSOK (IV.+V.)</t>
  </si>
  <si>
    <t>D. KÖLTSÉGVETÉSI HIÁNY BELSŐ FINANSZÍROZÁSÁT MEGHALADÓ ÖSSZEGÉNEK KÜLSŐ FINANSZÍROZÁSÁRA SZOLGÁLÓ BEVÉTELEK (IV.+V.)</t>
  </si>
  <si>
    <t>Irányító szervtől kapott támogatás</t>
  </si>
  <si>
    <t>Kamatkiadások közül felhalmozási célúak</t>
  </si>
  <si>
    <t>Mötv. 13.§(1) 19. 2.</t>
  </si>
  <si>
    <t>Mötv. 13.§(1) 2.</t>
  </si>
  <si>
    <t>Gyvt. 151.§ (2), (2a)</t>
  </si>
  <si>
    <t>Mötv. 13.§(1) 9.</t>
  </si>
  <si>
    <t>Mötv. 13.§(1) 9. 6.</t>
  </si>
  <si>
    <t>Mötv. 13.§(1) 13.</t>
  </si>
  <si>
    <t>Mötv. 13.§(1) 11.12.</t>
  </si>
  <si>
    <t xml:space="preserve">Ttv. 2.§(2) 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</si>
  <si>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</si>
  <si>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</si>
  <si>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</si>
  <si>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</si>
  <si>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</si>
  <si>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</si>
  <si>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</si>
  <si>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</si>
  <si>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</si>
  <si>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Gyvt. 51.§ (1)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</si>
  <si>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</si>
  <si>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</si>
  <si>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</si>
  <si>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</si>
  <si>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</si>
  <si>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</si>
  <si>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</si>
  <si>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</si>
  <si>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</si>
  <si>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</si>
  <si>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Szoc. tv. 25.§bb, 45.§(1), 47.§(1)</t>
  </si>
  <si>
    <t>39</t>
  </si>
  <si>
    <t>Gyvt.21.§ (1), (2)</t>
  </si>
  <si>
    <t>40</t>
  </si>
  <si>
    <t>Szoc. tv. 48.§ (1)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</si>
  <si>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</si>
  <si>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</si>
  <si>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</si>
  <si>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</si>
  <si>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</si>
  <si>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</si>
  <si>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</si>
  <si>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Aktív korúak ellátása</t>
  </si>
  <si>
    <t>Időskorúak járadéka</t>
  </si>
  <si>
    <t xml:space="preserve">Szoc. tv. 25.§ </t>
  </si>
  <si>
    <t>Lakásfenntartási támogatás normatív alapon</t>
  </si>
  <si>
    <t>Ápolási díj alanyi jogon</t>
  </si>
  <si>
    <t>Szoc. tv. 41.§</t>
  </si>
  <si>
    <t>Kieg. gyermekvédelmi támogatás</t>
  </si>
  <si>
    <t>Gyvt. tv. 14.§ (3), 18.§ b, 20/B.§</t>
  </si>
  <si>
    <t>Óvodáztatási támogatás</t>
  </si>
  <si>
    <t>Gyvt. tv. 20/C.§</t>
  </si>
  <si>
    <t>Közgyógyellátás (alanyi jogú)</t>
  </si>
  <si>
    <t>Szoc. tv. 50.§ (3)</t>
  </si>
  <si>
    <t>Hadigondozotti ellátások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</si>
  <si>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</si>
  <si>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</si>
  <si>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</si>
  <si>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</si>
  <si>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</si>
  <si>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</si>
  <si>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Gyvt. 42.§</t>
  </si>
  <si>
    <t>Napközi Otthonos Óvoda és Bölcsőde összesen: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</si>
  <si>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</si>
  <si>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</si>
  <si>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</si>
  <si>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</si>
  <si>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</si>
  <si>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</si>
  <si>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</si>
  <si>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</si>
  <si>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</si>
  <si>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</si>
  <si>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 xml:space="preserve">1. Beruházási kiadások </t>
  </si>
  <si>
    <t>Szerkezetátalakítási tartalék (köznev. intézmények műk.)</t>
  </si>
  <si>
    <t>2012. évi Területalapú támogatás</t>
  </si>
  <si>
    <t>Átmeneti ivóvízell. bizt. kapcs. ktg. finansz. tám.</t>
  </si>
  <si>
    <t>Munkaügyi Központ - Aszalós start pr. tám. (1 fő)</t>
  </si>
  <si>
    <t>Kamatbevételek, bírság bevételek</t>
  </si>
  <si>
    <t>Alkotóház IPA pály. - EU támogatás</t>
  </si>
  <si>
    <t>Iparterület napelemes fejl. - hiteles tulajdoni lap, helyszínrajz költségek</t>
  </si>
  <si>
    <t>Jánoshalma - Temerin - Topolya települések közös IPA pályázatához kapcsolódó alkotóház felújítási kiadások</t>
  </si>
  <si>
    <t>Jánoshalma - Temerin - Topolya települések közös IPA pályázatához kapcsolódó EU támogatás átadása Szerbiába</t>
  </si>
  <si>
    <t>Diákélelmezési konyha - számítógép beszerzése</t>
  </si>
  <si>
    <t>Ált. tartalék képzése- helyi adóbevételből, kamatbevételből, terület alapú tám. bevételből</t>
  </si>
  <si>
    <t>MOVE Zrt. bérleti szerződés meghosszabbításával kapcs. bevétel</t>
  </si>
  <si>
    <t>2013. évi bérkompenzáció - bevétel kiesés kompenzálása</t>
  </si>
  <si>
    <t>Köztemetés pótelőirányzat</t>
  </si>
  <si>
    <t>IPA projekt keretében el nem számolható, felmerült kiadások fedezete</t>
  </si>
  <si>
    <t>Dologi többletkiadások pótelőirányzata</t>
  </si>
  <si>
    <t>Napenergia hasznosítása villamos energia előállítására a Jh-i Iparterületen (KEOP-4.10.0/C/12-2013-0048)</t>
  </si>
  <si>
    <t>Jánoshalma város közbiztonság javítása érdekében kamerarendszer kiépítése (LEADER 2013.)</t>
  </si>
  <si>
    <t>Imre Zoltán Műv. Kp. villamosenergia megtakarítását eredményező napelemes fejlesztés (KEOP-4.10.0/A/12-2013-0726)</t>
  </si>
  <si>
    <t>Hazai társfinanszírozás</t>
  </si>
  <si>
    <t>EUR</t>
  </si>
  <si>
    <t xml:space="preserve">  IPA Határon Átnyúló Projekt FAB (Magyarország-Szerbia) - Jánoshalma Város Önkormányzat </t>
  </si>
  <si>
    <t>EU-s forrás  (IPA)</t>
  </si>
  <si>
    <t>eFt</t>
  </si>
  <si>
    <t>Felújítási kiadások (elszámolható)</t>
  </si>
  <si>
    <t>Felújítási kiadások (nem elszámolható)</t>
  </si>
  <si>
    <t>Bér+járulék kiadások (elszámolható)</t>
  </si>
  <si>
    <t>Beruházási kiadások (eszközbeszerzés)</t>
  </si>
  <si>
    <t>Kistérségi "plusz" startpr. - "Aszalós" projekt beruházási kiadásai</t>
  </si>
  <si>
    <t>Jánoshalma Város Önkormányzat 2013. évi költségvetésében tervezett központi költségvetési támogatások</t>
  </si>
  <si>
    <t>a 2013.évi költségvetési törvény 2. sz. mellékletének jogcímei szerint</t>
  </si>
  <si>
    <t>Jogcím</t>
  </si>
  <si>
    <t>Ell.szám</t>
  </si>
  <si>
    <t>száma</t>
  </si>
  <si>
    <t>megnevezése</t>
  </si>
  <si>
    <t>mutató</t>
  </si>
  <si>
    <t>fajlagos Ft</t>
  </si>
  <si>
    <t>összeg Ft</t>
  </si>
  <si>
    <t>mutató    (8 hó)</t>
  </si>
  <si>
    <t xml:space="preserve">fajlagos Ft </t>
  </si>
  <si>
    <t>mutató   (4 hó)</t>
  </si>
  <si>
    <t>összeg         Ft</t>
  </si>
  <si>
    <t xml:space="preserve">F </t>
  </si>
  <si>
    <t>I.</t>
  </si>
  <si>
    <t xml:space="preserve">Helyi önkormányzatok működésének általános támogatása </t>
  </si>
  <si>
    <t>1.a</t>
  </si>
  <si>
    <t>1.b</t>
  </si>
  <si>
    <t>Településüzemeltetéshez kapcsolódó feladatok támogatása</t>
  </si>
  <si>
    <t>1.ba</t>
  </si>
  <si>
    <t>A zöldterület-gazdálkodással kapcsolatos feladatok ellátásának támogatása</t>
  </si>
  <si>
    <t>1.bb</t>
  </si>
  <si>
    <t>Közvilágítás fenntartásának támogatása</t>
  </si>
  <si>
    <t>1.bc</t>
  </si>
  <si>
    <t>Köztemető fenntartással kapcsolatos feladatok támogatása</t>
  </si>
  <si>
    <t>1.bd</t>
  </si>
  <si>
    <t>Közutak fenntartásának támogatása</t>
  </si>
  <si>
    <t>1.c</t>
  </si>
  <si>
    <t>Beszámítás összege (2011. évi iparűzési adó alap 0,5%-a)</t>
  </si>
  <si>
    <t>1.a - 1.c jogcímen nyújtott éves támogatás összesen</t>
  </si>
  <si>
    <t>1.d</t>
  </si>
  <si>
    <t>Egyéb kötelező önkormányzati feladatok támogatása</t>
  </si>
  <si>
    <t>II.</t>
  </si>
  <si>
    <t>A települési önkormányzatok egyes köznevelési és gyermekétkeztetési feladatainak támogatása</t>
  </si>
  <si>
    <t>II.1</t>
  </si>
  <si>
    <t>II.1 (1)</t>
  </si>
  <si>
    <t>Óvodapedagógusok bértámogatása</t>
  </si>
  <si>
    <t>II.1 (2)</t>
  </si>
  <si>
    <t>Óvodapedagógusok munkáját közvetlenül segítők bértámogatása</t>
  </si>
  <si>
    <t>II.2</t>
  </si>
  <si>
    <t>II.3</t>
  </si>
  <si>
    <t>Ingyenes és kedvezményes gyermekétkeztetés támogatása</t>
  </si>
  <si>
    <t>Ingyenes és kedvezményes étk. szoc. ellátásban (Bölcsőde)</t>
  </si>
  <si>
    <t xml:space="preserve">Ingyenes és kedvezményes étk. közoktatásban (Óvoda) </t>
  </si>
  <si>
    <t xml:space="preserve">Ingyenes és kedvezményes étk. közoktatásban (Ált. Iskola) </t>
  </si>
  <si>
    <t xml:space="preserve">Ingyenes és kedvezményes étk. közoktatásban (Gimnázium) </t>
  </si>
  <si>
    <t>III.</t>
  </si>
  <si>
    <t>A települési önkormányzatok szociális és gyermekjóléti feladatainak támogatása</t>
  </si>
  <si>
    <t>III.1</t>
  </si>
  <si>
    <t>III.2</t>
  </si>
  <si>
    <t>III.3</t>
  </si>
  <si>
    <t>III.3.a</t>
  </si>
  <si>
    <t>III.3.b</t>
  </si>
  <si>
    <t>Gyermekjóléti szolgálat</t>
  </si>
  <si>
    <t>III.3.ja</t>
  </si>
  <si>
    <t>IV.</t>
  </si>
  <si>
    <t>A települési önkormányzatok kulturális feladatainak támogatása</t>
  </si>
  <si>
    <t>Települési önkormányzatok támogatása a nyilvános könyvtári és közművelődési feladatokhoz</t>
  </si>
  <si>
    <t>2. melléklet jogcímei mindösszesen:</t>
  </si>
  <si>
    <t>xxx</t>
  </si>
  <si>
    <t>Óvodapedagógusok bértámogatásának pótlólagos összege</t>
  </si>
  <si>
    <t>Létszámcsökk. miatt pótlólagos bértám. csökkenés</t>
  </si>
  <si>
    <t>"Itthon vagy- Magyarország szeretlek" támogatás</t>
  </si>
  <si>
    <t>1. Működési célú értékpapír vásárlás kiadása</t>
  </si>
  <si>
    <t>2. Felhalmozási célú értékpapír vásárlás kiadása</t>
  </si>
  <si>
    <t xml:space="preserve">V. Hitelek törlesztése </t>
  </si>
  <si>
    <t>IV.Belföldi értékpapírok kiadásai (1.+2.+3.)</t>
  </si>
  <si>
    <t>1. Értékpapír értékesítés bevétele</t>
  </si>
  <si>
    <t>1.Értékpapír vásárlás kiadása</t>
  </si>
  <si>
    <t xml:space="preserve">V. Hitelek felvétele </t>
  </si>
  <si>
    <t>IV. Belföldi értékpapírok kiadásai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</si>
  <si>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</si>
  <si>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</si>
  <si>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</si>
  <si>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</si>
  <si>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</si>
  <si>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</si>
  <si>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</si>
  <si>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Lakott külterülettel kapcsolatos feladatok támogatása</t>
  </si>
  <si>
    <t>Munkaügyi Központ tám. hosszabb id. közfogl. tám. (75 fő)</t>
  </si>
  <si>
    <t>VM Szakképző Isk-tól átvett p. eszk. közfogl. önerő tám.</t>
  </si>
  <si>
    <t>Önkormányzati intézmények elvont 2012. évi szabad pénzmaradványának tartalékba helyezése</t>
  </si>
  <si>
    <t>Környezetvédelmi alap (Előző évek maradványa)</t>
  </si>
  <si>
    <t>106/2013.(IV.25.) Kt. hat., 108/2013.(IV.28) Kt. hat. Viziközmű Társulat hitelszerződése kapcsán vállalt kötelezettség - 3 havi kamatfizetéshez elegendő befizetés teljesítése</t>
  </si>
  <si>
    <t>Hunyadi Iskola 2012. IV. negyedévi rehabilitációs hozzájárulás fiz. kötelezettség</t>
  </si>
  <si>
    <t>2012. évi állami támogatások elszámolása alapján visszafizetendő különbözet</t>
  </si>
  <si>
    <t>129/2013.(IV.29.) Kt. hat. Sportcs. és Tanuszoda küzdőtér, öltözők, zuhanyzók felújítása (pályázati önerő)</t>
  </si>
  <si>
    <t xml:space="preserve">3/2013 (I.07) Kt. hat. "Napenergia hasznosítása villamos energia előállítására a Jh-i Ipartelepen" c. projekt  (pály. önerő + építészeti tervek) </t>
  </si>
  <si>
    <t xml:space="preserve">Bútor (kanapé) beszerzés - Nyitnikék Gyerekház </t>
  </si>
  <si>
    <t>374/2012 (XII.13) Kt. hat. Vizi- és szennyvízközművel kapcsolatos eszközök megvásárlása Városgazda Kft-től</t>
  </si>
  <si>
    <t>2/2013.(I.07.) Kt. hat. Imre Zoltán Műv. Kp. energiamegtakarítását eredményező napelemes fejlesztés  (pályázati önerő + építészeti terv)</t>
  </si>
  <si>
    <t xml:space="preserve">344/2012. (XI.15.) Kt. hat. Autóbusz pályaudvarhoz külső kamerarendszer </t>
  </si>
  <si>
    <t xml:space="preserve">355/2012. (XII.13.) Kt. hat. START-munkaprogramhoz melegedő építése </t>
  </si>
  <si>
    <t xml:space="preserve">KEOP-1.2.0/2F/09-2010-0029 Szennyvíz-csatornázási és szennyvíztisztítási beruházás  </t>
  </si>
  <si>
    <t>2013. évi Kistérségi startmunka mintaprogram beruházási kiadásai</t>
  </si>
  <si>
    <t>TÁMOP 6.1.2/LHH/11-A-2012-0006 "Új Erő=Tiszta Lélek" c. projekt keretében tervezett beruházási kiadások  (projektor, laptop beszerzése)</t>
  </si>
  <si>
    <t>"Jánoshalma Jövőjéért" Kötvény 2013. évi tőke törlesztése</t>
  </si>
  <si>
    <t>"Jánoshalma Jövőjéért" Kötvény - 2013. évi kamatfizetési kötelezettség</t>
  </si>
  <si>
    <t>S</t>
  </si>
  <si>
    <t>T</t>
  </si>
  <si>
    <t>U</t>
  </si>
  <si>
    <t>Befek- tetési kiadás</t>
  </si>
  <si>
    <t>Hunyadi Isk. SZMK-tól átvett p. eszk. közfogl. önerő tám.</t>
  </si>
  <si>
    <t>2012. évi szabad pénzmaradvány elvonása (Óvoda)</t>
  </si>
  <si>
    <t>2012. évi szabad pénzmaradvány elvonása (Polg. Hiv.)</t>
  </si>
  <si>
    <t>2012. évi többlettámogatás visszafizetése (Polg. Hiv.)</t>
  </si>
  <si>
    <t>2013. évi bérkompenzáció</t>
  </si>
  <si>
    <t>Nyitnikék Gyerekház 2013. évi műk.tám. előleg</t>
  </si>
  <si>
    <t>Szennyvíz-csat. és szennyvíztiszt. beruh. EU tám.</t>
  </si>
  <si>
    <t>Szennyvíz-csat. és szennyvíztiszt. beruh. ÁFA visszatérülés</t>
  </si>
  <si>
    <t>Munkaügyi Központ kistérs. startmunka mintapr.  tám. (145 fő)</t>
  </si>
  <si>
    <t>Szennyvíz-csat. és szennyvízt. beruh. saját erő és el nem számolható kiadások fedezete (viziközmű társulati hitelből)</t>
  </si>
  <si>
    <t>Saját bevételek</t>
  </si>
  <si>
    <t>Bevételek összesen</t>
  </si>
  <si>
    <t>Helyi önkormányzatok működésének ált. támogatása</t>
  </si>
  <si>
    <t>Munkaügyi Központ tám. 1 fő szakács foglalkoztatásához</t>
  </si>
  <si>
    <t>Vizi-, szennyvízközművek bérleti díj bev.</t>
  </si>
  <si>
    <t>Általános iskolai és gimnáziumi ingyenes és kedvezményes gyermekétkeztetés támogatása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</si>
  <si>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</si>
  <si>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</si>
  <si>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</si>
  <si>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</si>
  <si>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</si>
  <si>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</si>
  <si>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</si>
  <si>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</si>
  <si>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Prémiumévek program állami támogatása</t>
  </si>
  <si>
    <t>2012-ben indult START-munkaprogram 2013. évre átnyúló foglalkoztatása kapcsán igényelhető támogatás</t>
  </si>
  <si>
    <t>Helyi adók, átengedett központi adók, talajterhelési díj, közigazgatási bírság bevétele</t>
  </si>
  <si>
    <t>VM Szakképző Iskolától átvett p. eszk. közfoglalkoztatásra</t>
  </si>
  <si>
    <t>Nem lakóingatlan bérbeadásából, üzemeltetéséből származó bevétel</t>
  </si>
  <si>
    <t>Építményüzemeltetésből származó bevétel</t>
  </si>
  <si>
    <t>Ügyelet látlelet, vérvétel bevétele</t>
  </si>
  <si>
    <t>Köztemetés kiadásának megtérítése</t>
  </si>
  <si>
    <t>Kölcsön visszatérülés</t>
  </si>
  <si>
    <t>Állami feladatok kiadása</t>
  </si>
  <si>
    <t>Tűzoltóság BM támogatása</t>
  </si>
  <si>
    <t>Tűzoltóság kulcskazetta őrzés bevétele</t>
  </si>
  <si>
    <t>Aktív korúak ellátásának állami támogatása</t>
  </si>
  <si>
    <t>Hirdetmények utáni igazg. szolg. díj</t>
  </si>
  <si>
    <t>Időskorúak járadéka állami támogatása</t>
  </si>
  <si>
    <t>Kieg. gyerm. védelmi ellátás és kapcs. pótlék megtérítése igénylés alapján</t>
  </si>
  <si>
    <t>Építéshatósági eljárási díj</t>
  </si>
  <si>
    <t>Lakásfenntartási támogatás állami támogatása</t>
  </si>
  <si>
    <t>Anyakönyvi szolg. díjbevétele</t>
  </si>
  <si>
    <t>Ápolási díj állami támogatása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</si>
  <si>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</si>
  <si>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</si>
  <si>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</si>
  <si>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</si>
  <si>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Óvodai ingyenes és kedvezményes gyermekétkeztetés támogatása</t>
  </si>
  <si>
    <t>Étkeztetéssel kapcsolatos térítési díj bevétel</t>
  </si>
  <si>
    <t>Bérleti díj bevétel</t>
  </si>
  <si>
    <t>127/2013.(IV.29) Kt. hat. Üzletrész vásárlása Halasvíz Kft-nél</t>
  </si>
  <si>
    <t>Áfa befizetési kötelezettség növekedése</t>
  </si>
  <si>
    <t>Pénzmaradványból képzett tartalék</t>
  </si>
  <si>
    <t>Pénzmaradványból képzett tartalék képzése</t>
  </si>
  <si>
    <t>Pénzmaradványt terhelő kötelezettségek</t>
  </si>
  <si>
    <t>129/2013.(IV.29) Kt. hat. Sportcsarnok felújítás pályázati önerő</t>
  </si>
  <si>
    <t>A Tűzoltóság 2012.évi BM támogatás maradványa - Tűzoltó szertár karbantartása</t>
  </si>
  <si>
    <t>A 2013. évi költségvetésben tervezett központi támogatás kiváltása saját forrással</t>
  </si>
  <si>
    <t>270/2013. (XI.14.) Kt. hat. Családok Átmeneti Otthona épületének bérbeadása</t>
  </si>
  <si>
    <t>Otthonteremtési támogatás (2012. évről áthúzódó kifizetés)</t>
  </si>
  <si>
    <t>EU Önerő Alap támogatása (kerekítés)</t>
  </si>
  <si>
    <t>Adók, díjak, egyéb befizetések kiadása</t>
  </si>
  <si>
    <t>Jh. - Temerin - Topolya önkorm.-k közös pályázata- Alkotóház felújítása</t>
  </si>
  <si>
    <t>Kóbor ebek befogása és tartása</t>
  </si>
  <si>
    <t>890444</t>
  </si>
  <si>
    <t>Téli közfoglalkoztatás</t>
  </si>
  <si>
    <t>900300</t>
  </si>
  <si>
    <t>Alkotóművészeti tevékenység</t>
  </si>
  <si>
    <t>48</t>
  </si>
  <si>
    <t>49</t>
  </si>
  <si>
    <t>Ingóság eladásából szárm. bevétel</t>
  </si>
  <si>
    <t>Ingatlan, termőföld értékesítés</t>
  </si>
  <si>
    <t>2013.11.01-2014.04.30. 49 fő 8 órás téli közfogl. támogatása</t>
  </si>
  <si>
    <t xml:space="preserve">Munkaügyi Kp. tám. 3+3 fő közfogl. tám. </t>
  </si>
  <si>
    <t>Kártérítési bevétel</t>
  </si>
  <si>
    <t>2012. december havi bérkompenzáció</t>
  </si>
  <si>
    <t>2012. december havi bérkompenzáció TKT</t>
  </si>
  <si>
    <t>Szerkezetátalakítási tart. (gyermekjóléti alapell. tám. kieg.)</t>
  </si>
  <si>
    <t>"Itthon vagy - Magyarország szeretlek" pr. támogatása</t>
  </si>
  <si>
    <t>Polg. Hiv. szervezetfejl. ÁROP pály. 2013. évi bev.</t>
  </si>
  <si>
    <t>Otthonteremtési tám. 2012-ről áthúzódó kifizetés</t>
  </si>
  <si>
    <t>Homokértékesítés bevétele</t>
  </si>
  <si>
    <t>Jh-i Napokkal kapcs. ktg.-ek továbbszámlázott bevétele</t>
  </si>
  <si>
    <t>TKT előző évi műk.c. pénzm. igénybev.</t>
  </si>
  <si>
    <t>RGYVK-hoz kapcs. természetb. j. (Erzs. utalvány)</t>
  </si>
  <si>
    <t>Jh-i szociális segítők és mentorok képz. projekt elszámolás</t>
  </si>
  <si>
    <t>280/2013. (XI.14.) Kt. hat. Gépjármű beszerzés</t>
  </si>
  <si>
    <t>Számítástechnikai eszközök beszerzése</t>
  </si>
  <si>
    <t>Szoc. Otthon térítési díj különbözet bevétel</t>
  </si>
  <si>
    <t>Projektekkel kapcsolatosan felmerült dologi kiadások</t>
  </si>
  <si>
    <t>Reprezentációs költségek utáni fizetési kötelezettségek</t>
  </si>
  <si>
    <t>Bölcsődei ellátás támogatása</t>
  </si>
  <si>
    <t>Alapítvány támogatása bölcsődei ellátáshoz</t>
  </si>
  <si>
    <t>Bölcsódében elhelyezett gyermekek étkeztetésének támogatása</t>
  </si>
  <si>
    <t>3. Működési célú támogatás államháztartáson belülről</t>
  </si>
  <si>
    <t>3.3. Műk. c. gar. és kezv.-ból szárm. megtérülés államh-on belülr.</t>
  </si>
  <si>
    <t>3.4. Műk. c. visszatérítendő tám. kölcs. megtérülés állh.-on belülr.</t>
  </si>
  <si>
    <t>4.1. Műk. c. gar. és kezv.-ból szárm. megtérülés államh-on kívülr.</t>
  </si>
  <si>
    <t>43</t>
  </si>
  <si>
    <t>44</t>
  </si>
  <si>
    <t>45</t>
  </si>
  <si>
    <t>46</t>
  </si>
  <si>
    <t>160/2013. (V.29.) Kt. hat. Sportcsarnok energetikai korszerűsítéséhez műszaki ellenőr díjának biztosítása (KEOP- 4.9.0/11-2011-0069)</t>
  </si>
  <si>
    <t>171/2013. (VI.11.) Kt. hat. Közbiztonság javítása kamerarendszer kiépítésével (LEADER pályázati önrész)</t>
  </si>
  <si>
    <t>Polgármesteri Hivatal visszafizetett 2012. évi többlettámogatásából általános tartalék képzése</t>
  </si>
  <si>
    <t>152/2013.(V.29) Kt. hat. Jánoshalmi Napok rendezvényeinek kiadásai</t>
  </si>
  <si>
    <t>176/2013. (VI.11.) Kt. hat. Kerékpárút nyilvántartó rendszerben való megjelentetés</t>
  </si>
  <si>
    <t>4.2. Műk. c. visszatérítendő tám. kölcs. megtérülés állh.-on kívülr.</t>
  </si>
  <si>
    <t>4.3.Műk. c. pénzeszköz átvétel államháztartáson kívülről</t>
  </si>
  <si>
    <t xml:space="preserve">2. Felhalmozási célú támogatások államháztartáson belülről </t>
  </si>
  <si>
    <t>2.2. Felh. c. gar. és kezv.-ból szárm. megtérülés államh-on belülr.</t>
  </si>
  <si>
    <t>2.3. Felh. c. visszatérítendő tám. kölcs. megtérülés állh.-on belülr.</t>
  </si>
  <si>
    <t>3.1. Felh. c. gar. és kezv.-ból szárm. megtérülés államh-on kívülr.</t>
  </si>
  <si>
    <t>3.2. Felh. c. visszatérítendő tám. kölcs. megtérülés állh.-on kívülr.</t>
  </si>
  <si>
    <t>3.3.Felh. c. pénzeszköz átvétel államháztartáson kívülről</t>
  </si>
  <si>
    <t>2. Munkaadót terhelő járulékok és szociális hozzájárulási adó</t>
  </si>
  <si>
    <t xml:space="preserve">3. Dologi kiadások </t>
  </si>
  <si>
    <t>5. Egyéb működési célú kiadások</t>
  </si>
  <si>
    <t>5.1. Műk. c. garancia- és kez.váll.-ból szárm. kif. állh.-on belülre</t>
  </si>
  <si>
    <t>5.2. Műk. c. v.térítendő támogatások, kölcs. nyújt. állh.-on belülre</t>
  </si>
  <si>
    <t>5.3. Műk. c. visszatérítendő tám.-ok, kölcs. törlesztése állh.-on belülre</t>
  </si>
  <si>
    <t>5.6. Műk. c. visszat.-endő támogatások, kölcs. nyújtása állh.-on kívülre</t>
  </si>
  <si>
    <t>3. Egyéb felhalmozási célú kiadások</t>
  </si>
  <si>
    <t>B. KÖLTSÉGVETÉSI BEVÉTELEK (I.+II.)</t>
  </si>
  <si>
    <t>A. Költségvetési kiadások (I.+.II.)</t>
  </si>
  <si>
    <t>B. Költségvetési bevételek (I.+.II.)</t>
  </si>
  <si>
    <t>III. Előző évek pénzmaradványának (és váll. mar.) igénybevétele</t>
  </si>
  <si>
    <t>115/2013.(IV.25.)Kt. hat. szakértői vélemény Polgármesteri Hivatal elhelyezéséről</t>
  </si>
  <si>
    <t>198/2013.(VI.25.)Kt. hat. Mélykút ivóvízmin.-javító program alapítói hozzájárulás</t>
  </si>
  <si>
    <t>Homokhátsági Hulladékgazd. Kft. átvilágításának könyvvizsgálói díj-hoz hozzájárulás</t>
  </si>
  <si>
    <t>Gázvezeték szakítás kártérítése - START munkapr. Közútjavítás programelem</t>
  </si>
  <si>
    <t>Állami alapadat felhaszn.- Körzeti Építésügyi Hatóság által Mélykút adattartalom haszn.</t>
  </si>
  <si>
    <t>2012. évi egységes területalapú támogatás (SAPS)</t>
  </si>
  <si>
    <t>C. Költségvetési hiány belső finanszírozására szolgáló bevételek</t>
  </si>
  <si>
    <t>I. Működési bevételek (1.+…+4.)</t>
  </si>
  <si>
    <t>II. Felhalmozási bevételek (1.+2.+3.)</t>
  </si>
  <si>
    <t>C. KÖLTSÉGVETÉSI HIÁNY BELSŐ FINANSZÍROZÁSÁRA SZOLGÁLÓ BEVÉTELEK (III.)</t>
  </si>
  <si>
    <t>III. Előző évek pénzmaradványának igénybevétele</t>
  </si>
  <si>
    <t>IV. Belföldi értékpapírok bevételei</t>
  </si>
  <si>
    <t>V. Hitelek felvétele</t>
  </si>
  <si>
    <t>Ellátottak pénzbeli jutt.</t>
  </si>
  <si>
    <t>Jánoshalma Város Önkormányzatának  2013. évi költségvetési kiadásai feladatonként</t>
  </si>
  <si>
    <t>Igazgatási feladatok</t>
  </si>
  <si>
    <t>B. Költségvetési bevételek és A. költségvetési kiadások összesítésének egyenlege (hiány/többlet):</t>
  </si>
  <si>
    <t>Önk-nak átengedett egyéb közhatalmi bevételek</t>
  </si>
  <si>
    <t>Magánszemély kommunális adója</t>
  </si>
  <si>
    <t>Egyéb bírság</t>
  </si>
  <si>
    <t>Nyújtott szolgáltatások ellenértéke</t>
  </si>
  <si>
    <t>Egyéb saját bevétel</t>
  </si>
  <si>
    <t>1. Közhatalmi bevételek</t>
  </si>
  <si>
    <t>106/2013.(IV.25.)Kt.hat., 108/2013(IV.28.)Kt. hat. -  Viziközmű Társulat hitelfelvétele három havi kamat</t>
  </si>
  <si>
    <t>KEOP- 4.9.0/11-2011-0069 Sportcsarnok energetikai korszerűsítése projekthez 15% önerő + 235/2013.(IX.12.) Kt. hat alapján további önerő</t>
  </si>
  <si>
    <t>244/2013. (X.10.) Kt. hat. Batthyány u. 14. sz. alatti bérlakás felújítása</t>
  </si>
  <si>
    <t>247/2013. (X.10.) Kt. hat. Rendezési Terv kiegészítése</t>
  </si>
  <si>
    <t>279/2013. (XI.14) Kt. hat. Sportcsarnok védőháló csere</t>
  </si>
  <si>
    <t>Tűzoltóság - sisak, arcvédő beszerzése</t>
  </si>
  <si>
    <t>Jánoshalma - Temerin - Topolya települések közös IPA pályázatához kapcsolódó alkotóház felújítás - önerő</t>
  </si>
  <si>
    <t>Könyvtári érdekeltségnövelő támogatás átadása Lajtha L. Non-profit Kft. részére</t>
  </si>
  <si>
    <t xml:space="preserve">244/2013. (X.10.) Kt. hat. Batthyány u. 14. sz. alatti bérlakás felújítása  </t>
  </si>
  <si>
    <t xml:space="preserve">263/2013. (XI.14.) Kt. hat.Gimnázium és VM ASZK közötti ingatlancsere értékbecslése  </t>
  </si>
  <si>
    <t>Víziközmű fejlesztésre elkülönített összeg</t>
  </si>
  <si>
    <t>1.1. Igazgatási szolgáltatási díj</t>
  </si>
  <si>
    <t>1.2. Felügyeleti jellegű tevékenység díja</t>
  </si>
  <si>
    <t>1.3. Önk-nak átengedett közhatalmi bevételek</t>
  </si>
  <si>
    <t>1.4. Helyi adók és adójellegű bevételek</t>
  </si>
  <si>
    <t>1.5. Adópótlék, adóbírság</t>
  </si>
  <si>
    <t>2. Munkaadót terhelő járulékok és szociális hozzájár. adó</t>
  </si>
  <si>
    <t>3. Dologi kiadások</t>
  </si>
  <si>
    <t xml:space="preserve">       Ebből:- Vis maior tartalék</t>
  </si>
  <si>
    <t xml:space="preserve">                 - Céltartalék</t>
  </si>
  <si>
    <t xml:space="preserve">                 - Általános tartalék</t>
  </si>
  <si>
    <t xml:space="preserve">                - Környezetvédelmi alap</t>
  </si>
  <si>
    <t>4. Ellátottak pénzbeli juttatásai</t>
  </si>
  <si>
    <t>5. Egyéb működési célú kiadások (5.1.+…+5.8.)</t>
  </si>
  <si>
    <t>5.1. Műk. c. garancia- és kezességváll.-ból szárm. kif. állh.-on belülre</t>
  </si>
  <si>
    <t>5.2. Műk. c. visszatérítendő támogatások, kölcs. nyújtása állh.-on belülre</t>
  </si>
  <si>
    <t>5.3. Műk. c. visszatérítendő támogatások, kölcs. törlesztése állh.-on belülre</t>
  </si>
  <si>
    <t>5.4. Műk. c. támogatásértékű kiadások</t>
  </si>
  <si>
    <t>5.5. Műk. c. garancia- és kezességváll.-ból szárm. kif. állh.-on kívülre</t>
  </si>
  <si>
    <t>5.6. Műk. c. visszatérítendő támogatások, kölcs. nyújtása állh.-on kívülre</t>
  </si>
  <si>
    <t>5.7. Műk. c. pénzeszközátadások állh.-on kívülre</t>
  </si>
  <si>
    <t>5.8. Műk. c. céltartalék</t>
  </si>
  <si>
    <t>3.7. Lakástámogatás</t>
  </si>
  <si>
    <t>3.2. Felh. c. visszatérítendő támogatások, kölcs. nyújtása állh.-on belülre</t>
  </si>
  <si>
    <t>3.1. Felh. c. garancia- és kezességváll.-ból szárm. kif. állh.-on belülre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</si>
</sst>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</numFmts>
  <fonts count="9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color indexed="10"/>
      <name val="Times New Roman CE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9"/>
      <name val="Times New Roman CE"/>
      <family val="0"/>
    </font>
    <font>
      <b/>
      <i/>
      <sz val="9"/>
      <name val="Times New Roman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10"/>
      <name val="Times New Roman CE"/>
      <family val="1"/>
    </font>
    <font>
      <b/>
      <sz val="11"/>
      <color indexed="56"/>
      <name val="Times New Roman CE"/>
      <family val="0"/>
    </font>
    <font>
      <b/>
      <sz val="11"/>
      <color indexed="60"/>
      <name val="Times New Roman CE"/>
      <family val="0"/>
    </font>
    <font>
      <b/>
      <sz val="13"/>
      <color indexed="60"/>
      <name val="Times New Roman CE"/>
      <family val="0"/>
    </font>
    <font>
      <b/>
      <sz val="12"/>
      <color indexed="6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sz val="8"/>
      <color indexed="10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2"/>
      <name val="Arial"/>
      <family val="0"/>
    </font>
    <font>
      <b/>
      <sz val="13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Times New Roman CE"/>
      <family val="0"/>
    </font>
    <font>
      <b/>
      <sz val="11"/>
      <color indexed="18"/>
      <name val="Times New Roman CE"/>
      <family val="0"/>
    </font>
    <font>
      <sz val="11"/>
      <color indexed="18"/>
      <name val="Times New Roman CE"/>
      <family val="0"/>
    </font>
    <font>
      <b/>
      <sz val="9"/>
      <color indexed="18"/>
      <name val="Times New Roman CE"/>
      <family val="0"/>
    </font>
    <font>
      <i/>
      <sz val="8"/>
      <name val="Times New Roman CE"/>
      <family val="0"/>
    </font>
    <font>
      <sz val="10"/>
      <color indexed="56"/>
      <name val="Times New Roman"/>
      <family val="1"/>
    </font>
    <font>
      <b/>
      <sz val="11"/>
      <name val="Arial"/>
      <family val="0"/>
    </font>
    <font>
      <b/>
      <i/>
      <sz val="9"/>
      <color indexed="10"/>
      <name val="Arial CE"/>
      <family val="0"/>
    </font>
    <font>
      <sz val="7"/>
      <name val="Arial CE"/>
      <family val="2"/>
    </font>
    <font>
      <b/>
      <i/>
      <sz val="12"/>
      <color indexed="48"/>
      <name val="Arial CE"/>
      <family val="0"/>
    </font>
    <font>
      <sz val="12"/>
      <color indexed="48"/>
      <name val="Arial"/>
      <family val="0"/>
    </font>
    <font>
      <sz val="12"/>
      <name val="Arial CE"/>
      <family val="0"/>
    </font>
    <font>
      <sz val="9"/>
      <name val="Arial"/>
      <family val="0"/>
    </font>
    <font>
      <b/>
      <sz val="14"/>
      <name val="Times New Roman"/>
      <family val="1"/>
    </font>
    <font>
      <b/>
      <sz val="11"/>
      <color indexed="10"/>
      <name val="Arial CE"/>
      <family val="0"/>
    </font>
    <font>
      <sz val="11"/>
      <color indexed="10"/>
      <name val="Times New Roman"/>
      <family val="1"/>
    </font>
    <font>
      <b/>
      <i/>
      <sz val="9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 style="medium"/>
      <right style="thin"/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7" borderId="0" applyNumberFormat="0" applyBorder="0" applyAlignment="0" applyProtection="0"/>
    <xf numFmtId="0" fontId="82" fillId="12" borderId="0" applyNumberFormat="0" applyBorder="0" applyAlignment="0" applyProtection="0"/>
    <xf numFmtId="0" fontId="82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1" borderId="0" applyNumberFormat="0" applyBorder="0" applyAlignment="0" applyProtection="0"/>
    <xf numFmtId="0" fontId="81" fillId="16" borderId="0" applyNumberFormat="0" applyBorder="0" applyAlignment="0" applyProtection="0"/>
    <xf numFmtId="0" fontId="81" fillId="19" borderId="0" applyNumberFormat="0" applyBorder="0" applyAlignment="0" applyProtection="0"/>
    <xf numFmtId="0" fontId="83" fillId="9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0" fillId="21" borderId="7" applyNumberFormat="0" applyFont="0" applyAlignment="0" applyProtection="0"/>
    <xf numFmtId="0" fontId="91" fillId="6" borderId="0" applyNumberFormat="0" applyBorder="0" applyAlignment="0" applyProtection="0"/>
    <xf numFmtId="0" fontId="92" fillId="22" borderId="8" applyNumberFormat="0" applyAlignment="0" applyProtection="0"/>
    <xf numFmtId="0" fontId="9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5" borderId="0" applyNumberFormat="0" applyBorder="0" applyAlignment="0" applyProtection="0"/>
    <xf numFmtId="0" fontId="96" fillId="23" borderId="0" applyNumberFormat="0" applyBorder="0" applyAlignment="0" applyProtection="0"/>
    <xf numFmtId="0" fontId="97" fillId="22" borderId="1" applyNumberFormat="0" applyAlignment="0" applyProtection="0"/>
    <xf numFmtId="9" fontId="0" fillId="0" borderId="0" applyFont="0" applyFill="0" applyBorder="0" applyAlignment="0" applyProtection="0"/>
  </cellStyleXfs>
  <cellXfs count="1170">
    <xf numFmtId="0" fontId="0" fillId="0" borderId="0" xfId="0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left" vertical="center"/>
    </xf>
    <xf numFmtId="3" fontId="11" fillId="0" borderId="19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3" fontId="11" fillId="0" borderId="20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0" fillId="0" borderId="29" xfId="0" applyFont="1" applyFill="1" applyBorder="1" applyAlignment="1">
      <alignment horizontal="left" vertical="center" wrapText="1"/>
    </xf>
    <xf numFmtId="3" fontId="10" fillId="0" borderId="33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1" fillId="0" borderId="0" xfId="57" applyFont="1">
      <alignment/>
      <protection/>
    </xf>
    <xf numFmtId="0" fontId="20" fillId="0" borderId="0" xfId="57" applyFont="1" applyAlignment="1">
      <alignment vertical="center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4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3" fillId="0" borderId="10" xfId="57" applyFont="1" applyBorder="1">
      <alignment/>
      <protection/>
    </xf>
    <xf numFmtId="0" fontId="23" fillId="0" borderId="0" xfId="57" applyFont="1">
      <alignment/>
      <protection/>
    </xf>
    <xf numFmtId="0" fontId="27" fillId="0" borderId="0" xfId="57" applyFont="1">
      <alignment/>
      <protection/>
    </xf>
    <xf numFmtId="0" fontId="28" fillId="0" borderId="0" xfId="57" applyFont="1">
      <alignment/>
      <protection/>
    </xf>
    <xf numFmtId="0" fontId="29" fillId="0" borderId="0" xfId="57" applyFont="1">
      <alignment/>
      <protection/>
    </xf>
    <xf numFmtId="0" fontId="23" fillId="0" borderId="0" xfId="57" applyFont="1" applyBorder="1">
      <alignment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182" fontId="16" fillId="0" borderId="0" xfId="46" applyNumberFormat="1" applyFont="1" applyAlignment="1">
      <alignment vertical="center"/>
    </xf>
    <xf numFmtId="182" fontId="16" fillId="0" borderId="0" xfId="46" applyNumberFormat="1" applyFont="1" applyFill="1" applyAlignment="1">
      <alignment vertical="center"/>
    </xf>
    <xf numFmtId="3" fontId="37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27" fillId="0" borderId="10" xfId="57" applyFont="1" applyBorder="1" applyAlignment="1">
      <alignment horizontal="left" vertical="center" indent="2"/>
      <protection/>
    </xf>
    <xf numFmtId="16" fontId="27" fillId="0" borderId="10" xfId="57" applyNumberFormat="1" applyFont="1" applyBorder="1" applyAlignment="1">
      <alignment horizontal="left" vertical="center" indent="2"/>
      <protection/>
    </xf>
    <xf numFmtId="0" fontId="27" fillId="0" borderId="10" xfId="57" applyFont="1" applyBorder="1" applyAlignment="1">
      <alignment horizontal="left" vertical="center" wrapText="1" indent="2"/>
      <protection/>
    </xf>
    <xf numFmtId="0" fontId="27" fillId="0" borderId="10" xfId="57" applyFont="1" applyBorder="1" applyAlignment="1">
      <alignment horizontal="left" indent="2"/>
      <protection/>
    </xf>
    <xf numFmtId="3" fontId="24" fillId="0" borderId="10" xfId="48" applyNumberFormat="1" applyFont="1" applyBorder="1" applyAlignment="1">
      <alignment horizontal="right"/>
    </xf>
    <xf numFmtId="3" fontId="23" fillId="0" borderId="10" xfId="48" applyNumberFormat="1" applyFont="1" applyBorder="1" applyAlignment="1">
      <alignment horizontal="right"/>
    </xf>
    <xf numFmtId="3" fontId="27" fillId="0" borderId="10" xfId="48" applyNumberFormat="1" applyFont="1" applyBorder="1" applyAlignment="1">
      <alignment horizontal="right"/>
    </xf>
    <xf numFmtId="0" fontId="40" fillId="0" borderId="10" xfId="57" applyFont="1" applyBorder="1" applyAlignment="1">
      <alignment horizontal="left" vertical="center" wrapText="1"/>
      <protection/>
    </xf>
    <xf numFmtId="0" fontId="40" fillId="0" borderId="0" xfId="57" applyFont="1" applyAlignment="1">
      <alignment horizontal="center" vertical="center" wrapText="1"/>
      <protection/>
    </xf>
    <xf numFmtId="3" fontId="40" fillId="0" borderId="10" xfId="48" applyNumberFormat="1" applyFont="1" applyBorder="1" applyAlignment="1">
      <alignment horizontal="right"/>
    </xf>
    <xf numFmtId="0" fontId="40" fillId="0" borderId="10" xfId="57" applyFont="1" applyBorder="1">
      <alignment/>
      <protection/>
    </xf>
    <xf numFmtId="0" fontId="41" fillId="0" borderId="0" xfId="57" applyFont="1">
      <alignment/>
      <protection/>
    </xf>
    <xf numFmtId="0" fontId="42" fillId="0" borderId="10" xfId="57" applyFont="1" applyBorder="1" applyAlignment="1">
      <alignment horizontal="right"/>
      <protection/>
    </xf>
    <xf numFmtId="0" fontId="43" fillId="0" borderId="0" xfId="57" applyFont="1">
      <alignment/>
      <protection/>
    </xf>
    <xf numFmtId="0" fontId="44" fillId="0" borderId="10" xfId="57" applyFont="1" applyBorder="1" applyAlignment="1">
      <alignment vertical="center"/>
      <protection/>
    </xf>
    <xf numFmtId="3" fontId="44" fillId="0" borderId="10" xfId="48" applyNumberFormat="1" applyFont="1" applyBorder="1" applyAlignment="1">
      <alignment horizontal="right"/>
    </xf>
    <xf numFmtId="0" fontId="44" fillId="0" borderId="10" xfId="57" applyFont="1" applyBorder="1">
      <alignment/>
      <protection/>
    </xf>
    <xf numFmtId="0" fontId="44" fillId="0" borderId="0" xfId="57" applyFont="1">
      <alignment/>
      <protection/>
    </xf>
    <xf numFmtId="0" fontId="44" fillId="0" borderId="10" xfId="57" applyFont="1" applyBorder="1" applyAlignment="1">
      <alignment vertical="center" wrapText="1"/>
      <protection/>
    </xf>
    <xf numFmtId="0" fontId="44" fillId="0" borderId="10" xfId="57" applyFont="1" applyBorder="1" applyAlignment="1">
      <alignment horizontal="left" vertical="center"/>
      <protection/>
    </xf>
    <xf numFmtId="0" fontId="45" fillId="0" borderId="0" xfId="57" applyFont="1">
      <alignment/>
      <protection/>
    </xf>
    <xf numFmtId="0" fontId="44" fillId="0" borderId="10" xfId="57" applyFont="1" applyBorder="1" applyAlignment="1">
      <alignment horizontal="left" vertical="center" wrapText="1"/>
      <protection/>
    </xf>
    <xf numFmtId="0" fontId="46" fillId="0" borderId="0" xfId="57" applyFont="1">
      <alignment/>
      <protection/>
    </xf>
    <xf numFmtId="0" fontId="24" fillId="0" borderId="10" xfId="57" applyFont="1" applyBorder="1" applyAlignment="1">
      <alignment horizontal="left" vertical="center" indent="1"/>
      <protection/>
    </xf>
    <xf numFmtId="0" fontId="24" fillId="0" borderId="10" xfId="57" applyFont="1" applyBorder="1" applyAlignment="1">
      <alignment horizontal="left" vertical="center" wrapText="1" indent="1"/>
      <protection/>
    </xf>
    <xf numFmtId="0" fontId="24" fillId="0" borderId="10" xfId="57" applyFont="1" applyBorder="1" applyAlignment="1">
      <alignment horizontal="left" indent="1"/>
      <protection/>
    </xf>
    <xf numFmtId="3" fontId="24" fillId="0" borderId="10" xfId="48" applyNumberFormat="1" applyFont="1" applyBorder="1" applyAlignment="1">
      <alignment horizontal="right" vertical="top"/>
    </xf>
    <xf numFmtId="3" fontId="47" fillId="0" borderId="10" xfId="57" applyNumberFormat="1" applyFont="1" applyBorder="1" applyAlignment="1">
      <alignment horizontal="right" vertical="center"/>
      <protection/>
    </xf>
    <xf numFmtId="0" fontId="40" fillId="0" borderId="10" xfId="57" applyFont="1" applyBorder="1" applyAlignment="1">
      <alignment vertical="top"/>
      <protection/>
    </xf>
    <xf numFmtId="3" fontId="47" fillId="0" borderId="10" xfId="48" applyNumberFormat="1" applyFont="1" applyBorder="1" applyAlignment="1">
      <alignment horizontal="right"/>
    </xf>
    <xf numFmtId="0" fontId="24" fillId="0" borderId="10" xfId="57" applyFont="1" applyBorder="1" applyAlignment="1">
      <alignment horizontal="left" vertical="top" indent="1"/>
      <protection/>
    </xf>
    <xf numFmtId="0" fontId="0" fillId="0" borderId="0" xfId="0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indent="1"/>
    </xf>
    <xf numFmtId="0" fontId="30" fillId="0" borderId="10" xfId="0" applyFont="1" applyBorder="1" applyAlignment="1">
      <alignment horizontal="left" vertical="center" indent="3"/>
    </xf>
    <xf numFmtId="3" fontId="3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1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3" fontId="38" fillId="0" borderId="10" xfId="0" applyNumberFormat="1" applyFont="1" applyFill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7" fillId="0" borderId="10" xfId="0" applyNumberFormat="1" applyFont="1" applyFill="1" applyBorder="1" applyAlignment="1">
      <alignment horizontal="center" vertical="center"/>
    </xf>
    <xf numFmtId="182" fontId="16" fillId="0" borderId="0" xfId="46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indent="1"/>
    </xf>
    <xf numFmtId="0" fontId="26" fillId="0" borderId="10" xfId="0" applyFont="1" applyFill="1" applyBorder="1" applyAlignment="1">
      <alignment horizontal="left" vertical="center" indent="2"/>
    </xf>
    <xf numFmtId="0" fontId="36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5" fillId="0" borderId="1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/>
      <protection/>
    </xf>
    <xf numFmtId="0" fontId="25" fillId="0" borderId="10" xfId="57" applyFont="1" applyBorder="1" applyAlignment="1">
      <alignment horizontal="center"/>
      <protection/>
    </xf>
    <xf numFmtId="0" fontId="11" fillId="0" borderId="1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3" fontId="48" fillId="0" borderId="12" xfId="0" applyNumberFormat="1" applyFont="1" applyFill="1" applyBorder="1" applyAlignment="1">
      <alignment vertical="center"/>
    </xf>
    <xf numFmtId="3" fontId="48" fillId="0" borderId="14" xfId="0" applyNumberFormat="1" applyFont="1" applyFill="1" applyBorder="1" applyAlignment="1">
      <alignment vertical="center"/>
    </xf>
    <xf numFmtId="3" fontId="48" fillId="0" borderId="18" xfId="0" applyNumberFormat="1" applyFont="1" applyFill="1" applyBorder="1" applyAlignment="1">
      <alignment vertical="center"/>
    </xf>
    <xf numFmtId="3" fontId="48" fillId="0" borderId="14" xfId="0" applyNumberFormat="1" applyFont="1" applyFill="1" applyBorder="1" applyAlignment="1">
      <alignment horizontal="right" vertical="center" wrapText="1"/>
    </xf>
    <xf numFmtId="3" fontId="48" fillId="0" borderId="0" xfId="0" applyNumberFormat="1" applyFont="1" applyFill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8" fillId="0" borderId="24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3" fontId="50" fillId="0" borderId="39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 indent="3"/>
    </xf>
    <xf numFmtId="49" fontId="5" fillId="0" borderId="0" xfId="59" applyNumberFormat="1" applyFont="1" applyFill="1" applyAlignment="1">
      <alignment horizontal="center" vertical="center"/>
      <protection/>
    </xf>
    <xf numFmtId="0" fontId="5" fillId="0" borderId="0" xfId="59" applyFont="1" applyFill="1" applyAlignment="1">
      <alignment vertical="center"/>
      <protection/>
    </xf>
    <xf numFmtId="0" fontId="48" fillId="0" borderId="0" xfId="59" applyFont="1" applyFill="1" applyAlignment="1">
      <alignment vertical="center"/>
      <protection/>
    </xf>
    <xf numFmtId="0" fontId="7" fillId="0" borderId="0" xfId="59" applyFont="1" applyFill="1" applyAlignment="1">
      <alignment horizontal="left" vertical="center"/>
      <protection/>
    </xf>
    <xf numFmtId="0" fontId="0" fillId="0" borderId="0" xfId="59" applyAlignment="1">
      <alignment horizontal="left"/>
      <protection/>
    </xf>
    <xf numFmtId="0" fontId="0" fillId="0" borderId="0" xfId="59" applyFill="1" applyAlignment="1">
      <alignment vertical="center"/>
      <protection/>
    </xf>
    <xf numFmtId="0" fontId="19" fillId="0" borderId="0" xfId="58">
      <alignment/>
      <protection/>
    </xf>
    <xf numFmtId="0" fontId="3" fillId="0" borderId="28" xfId="59" applyFont="1" applyFill="1" applyBorder="1" applyAlignment="1">
      <alignment horizontal="center" vertical="center"/>
      <protection/>
    </xf>
    <xf numFmtId="49" fontId="4" fillId="0" borderId="40" xfId="59" applyNumberFormat="1" applyFont="1" applyFill="1" applyBorder="1" applyAlignment="1">
      <alignment vertical="center"/>
      <protection/>
    </xf>
    <xf numFmtId="49" fontId="5" fillId="0" borderId="34" xfId="59" applyNumberFormat="1" applyFont="1" applyFill="1" applyBorder="1" applyAlignment="1">
      <alignment horizontal="center" vertical="center"/>
      <protection/>
    </xf>
    <xf numFmtId="3" fontId="5" fillId="0" borderId="11" xfId="59" applyNumberFormat="1" applyFont="1" applyFill="1" applyBorder="1" applyAlignment="1">
      <alignment vertical="center"/>
      <protection/>
    </xf>
    <xf numFmtId="3" fontId="5" fillId="0" borderId="10" xfId="59" applyNumberFormat="1" applyFont="1" applyFill="1" applyBorder="1" applyAlignment="1">
      <alignment vertical="center"/>
      <protection/>
    </xf>
    <xf numFmtId="3" fontId="5" fillId="0" borderId="34" xfId="59" applyNumberFormat="1" applyFont="1" applyFill="1" applyBorder="1" applyAlignment="1">
      <alignment vertical="center"/>
      <protection/>
    </xf>
    <xf numFmtId="0" fontId="34" fillId="0" borderId="0" xfId="58" applyFont="1">
      <alignment/>
      <protection/>
    </xf>
    <xf numFmtId="3" fontId="5" fillId="0" borderId="11" xfId="59" applyNumberFormat="1" applyFont="1" applyFill="1" applyBorder="1" applyAlignment="1">
      <alignment horizontal="right" vertical="center" wrapText="1"/>
      <protection/>
    </xf>
    <xf numFmtId="3" fontId="5" fillId="0" borderId="10" xfId="59" applyNumberFormat="1" applyFont="1" applyFill="1" applyBorder="1" applyAlignment="1">
      <alignment horizontal="right" vertical="center" wrapText="1"/>
      <protection/>
    </xf>
    <xf numFmtId="3" fontId="52" fillId="0" borderId="27" xfId="59" applyNumberFormat="1" applyFont="1" applyFill="1" applyBorder="1" applyAlignment="1">
      <alignment vertical="center"/>
      <protection/>
    </xf>
    <xf numFmtId="0" fontId="54" fillId="0" borderId="0" xfId="58" applyFont="1">
      <alignment/>
      <protection/>
    </xf>
    <xf numFmtId="0" fontId="19" fillId="0" borderId="0" xfId="58" applyBorder="1">
      <alignment/>
      <protection/>
    </xf>
    <xf numFmtId="0" fontId="19" fillId="0" borderId="41" xfId="58" applyBorder="1">
      <alignment/>
      <protection/>
    </xf>
    <xf numFmtId="0" fontId="34" fillId="0" borderId="42" xfId="58" applyFont="1" applyBorder="1">
      <alignment/>
      <protection/>
    </xf>
    <xf numFmtId="0" fontId="34" fillId="0" borderId="0" xfId="58" applyFont="1" applyBorder="1">
      <alignment/>
      <protection/>
    </xf>
    <xf numFmtId="0" fontId="34" fillId="0" borderId="43" xfId="58" applyFont="1" applyBorder="1" applyAlignment="1">
      <alignment horizontal="left"/>
      <protection/>
    </xf>
    <xf numFmtId="0" fontId="34" fillId="0" borderId="44" xfId="58" applyFont="1" applyBorder="1" applyAlignment="1">
      <alignment horizontal="left"/>
      <protection/>
    </xf>
    <xf numFmtId="0" fontId="34" fillId="0" borderId="0" xfId="58" applyFont="1" applyBorder="1" applyAlignment="1">
      <alignment horizontal="left"/>
      <protection/>
    </xf>
    <xf numFmtId="0" fontId="34" fillId="0" borderId="42" xfId="58" applyFont="1" applyBorder="1" applyAlignment="1">
      <alignment horizontal="right"/>
      <protection/>
    </xf>
    <xf numFmtId="0" fontId="34" fillId="0" borderId="0" xfId="58" applyFont="1" applyBorder="1" applyAlignment="1">
      <alignment horizontal="right"/>
      <protection/>
    </xf>
    <xf numFmtId="0" fontId="19" fillId="0" borderId="42" xfId="58" applyBorder="1" applyAlignment="1">
      <alignment horizontal="right"/>
      <protection/>
    </xf>
    <xf numFmtId="0" fontId="19" fillId="0" borderId="0" xfId="58" applyBorder="1" applyAlignment="1">
      <alignment horizontal="right"/>
      <protection/>
    </xf>
    <xf numFmtId="0" fontId="34" fillId="0" borderId="0" xfId="58" applyFont="1" applyFill="1" applyBorder="1">
      <alignment/>
      <protection/>
    </xf>
    <xf numFmtId="0" fontId="34" fillId="0" borderId="0" xfId="58" applyFont="1" applyBorder="1" applyAlignment="1">
      <alignment horizontal="center"/>
      <protection/>
    </xf>
    <xf numFmtId="0" fontId="19" fillId="0" borderId="45" xfId="58" applyBorder="1">
      <alignment/>
      <protection/>
    </xf>
    <xf numFmtId="0" fontId="19" fillId="0" borderId="44" xfId="58" applyBorder="1">
      <alignment/>
      <protection/>
    </xf>
    <xf numFmtId="0" fontId="19" fillId="0" borderId="43" xfId="58" applyBorder="1">
      <alignment/>
      <protection/>
    </xf>
    <xf numFmtId="0" fontId="32" fillId="0" borderId="0" xfId="58" applyFont="1" applyBorder="1">
      <alignment/>
      <protection/>
    </xf>
    <xf numFmtId="0" fontId="19" fillId="0" borderId="46" xfId="58" applyBorder="1">
      <alignment/>
      <protection/>
    </xf>
    <xf numFmtId="0" fontId="19" fillId="0" borderId="47" xfId="58" applyBorder="1">
      <alignment/>
      <protection/>
    </xf>
    <xf numFmtId="0" fontId="19" fillId="0" borderId="48" xfId="58" applyBorder="1">
      <alignment/>
      <protection/>
    </xf>
    <xf numFmtId="0" fontId="19" fillId="0" borderId="49" xfId="58" applyBorder="1">
      <alignment/>
      <protection/>
    </xf>
    <xf numFmtId="0" fontId="19" fillId="0" borderId="42" xfId="58" applyBorder="1">
      <alignment/>
      <protection/>
    </xf>
    <xf numFmtId="0" fontId="15" fillId="0" borderId="0" xfId="59" applyFont="1" applyFill="1" applyBorder="1" applyAlignment="1">
      <alignment vertical="center" wrapText="1"/>
      <protection/>
    </xf>
    <xf numFmtId="0" fontId="19" fillId="0" borderId="50" xfId="58" applyBorder="1">
      <alignment/>
      <protection/>
    </xf>
    <xf numFmtId="0" fontId="19" fillId="0" borderId="28" xfId="58" applyBorder="1">
      <alignment/>
      <protection/>
    </xf>
    <xf numFmtId="0" fontId="19" fillId="0" borderId="48" xfId="58" applyBorder="1" applyAlignment="1">
      <alignment horizontal="right"/>
      <protection/>
    </xf>
    <xf numFmtId="0" fontId="19" fillId="0" borderId="48" xfId="58" applyBorder="1" applyAlignment="1">
      <alignment/>
      <protection/>
    </xf>
    <xf numFmtId="0" fontId="34" fillId="0" borderId="51" xfId="58" applyFont="1" applyBorder="1" applyAlignment="1">
      <alignment horizontal="left"/>
      <protection/>
    </xf>
    <xf numFmtId="0" fontId="19" fillId="0" borderId="51" xfId="58" applyBorder="1">
      <alignment/>
      <protection/>
    </xf>
    <xf numFmtId="0" fontId="19" fillId="0" borderId="52" xfId="58" applyBorder="1">
      <alignment/>
      <protection/>
    </xf>
    <xf numFmtId="0" fontId="34" fillId="0" borderId="41" xfId="58" applyFont="1" applyBorder="1" applyAlignment="1">
      <alignment horizontal="left"/>
      <protection/>
    </xf>
    <xf numFmtId="0" fontId="34" fillId="0" borderId="41" xfId="58" applyFont="1" applyBorder="1">
      <alignment/>
      <protection/>
    </xf>
    <xf numFmtId="0" fontId="33" fillId="0" borderId="0" xfId="58" applyFont="1" applyBorder="1" applyAlignment="1">
      <alignment horizontal="right" vertical="center"/>
      <protection/>
    </xf>
    <xf numFmtId="0" fontId="19" fillId="0" borderId="53" xfId="58" applyBorder="1">
      <alignment/>
      <protection/>
    </xf>
    <xf numFmtId="3" fontId="22" fillId="0" borderId="10" xfId="57" applyNumberFormat="1" applyFont="1" applyBorder="1" applyAlignment="1">
      <alignment vertical="center"/>
      <protection/>
    </xf>
    <xf numFmtId="182" fontId="30" fillId="0" borderId="0" xfId="46" applyNumberFormat="1" applyFont="1" applyAlignment="1">
      <alignment vertical="center"/>
    </xf>
    <xf numFmtId="182" fontId="7" fillId="0" borderId="0" xfId="46" applyNumberFormat="1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82" fontId="10" fillId="0" borderId="0" xfId="46" applyNumberFormat="1" applyFont="1" applyAlignment="1">
      <alignment vertical="center"/>
    </xf>
    <xf numFmtId="182" fontId="11" fillId="0" borderId="0" xfId="46" applyNumberFormat="1" applyFont="1" applyAlignment="1">
      <alignment vertical="center"/>
    </xf>
    <xf numFmtId="182" fontId="8" fillId="0" borderId="0" xfId="46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10" xfId="0" applyFont="1" applyFill="1" applyBorder="1" applyAlignment="1">
      <alignment vertical="center"/>
    </xf>
    <xf numFmtId="3" fontId="61" fillId="0" borderId="10" xfId="0" applyNumberFormat="1" applyFont="1" applyBorder="1" applyAlignment="1">
      <alignment vertical="center"/>
    </xf>
    <xf numFmtId="182" fontId="62" fillId="0" borderId="0" xfId="46" applyNumberFormat="1" applyFont="1" applyAlignment="1">
      <alignment vertical="center"/>
    </xf>
    <xf numFmtId="0" fontId="61" fillId="0" borderId="0" xfId="0" applyFont="1" applyAlignment="1">
      <alignment vertical="center"/>
    </xf>
    <xf numFmtId="16" fontId="8" fillId="0" borderId="10" xfId="0" applyNumberFormat="1" applyFont="1" applyBorder="1" applyAlignment="1">
      <alignment horizontal="left" vertical="center" indent="2"/>
    </xf>
    <xf numFmtId="0" fontId="63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11" xfId="0" applyNumberFormat="1" applyFont="1" applyFill="1" applyBorder="1" applyAlignment="1">
      <alignment vertical="center"/>
    </xf>
    <xf numFmtId="3" fontId="30" fillId="0" borderId="54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horizontal="left" vertical="center" indent="1"/>
    </xf>
    <xf numFmtId="3" fontId="46" fillId="0" borderId="10" xfId="48" applyNumberFormat="1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3" fillId="0" borderId="55" xfId="58" applyFont="1" applyBorder="1" applyAlignment="1">
      <alignment horizontal="right"/>
      <protection/>
    </xf>
    <xf numFmtId="0" fontId="57" fillId="0" borderId="42" xfId="58" applyFont="1" applyBorder="1" applyAlignment="1">
      <alignment horizontal="right"/>
      <protection/>
    </xf>
    <xf numFmtId="0" fontId="57" fillId="0" borderId="0" xfId="58" applyFont="1" applyBorder="1" applyAlignment="1">
      <alignment horizontal="right"/>
      <protection/>
    </xf>
    <xf numFmtId="3" fontId="65" fillId="0" borderId="10" xfId="48" applyNumberFormat="1" applyFont="1" applyBorder="1" applyAlignment="1">
      <alignment horizontal="right"/>
    </xf>
    <xf numFmtId="49" fontId="5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2" xfId="59" applyFont="1" applyFill="1" applyBorder="1" applyAlignment="1">
      <alignment vertical="center" wrapText="1"/>
      <protection/>
    </xf>
    <xf numFmtId="3" fontId="3" fillId="0" borderId="56" xfId="59" applyNumberFormat="1" applyFont="1" applyFill="1" applyBorder="1" applyAlignment="1">
      <alignment vertical="center" wrapText="1"/>
      <protection/>
    </xf>
    <xf numFmtId="3" fontId="3" fillId="0" borderId="36" xfId="59" applyNumberFormat="1" applyFont="1" applyFill="1" applyBorder="1" applyAlignment="1">
      <alignment vertical="center" wrapText="1"/>
      <protection/>
    </xf>
    <xf numFmtId="3" fontId="3" fillId="0" borderId="10" xfId="59" applyNumberFormat="1" applyFont="1" applyFill="1" applyBorder="1" applyAlignment="1">
      <alignment vertical="center" wrapText="1"/>
      <protection/>
    </xf>
    <xf numFmtId="3" fontId="5" fillId="0" borderId="24" xfId="59" applyNumberFormat="1" applyFont="1" applyFill="1" applyBorder="1" applyAlignment="1">
      <alignment vertical="center"/>
      <protection/>
    </xf>
    <xf numFmtId="3" fontId="5" fillId="0" borderId="21" xfId="59" applyNumberFormat="1" applyFont="1" applyFill="1" applyBorder="1" applyAlignment="1">
      <alignment vertical="center"/>
      <protection/>
    </xf>
    <xf numFmtId="3" fontId="4" fillId="0" borderId="57" xfId="59" applyNumberFormat="1" applyFont="1" applyFill="1" applyBorder="1" applyAlignment="1">
      <alignment vertical="center"/>
      <protection/>
    </xf>
    <xf numFmtId="0" fontId="4" fillId="0" borderId="21" xfId="59" applyFont="1" applyFill="1" applyBorder="1" applyAlignment="1">
      <alignment vertical="center" wrapText="1"/>
      <protection/>
    </xf>
    <xf numFmtId="3" fontId="3" fillId="0" borderId="58" xfId="59" applyNumberFormat="1" applyFont="1" applyFill="1" applyBorder="1" applyAlignment="1">
      <alignment vertical="center" wrapText="1"/>
      <protection/>
    </xf>
    <xf numFmtId="3" fontId="3" fillId="0" borderId="31" xfId="59" applyNumberFormat="1" applyFont="1" applyFill="1" applyBorder="1" applyAlignment="1">
      <alignment vertical="center" wrapText="1"/>
      <protection/>
    </xf>
    <xf numFmtId="3" fontId="3" fillId="0" borderId="56" xfId="59" applyNumberFormat="1" applyFont="1" applyFill="1" applyBorder="1" applyAlignment="1">
      <alignment vertical="center"/>
      <protection/>
    </xf>
    <xf numFmtId="3" fontId="3" fillId="0" borderId="24" xfId="59" applyNumberFormat="1" applyFont="1" applyFill="1" applyBorder="1" applyAlignment="1">
      <alignment vertical="center"/>
      <protection/>
    </xf>
    <xf numFmtId="3" fontId="3" fillId="0" borderId="10" xfId="59" applyNumberFormat="1" applyFont="1" applyFill="1" applyBorder="1" applyAlignment="1">
      <alignment vertical="center"/>
      <protection/>
    </xf>
    <xf numFmtId="3" fontId="51" fillId="0" borderId="56" xfId="59" applyNumberFormat="1" applyFont="1" applyFill="1" applyBorder="1" applyAlignment="1">
      <alignment vertical="center"/>
      <protection/>
    </xf>
    <xf numFmtId="3" fontId="51" fillId="0" borderId="24" xfId="59" applyNumberFormat="1" applyFont="1" applyFill="1" applyBorder="1" applyAlignment="1">
      <alignment vertical="center"/>
      <protection/>
    </xf>
    <xf numFmtId="3" fontId="51" fillId="0" borderId="10" xfId="59" applyNumberFormat="1" applyFont="1" applyFill="1" applyBorder="1" applyAlignment="1">
      <alignment vertical="center"/>
      <protection/>
    </xf>
    <xf numFmtId="0" fontId="4" fillId="0" borderId="22" xfId="59" applyFont="1" applyFill="1" applyBorder="1" applyAlignment="1">
      <alignment vertical="center" wrapText="1"/>
      <protection/>
    </xf>
    <xf numFmtId="0" fontId="19" fillId="0" borderId="0" xfId="58" applyFill="1">
      <alignment/>
      <protection/>
    </xf>
    <xf numFmtId="0" fontId="4" fillId="0" borderId="21" xfId="59" applyFont="1" applyFill="1" applyBorder="1" applyAlignment="1">
      <alignment horizontal="left" vertical="center" wrapText="1"/>
      <protection/>
    </xf>
    <xf numFmtId="3" fontId="3" fillId="0" borderId="56" xfId="59" applyNumberFormat="1" applyFont="1" applyFill="1" applyBorder="1" applyAlignment="1">
      <alignment horizontal="left" vertical="center" wrapText="1"/>
      <protection/>
    </xf>
    <xf numFmtId="3" fontId="3" fillId="0" borderId="24" xfId="59" applyNumberFormat="1" applyFont="1" applyFill="1" applyBorder="1" applyAlignment="1">
      <alignment horizontal="left" vertical="center" wrapText="1"/>
      <protection/>
    </xf>
    <xf numFmtId="3" fontId="3" fillId="0" borderId="10" xfId="59" applyNumberFormat="1" applyFont="1" applyFill="1" applyBorder="1" applyAlignment="1">
      <alignment horizontal="left" vertical="center" wrapText="1"/>
      <protection/>
    </xf>
    <xf numFmtId="3" fontId="5" fillId="0" borderId="34" xfId="59" applyNumberFormat="1" applyFont="1" applyFill="1" applyBorder="1" applyAlignment="1">
      <alignment horizontal="right" vertical="center" wrapText="1"/>
      <protection/>
    </xf>
    <xf numFmtId="3" fontId="3" fillId="0" borderId="56" xfId="59" applyNumberFormat="1" applyFont="1" applyFill="1" applyBorder="1" applyAlignment="1">
      <alignment horizontal="right" vertical="center" wrapText="1"/>
      <protection/>
    </xf>
    <xf numFmtId="3" fontId="3" fillId="0" borderId="24" xfId="59" applyNumberFormat="1" applyFont="1" applyFill="1" applyBorder="1" applyAlignment="1">
      <alignment horizontal="right" vertical="center" wrapText="1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3" fontId="3" fillId="0" borderId="24" xfId="59" applyNumberFormat="1" applyFont="1" applyFill="1" applyBorder="1" applyAlignment="1">
      <alignment vertical="center" wrapText="1"/>
      <protection/>
    </xf>
    <xf numFmtId="3" fontId="52" fillId="0" borderId="37" xfId="59" applyNumberFormat="1" applyFont="1" applyFill="1" applyBorder="1" applyAlignment="1">
      <alignment horizontal="right" vertical="center"/>
      <protection/>
    </xf>
    <xf numFmtId="3" fontId="52" fillId="0" borderId="25" xfId="59" applyNumberFormat="1" applyFont="1" applyFill="1" applyBorder="1" applyAlignment="1">
      <alignment horizontal="right" vertical="center"/>
      <protection/>
    </xf>
    <xf numFmtId="3" fontId="52" fillId="0" borderId="59" xfId="59" applyNumberFormat="1" applyFont="1" applyFill="1" applyBorder="1" applyAlignment="1">
      <alignment horizontal="right" vertical="center"/>
      <protection/>
    </xf>
    <xf numFmtId="3" fontId="52" fillId="0" borderId="39" xfId="59" applyNumberFormat="1" applyFont="1" applyFill="1" applyBorder="1" applyAlignment="1">
      <alignment horizontal="right" vertical="center"/>
      <protection/>
    </xf>
    <xf numFmtId="3" fontId="52" fillId="0" borderId="60" xfId="59" applyNumberFormat="1" applyFont="1" applyFill="1" applyBorder="1" applyAlignment="1">
      <alignment horizontal="right" vertical="center"/>
      <protection/>
    </xf>
    <xf numFmtId="0" fontId="52" fillId="0" borderId="61" xfId="59" applyFont="1" applyFill="1" applyBorder="1" applyAlignment="1">
      <alignment horizontal="left" vertical="center"/>
      <protection/>
    </xf>
    <xf numFmtId="0" fontId="52" fillId="0" borderId="26" xfId="59" applyFont="1" applyFill="1" applyBorder="1" applyAlignment="1">
      <alignment horizontal="left" vertical="center"/>
      <protection/>
    </xf>
    <xf numFmtId="3" fontId="52" fillId="0" borderId="26" xfId="59" applyNumberFormat="1" applyFont="1" applyFill="1" applyBorder="1" applyAlignment="1">
      <alignment vertical="center"/>
      <protection/>
    </xf>
    <xf numFmtId="3" fontId="52" fillId="0" borderId="62" xfId="59" applyNumberFormat="1" applyFont="1" applyFill="1" applyBorder="1" applyAlignment="1">
      <alignment vertical="center"/>
      <protection/>
    </xf>
    <xf numFmtId="49" fontId="4" fillId="0" borderId="63" xfId="59" applyNumberFormat="1" applyFont="1" applyFill="1" applyBorder="1" applyAlignment="1">
      <alignment vertical="center"/>
      <protection/>
    </xf>
    <xf numFmtId="49" fontId="5" fillId="0" borderId="40" xfId="59" applyNumberFormat="1" applyFont="1" applyFill="1" applyBorder="1" applyAlignment="1">
      <alignment horizontal="center" vertical="center"/>
      <protection/>
    </xf>
    <xf numFmtId="3" fontId="68" fillId="0" borderId="56" xfId="59" applyNumberFormat="1" applyFont="1" applyFill="1" applyBorder="1" applyAlignment="1">
      <alignment vertical="center"/>
      <protection/>
    </xf>
    <xf numFmtId="3" fontId="52" fillId="0" borderId="38" xfId="59" applyNumberFormat="1" applyFont="1" applyFill="1" applyBorder="1" applyAlignment="1">
      <alignment vertical="center"/>
      <protection/>
    </xf>
    <xf numFmtId="3" fontId="52" fillId="0" borderId="37" xfId="59" applyNumberFormat="1" applyFont="1" applyFill="1" applyBorder="1" applyAlignment="1">
      <alignment vertical="center"/>
      <protection/>
    </xf>
    <xf numFmtId="3" fontId="52" fillId="0" borderId="60" xfId="59" applyNumberFormat="1" applyFont="1" applyFill="1" applyBorder="1" applyAlignment="1">
      <alignment vertical="center"/>
      <protection/>
    </xf>
    <xf numFmtId="3" fontId="52" fillId="0" borderId="62" xfId="59" applyNumberFormat="1" applyFont="1" applyFill="1" applyBorder="1" applyAlignment="1">
      <alignment vertical="center"/>
      <protection/>
    </xf>
    <xf numFmtId="3" fontId="3" fillId="0" borderId="21" xfId="59" applyNumberFormat="1" applyFont="1" applyFill="1" applyBorder="1" applyAlignment="1">
      <alignment vertical="center"/>
      <protection/>
    </xf>
    <xf numFmtId="3" fontId="3" fillId="0" borderId="32" xfId="59" applyNumberFormat="1" applyFont="1" applyFill="1" applyBorder="1" applyAlignment="1">
      <alignment vertical="center" wrapText="1"/>
      <protection/>
    </xf>
    <xf numFmtId="3" fontId="52" fillId="0" borderId="64" xfId="59" applyNumberFormat="1" applyFont="1" applyFill="1" applyBorder="1" applyAlignment="1">
      <alignment horizontal="right" vertical="center"/>
      <protection/>
    </xf>
    <xf numFmtId="3" fontId="52" fillId="0" borderId="38" xfId="59" applyNumberFormat="1" applyFont="1" applyFill="1" applyBorder="1" applyAlignment="1">
      <alignment horizontal="right" vertical="center"/>
      <protection/>
    </xf>
    <xf numFmtId="3" fontId="69" fillId="0" borderId="37" xfId="59" applyNumberFormat="1" applyFont="1" applyFill="1" applyBorder="1" applyAlignment="1">
      <alignment horizontal="right" vertical="center"/>
      <protection/>
    </xf>
    <xf numFmtId="3" fontId="69" fillId="0" borderId="65" xfId="59" applyNumberFormat="1" applyFont="1" applyFill="1" applyBorder="1" applyAlignment="1">
      <alignment horizontal="right" vertical="center"/>
      <protection/>
    </xf>
    <xf numFmtId="3" fontId="69" fillId="0" borderId="66" xfId="59" applyNumberFormat="1" applyFont="1" applyFill="1" applyBorder="1" applyAlignment="1">
      <alignment horizontal="right" vertical="center"/>
      <protection/>
    </xf>
    <xf numFmtId="3" fontId="69" fillId="0" borderId="67" xfId="59" applyNumberFormat="1" applyFont="1" applyFill="1" applyBorder="1" applyAlignment="1">
      <alignment horizontal="right" vertical="center"/>
      <protection/>
    </xf>
    <xf numFmtId="3" fontId="69" fillId="0" borderId="68" xfId="59" applyNumberFormat="1" applyFont="1" applyFill="1" applyBorder="1" applyAlignment="1">
      <alignment horizontal="right" vertical="center"/>
      <protection/>
    </xf>
    <xf numFmtId="0" fontId="70" fillId="0" borderId="0" xfId="58" applyFont="1">
      <alignment/>
      <protection/>
    </xf>
    <xf numFmtId="0" fontId="19" fillId="0" borderId="0" xfId="58" applyAlignment="1">
      <alignment/>
      <protection/>
    </xf>
    <xf numFmtId="0" fontId="32" fillId="0" borderId="69" xfId="58" applyFont="1" applyBorder="1" applyAlignment="1">
      <alignment horizontal="center"/>
      <protection/>
    </xf>
    <xf numFmtId="0" fontId="32" fillId="0" borderId="28" xfId="58" applyFont="1" applyBorder="1">
      <alignment/>
      <protection/>
    </xf>
    <xf numFmtId="0" fontId="1" fillId="0" borderId="70" xfId="59" applyFont="1" applyFill="1" applyBorder="1" applyAlignment="1">
      <alignment horizontal="center" vertical="center" wrapText="1"/>
      <protection/>
    </xf>
    <xf numFmtId="0" fontId="32" fillId="0" borderId="71" xfId="58" applyFont="1" applyBorder="1" applyAlignment="1">
      <alignment horizontal="center"/>
      <protection/>
    </xf>
    <xf numFmtId="0" fontId="32" fillId="0" borderId="25" xfId="58" applyFont="1" applyBorder="1">
      <alignment/>
      <protection/>
    </xf>
    <xf numFmtId="0" fontId="1" fillId="0" borderId="28" xfId="59" applyFont="1" applyFill="1" applyBorder="1" applyAlignment="1">
      <alignment horizontal="center" vertical="center" wrapText="1"/>
      <protection/>
    </xf>
    <xf numFmtId="0" fontId="32" fillId="0" borderId="72" xfId="58" applyFont="1" applyBorder="1" applyAlignment="1">
      <alignment horizontal="center"/>
      <protection/>
    </xf>
    <xf numFmtId="0" fontId="32" fillId="0" borderId="65" xfId="58" applyFont="1" applyBorder="1">
      <alignment/>
      <protection/>
    </xf>
    <xf numFmtId="0" fontId="34" fillId="0" borderId="73" xfId="58" applyFont="1" applyBorder="1">
      <alignment/>
      <protection/>
    </xf>
    <xf numFmtId="0" fontId="34" fillId="0" borderId="74" xfId="58" applyFont="1" applyBorder="1">
      <alignment/>
      <protection/>
    </xf>
    <xf numFmtId="0" fontId="34" fillId="0" borderId="75" xfId="58" applyFont="1" applyBorder="1">
      <alignment/>
      <protection/>
    </xf>
    <xf numFmtId="3" fontId="34" fillId="24" borderId="43" xfId="58" applyNumberFormat="1" applyFont="1" applyFill="1" applyBorder="1">
      <alignment/>
      <protection/>
    </xf>
    <xf numFmtId="3" fontId="34" fillId="0" borderId="43" xfId="58" applyNumberFormat="1" applyFont="1" applyBorder="1">
      <alignment/>
      <protection/>
    </xf>
    <xf numFmtId="3" fontId="34" fillId="0" borderId="0" xfId="58" applyNumberFormat="1" applyFont="1" applyBorder="1">
      <alignment/>
      <protection/>
    </xf>
    <xf numFmtId="3" fontId="33" fillId="0" borderId="76" xfId="58" applyNumberFormat="1" applyFont="1" applyBorder="1" applyAlignment="1">
      <alignment horizontal="right" vertical="center"/>
      <protection/>
    </xf>
    <xf numFmtId="3" fontId="33" fillId="0" borderId="77" xfId="58" applyNumberFormat="1" applyFont="1" applyBorder="1" applyAlignment="1">
      <alignment horizontal="right" vertical="center"/>
      <protection/>
    </xf>
    <xf numFmtId="3" fontId="33" fillId="0" borderId="0" xfId="58" applyNumberFormat="1" applyFont="1" applyBorder="1" applyAlignment="1">
      <alignment horizontal="right" vertical="center"/>
      <protection/>
    </xf>
    <xf numFmtId="0" fontId="15" fillId="0" borderId="76" xfId="59" applyFont="1" applyFill="1" applyBorder="1" applyAlignment="1">
      <alignment horizontal="center" vertical="center" wrapText="1"/>
      <protection/>
    </xf>
    <xf numFmtId="0" fontId="15" fillId="0" borderId="77" xfId="59" applyFont="1" applyFill="1" applyBorder="1" applyAlignment="1">
      <alignment horizontal="center" vertical="center" wrapText="1"/>
      <protection/>
    </xf>
    <xf numFmtId="3" fontId="34" fillId="24" borderId="0" xfId="58" applyNumberFormat="1" applyFont="1" applyFill="1" applyBorder="1">
      <alignment/>
      <protection/>
    </xf>
    <xf numFmtId="3" fontId="33" fillId="0" borderId="42" xfId="58" applyNumberFormat="1" applyFont="1" applyBorder="1" applyAlignment="1">
      <alignment horizontal="right" vertical="center"/>
      <protection/>
    </xf>
    <xf numFmtId="3" fontId="34" fillId="0" borderId="53" xfId="58" applyNumberFormat="1" applyFont="1" applyBorder="1">
      <alignment/>
      <protection/>
    </xf>
    <xf numFmtId="0" fontId="34" fillId="0" borderId="77" xfId="58" applyFont="1" applyBorder="1">
      <alignment/>
      <protection/>
    </xf>
    <xf numFmtId="0" fontId="57" fillId="0" borderId="74" xfId="58" applyFont="1" applyBorder="1" applyAlignment="1">
      <alignment horizontal="right"/>
      <protection/>
    </xf>
    <xf numFmtId="3" fontId="32" fillId="0" borderId="74" xfId="58" applyNumberFormat="1" applyFont="1" applyBorder="1" applyAlignment="1">
      <alignment horizontal="right"/>
      <protection/>
    </xf>
    <xf numFmtId="3" fontId="32" fillId="0" borderId="0" xfId="58" applyNumberFormat="1" applyFont="1" applyBorder="1">
      <alignment/>
      <protection/>
    </xf>
    <xf numFmtId="3" fontId="32" fillId="0" borderId="75" xfId="58" applyNumberFormat="1" applyFont="1" applyBorder="1">
      <alignment/>
      <protection/>
    </xf>
    <xf numFmtId="3" fontId="56" fillId="0" borderId="42" xfId="58" applyNumberFormat="1" applyFont="1" applyBorder="1" applyAlignment="1">
      <alignment horizontal="right" vertical="center"/>
      <protection/>
    </xf>
    <xf numFmtId="3" fontId="56" fillId="0" borderId="77" xfId="58" applyNumberFormat="1" applyFont="1" applyBorder="1" applyAlignment="1">
      <alignment horizontal="right" vertical="center"/>
      <protection/>
    </xf>
    <xf numFmtId="3" fontId="34" fillId="0" borderId="42" xfId="58" applyNumberFormat="1" applyFont="1" applyBorder="1">
      <alignment/>
      <protection/>
    </xf>
    <xf numFmtId="3" fontId="34" fillId="0" borderId="77" xfId="58" applyNumberFormat="1" applyFont="1" applyBorder="1">
      <alignment/>
      <protection/>
    </xf>
    <xf numFmtId="3" fontId="56" fillId="0" borderId="0" xfId="58" applyNumberFormat="1" applyFont="1" applyBorder="1" applyAlignment="1">
      <alignment horizontal="right" vertical="center"/>
      <protection/>
    </xf>
    <xf numFmtId="0" fontId="34" fillId="0" borderId="74" xfId="58" applyFont="1" applyBorder="1" applyAlignment="1">
      <alignment horizontal="right"/>
      <protection/>
    </xf>
    <xf numFmtId="0" fontId="56" fillId="0" borderId="75" xfId="58" applyFont="1" applyBorder="1">
      <alignment/>
      <protection/>
    </xf>
    <xf numFmtId="3" fontId="56" fillId="0" borderId="42" xfId="58" applyNumberFormat="1" applyFont="1" applyBorder="1">
      <alignment/>
      <protection/>
    </xf>
    <xf numFmtId="3" fontId="56" fillId="0" borderId="53" xfId="58" applyNumberFormat="1" applyFont="1" applyBorder="1">
      <alignment/>
      <protection/>
    </xf>
    <xf numFmtId="3" fontId="56" fillId="0" borderId="77" xfId="58" applyNumberFormat="1" applyFont="1" applyBorder="1">
      <alignment/>
      <protection/>
    </xf>
    <xf numFmtId="3" fontId="56" fillId="0" borderId="0" xfId="58" applyNumberFormat="1" applyFont="1" applyBorder="1">
      <alignment/>
      <protection/>
    </xf>
    <xf numFmtId="0" fontId="19" fillId="0" borderId="74" xfId="58" applyBorder="1" applyAlignment="1">
      <alignment horizontal="right"/>
      <protection/>
    </xf>
    <xf numFmtId="0" fontId="19" fillId="0" borderId="75" xfId="58" applyBorder="1">
      <alignment/>
      <protection/>
    </xf>
    <xf numFmtId="3" fontId="34" fillId="0" borderId="0" xfId="58" applyNumberFormat="1" applyFont="1" applyFill="1" applyBorder="1">
      <alignment/>
      <protection/>
    </xf>
    <xf numFmtId="3" fontId="19" fillId="0" borderId="0" xfId="58" applyNumberFormat="1" applyBorder="1">
      <alignment/>
      <protection/>
    </xf>
    <xf numFmtId="0" fontId="19" fillId="0" borderId="71" xfId="58" applyBorder="1">
      <alignment/>
      <protection/>
    </xf>
    <xf numFmtId="3" fontId="56" fillId="0" borderId="71" xfId="58" applyNumberFormat="1" applyFont="1" applyBorder="1" applyAlignment="1">
      <alignment horizontal="right" vertical="center"/>
      <protection/>
    </xf>
    <xf numFmtId="3" fontId="56" fillId="0" borderId="69" xfId="58" applyNumberFormat="1" applyFont="1" applyBorder="1" applyAlignment="1">
      <alignment horizontal="right" vertical="center"/>
      <protection/>
    </xf>
    <xf numFmtId="3" fontId="34" fillId="0" borderId="78" xfId="58" applyNumberFormat="1" applyFont="1" applyBorder="1">
      <alignment/>
      <protection/>
    </xf>
    <xf numFmtId="3" fontId="34" fillId="0" borderId="71" xfId="58" applyNumberFormat="1" applyFont="1" applyBorder="1">
      <alignment/>
      <protection/>
    </xf>
    <xf numFmtId="3" fontId="34" fillId="0" borderId="69" xfId="58" applyNumberFormat="1" applyFont="1" applyBorder="1">
      <alignment/>
      <protection/>
    </xf>
    <xf numFmtId="3" fontId="32" fillId="0" borderId="79" xfId="58" applyNumberFormat="1" applyFont="1" applyBorder="1" applyAlignment="1">
      <alignment horizontal="right"/>
      <protection/>
    </xf>
    <xf numFmtId="3" fontId="32" fillId="0" borderId="80" xfId="58" applyNumberFormat="1" applyFont="1" applyBorder="1">
      <alignment/>
      <protection/>
    </xf>
    <xf numFmtId="3" fontId="56" fillId="0" borderId="72" xfId="58" applyNumberFormat="1" applyFont="1" applyBorder="1">
      <alignment/>
      <protection/>
    </xf>
    <xf numFmtId="3" fontId="56" fillId="0" borderId="65" xfId="58" applyNumberFormat="1" applyFont="1" applyBorder="1">
      <alignment/>
      <protection/>
    </xf>
    <xf numFmtId="3" fontId="32" fillId="0" borderId="65" xfId="58" applyNumberFormat="1" applyFont="1" applyBorder="1" applyAlignment="1">
      <alignment horizontal="right"/>
      <protection/>
    </xf>
    <xf numFmtId="3" fontId="32" fillId="0" borderId="81" xfId="58" applyNumberFormat="1" applyFont="1" applyBorder="1">
      <alignment/>
      <protection/>
    </xf>
    <xf numFmtId="0" fontId="19" fillId="0" borderId="81" xfId="58" applyBorder="1">
      <alignment/>
      <protection/>
    </xf>
    <xf numFmtId="0" fontId="19" fillId="0" borderId="82" xfId="58" applyBorder="1">
      <alignment/>
      <protection/>
    </xf>
    <xf numFmtId="0" fontId="19" fillId="0" borderId="83" xfId="58" applyBorder="1">
      <alignment/>
      <protection/>
    </xf>
    <xf numFmtId="3" fontId="33" fillId="0" borderId="84" xfId="58" applyNumberFormat="1" applyFont="1" applyBorder="1" applyAlignment="1">
      <alignment horizontal="right"/>
      <protection/>
    </xf>
    <xf numFmtId="3" fontId="56" fillId="0" borderId="69" xfId="58" applyNumberFormat="1" applyFont="1" applyBorder="1" applyAlignment="1">
      <alignment horizontal="right"/>
      <protection/>
    </xf>
    <xf numFmtId="3" fontId="56" fillId="0" borderId="78" xfId="58" applyNumberFormat="1" applyFont="1" applyBorder="1">
      <alignment/>
      <protection/>
    </xf>
    <xf numFmtId="3" fontId="32" fillId="0" borderId="77" xfId="58" applyNumberFormat="1" applyFont="1" applyBorder="1" applyAlignment="1">
      <alignment horizontal="right"/>
      <protection/>
    </xf>
    <xf numFmtId="3" fontId="33" fillId="0" borderId="45" xfId="58" applyNumberFormat="1" applyFont="1" applyBorder="1" applyAlignment="1">
      <alignment horizontal="right"/>
      <protection/>
    </xf>
    <xf numFmtId="3" fontId="56" fillId="0" borderId="42" xfId="58" applyNumberFormat="1" applyFont="1" applyBorder="1" applyAlignment="1">
      <alignment horizontal="right"/>
      <protection/>
    </xf>
    <xf numFmtId="3" fontId="56" fillId="0" borderId="77" xfId="58" applyNumberFormat="1" applyFont="1" applyBorder="1" applyAlignment="1">
      <alignment horizontal="right"/>
      <protection/>
    </xf>
    <xf numFmtId="3" fontId="32" fillId="9" borderId="48" xfId="58" applyNumberFormat="1" applyFont="1" applyFill="1" applyBorder="1">
      <alignment/>
      <protection/>
    </xf>
    <xf numFmtId="3" fontId="32" fillId="9" borderId="85" xfId="58" applyNumberFormat="1" applyFont="1" applyFill="1" applyBorder="1">
      <alignment/>
      <protection/>
    </xf>
    <xf numFmtId="0" fontId="19" fillId="9" borderId="48" xfId="58" applyFill="1" applyBorder="1">
      <alignment/>
      <protection/>
    </xf>
    <xf numFmtId="0" fontId="19" fillId="9" borderId="49" xfId="58" applyFill="1" applyBorder="1">
      <alignment/>
      <protection/>
    </xf>
    <xf numFmtId="3" fontId="33" fillId="9" borderId="55" xfId="58" applyNumberFormat="1" applyFont="1" applyFill="1" applyBorder="1" applyAlignment="1">
      <alignment horizontal="right"/>
      <protection/>
    </xf>
    <xf numFmtId="3" fontId="33" fillId="9" borderId="49" xfId="58" applyNumberFormat="1" applyFont="1" applyFill="1" applyBorder="1" applyAlignment="1">
      <alignment horizontal="right"/>
      <protection/>
    </xf>
    <xf numFmtId="3" fontId="56" fillId="9" borderId="86" xfId="58" applyNumberFormat="1" applyFont="1" applyFill="1" applyBorder="1" applyAlignment="1">
      <alignment horizontal="right"/>
      <protection/>
    </xf>
    <xf numFmtId="3" fontId="56" fillId="9" borderId="87" xfId="58" applyNumberFormat="1" applyFont="1" applyFill="1" applyBorder="1">
      <alignment/>
      <protection/>
    </xf>
    <xf numFmtId="3" fontId="56" fillId="9" borderId="47" xfId="58" applyNumberFormat="1" applyFont="1" applyFill="1" applyBorder="1">
      <alignment/>
      <protection/>
    </xf>
    <xf numFmtId="3" fontId="56" fillId="9" borderId="86" xfId="58" applyNumberFormat="1" applyFont="1" applyFill="1" applyBorder="1">
      <alignment/>
      <protection/>
    </xf>
    <xf numFmtId="0" fontId="19" fillId="0" borderId="42" xfId="58" applyFill="1" applyBorder="1">
      <alignment/>
      <protection/>
    </xf>
    <xf numFmtId="0" fontId="19" fillId="0" borderId="0" xfId="58" applyFill="1" applyBorder="1">
      <alignment/>
      <protection/>
    </xf>
    <xf numFmtId="0" fontId="32" fillId="0" borderId="50" xfId="58" applyFont="1" applyBorder="1" applyAlignment="1">
      <alignment horizontal="center"/>
      <protection/>
    </xf>
    <xf numFmtId="0" fontId="32" fillId="0" borderId="64" xfId="58" applyFont="1" applyBorder="1">
      <alignment/>
      <protection/>
    </xf>
    <xf numFmtId="0" fontId="1" fillId="0" borderId="39" xfId="59" applyFont="1" applyFill="1" applyBorder="1" applyAlignment="1">
      <alignment horizontal="center" vertical="center" wrapText="1"/>
      <protection/>
    </xf>
    <xf numFmtId="0" fontId="32" fillId="0" borderId="28" xfId="58" applyFont="1" applyBorder="1" applyAlignment="1">
      <alignment horizontal="center"/>
      <protection/>
    </xf>
    <xf numFmtId="0" fontId="19" fillId="0" borderId="77" xfId="58" applyBorder="1">
      <alignment/>
      <protection/>
    </xf>
    <xf numFmtId="0" fontId="33" fillId="0" borderId="79" xfId="58" applyFont="1" applyBorder="1" applyAlignment="1">
      <alignment horizontal="right" vertical="center"/>
      <protection/>
    </xf>
    <xf numFmtId="0" fontId="34" fillId="0" borderId="53" xfId="58" applyFont="1" applyBorder="1">
      <alignment/>
      <protection/>
    </xf>
    <xf numFmtId="0" fontId="19" fillId="0" borderId="77" xfId="58" applyBorder="1" applyAlignment="1">
      <alignment horizontal="right"/>
      <protection/>
    </xf>
    <xf numFmtId="3" fontId="34" fillId="0" borderId="0" xfId="58" applyNumberFormat="1" applyFont="1" applyBorder="1" applyAlignment="1">
      <alignment horizontal="right"/>
      <protection/>
    </xf>
    <xf numFmtId="3" fontId="19" fillId="0" borderId="77" xfId="58" applyNumberFormat="1" applyFont="1" applyBorder="1" applyAlignment="1">
      <alignment horizontal="right"/>
      <protection/>
    </xf>
    <xf numFmtId="3" fontId="19" fillId="0" borderId="0" xfId="58" applyNumberFormat="1" applyFont="1" applyBorder="1">
      <alignment/>
      <protection/>
    </xf>
    <xf numFmtId="3" fontId="19" fillId="0" borderId="75" xfId="58" applyNumberFormat="1" applyFont="1" applyBorder="1">
      <alignment/>
      <protection/>
    </xf>
    <xf numFmtId="3" fontId="19" fillId="0" borderId="70" xfId="58" applyNumberFormat="1" applyFont="1" applyBorder="1">
      <alignment/>
      <protection/>
    </xf>
    <xf numFmtId="3" fontId="34" fillId="24" borderId="33" xfId="58" applyNumberFormat="1" applyFont="1" applyFill="1" applyBorder="1">
      <alignment/>
      <protection/>
    </xf>
    <xf numFmtId="0" fontId="19" fillId="0" borderId="72" xfId="58" applyBorder="1">
      <alignment/>
      <protection/>
    </xf>
    <xf numFmtId="3" fontId="34" fillId="24" borderId="82" xfId="58" applyNumberFormat="1" applyFont="1" applyFill="1" applyBorder="1" applyAlignment="1">
      <alignment/>
      <protection/>
    </xf>
    <xf numFmtId="3" fontId="19" fillId="0" borderId="82" xfId="58" applyNumberFormat="1" applyBorder="1">
      <alignment/>
      <protection/>
    </xf>
    <xf numFmtId="3" fontId="33" fillId="0" borderId="68" xfId="58" applyNumberFormat="1" applyFont="1" applyBorder="1" applyAlignment="1">
      <alignment horizontal="right"/>
      <protection/>
    </xf>
    <xf numFmtId="3" fontId="56" fillId="0" borderId="28" xfId="58" applyNumberFormat="1" applyFont="1" applyBorder="1" applyAlignment="1">
      <alignment horizontal="right"/>
      <protection/>
    </xf>
    <xf numFmtId="0" fontId="34" fillId="24" borderId="0" xfId="58" applyFont="1" applyFill="1" applyBorder="1" applyAlignment="1">
      <alignment/>
      <protection/>
    </xf>
    <xf numFmtId="3" fontId="33" fillId="0" borderId="46" xfId="58" applyNumberFormat="1" applyFont="1" applyBorder="1" applyAlignment="1">
      <alignment horizontal="right"/>
      <protection/>
    </xf>
    <xf numFmtId="3" fontId="56" fillId="0" borderId="0" xfId="58" applyNumberFormat="1" applyFont="1" applyBorder="1" applyAlignment="1">
      <alignment horizontal="right"/>
      <protection/>
    </xf>
    <xf numFmtId="3" fontId="32" fillId="9" borderId="86" xfId="58" applyNumberFormat="1" applyFont="1" applyFill="1" applyBorder="1" applyAlignment="1">
      <alignment horizontal="right"/>
      <protection/>
    </xf>
    <xf numFmtId="0" fontId="34" fillId="9" borderId="47" xfId="58" applyFont="1" applyFill="1" applyBorder="1" applyAlignment="1">
      <alignment horizontal="left"/>
      <protection/>
    </xf>
    <xf numFmtId="3" fontId="33" fillId="9" borderId="88" xfId="58" applyNumberFormat="1" applyFont="1" applyFill="1" applyBorder="1" applyAlignment="1">
      <alignment horizontal="right"/>
      <protection/>
    </xf>
    <xf numFmtId="3" fontId="56" fillId="9" borderId="48" xfId="58" applyNumberFormat="1" applyFont="1" applyFill="1" applyBorder="1" applyAlignment="1">
      <alignment horizontal="right"/>
      <protection/>
    </xf>
    <xf numFmtId="0" fontId="19" fillId="0" borderId="86" xfId="58" applyBorder="1" applyAlignment="1">
      <alignment horizontal="right"/>
      <protection/>
    </xf>
    <xf numFmtId="0" fontId="19" fillId="0" borderId="85" xfId="58" applyBorder="1">
      <alignment/>
      <protection/>
    </xf>
    <xf numFmtId="3" fontId="33" fillId="0" borderId="88" xfId="58" applyNumberFormat="1" applyFont="1" applyBorder="1" applyAlignment="1">
      <alignment horizontal="right"/>
      <protection/>
    </xf>
    <xf numFmtId="0" fontId="33" fillId="0" borderId="48" xfId="58" applyFont="1" applyBorder="1" applyAlignment="1">
      <alignment horizontal="right"/>
      <protection/>
    </xf>
    <xf numFmtId="0" fontId="33" fillId="0" borderId="86" xfId="58" applyFont="1" applyBorder="1" applyAlignment="1">
      <alignment horizontal="right"/>
      <protection/>
    </xf>
    <xf numFmtId="0" fontId="19" fillId="0" borderId="87" xfId="58" applyBorder="1">
      <alignment/>
      <protection/>
    </xf>
    <xf numFmtId="0" fontId="19" fillId="0" borderId="86" xfId="58" applyBorder="1">
      <alignment/>
      <protection/>
    </xf>
    <xf numFmtId="3" fontId="19" fillId="0" borderId="0" xfId="58" applyNumberFormat="1">
      <alignment/>
      <protection/>
    </xf>
    <xf numFmtId="3" fontId="34" fillId="0" borderId="0" xfId="58" applyNumberFormat="1" applyFont="1">
      <alignment/>
      <protection/>
    </xf>
    <xf numFmtId="3" fontId="33" fillId="0" borderId="70" xfId="58" applyNumberFormat="1" applyFont="1" applyBorder="1">
      <alignment/>
      <protection/>
    </xf>
    <xf numFmtId="3" fontId="56" fillId="0" borderId="71" xfId="58" applyNumberFormat="1" applyFont="1" applyBorder="1">
      <alignment/>
      <protection/>
    </xf>
    <xf numFmtId="3" fontId="56" fillId="0" borderId="69" xfId="58" applyNumberFormat="1" applyFont="1" applyBorder="1">
      <alignment/>
      <protection/>
    </xf>
    <xf numFmtId="3" fontId="32" fillId="0" borderId="43" xfId="58" applyNumberFormat="1" applyFont="1" applyBorder="1">
      <alignment/>
      <protection/>
    </xf>
    <xf numFmtId="3" fontId="33" fillId="0" borderId="89" xfId="58" applyNumberFormat="1" applyFont="1" applyBorder="1">
      <alignment/>
      <protection/>
    </xf>
    <xf numFmtId="3" fontId="19" fillId="0" borderId="86" xfId="58" applyNumberFormat="1" applyFont="1" applyBorder="1">
      <alignment/>
      <protection/>
    </xf>
    <xf numFmtId="3" fontId="19" fillId="0" borderId="48" xfId="58" applyNumberFormat="1" applyFont="1" applyBorder="1">
      <alignment/>
      <protection/>
    </xf>
    <xf numFmtId="3" fontId="19" fillId="0" borderId="85" xfId="58" applyNumberFormat="1" applyFont="1" applyBorder="1">
      <alignment/>
      <protection/>
    </xf>
    <xf numFmtId="3" fontId="19" fillId="0" borderId="48" xfId="58" applyNumberFormat="1" applyBorder="1">
      <alignment/>
      <protection/>
    </xf>
    <xf numFmtId="3" fontId="19" fillId="0" borderId="88" xfId="58" applyNumberFormat="1" applyBorder="1">
      <alignment/>
      <protection/>
    </xf>
    <xf numFmtId="3" fontId="34" fillId="0" borderId="48" xfId="58" applyNumberFormat="1" applyFont="1" applyBorder="1">
      <alignment/>
      <protection/>
    </xf>
    <xf numFmtId="3" fontId="34" fillId="0" borderId="86" xfId="58" applyNumberFormat="1" applyFont="1" applyBorder="1">
      <alignment/>
      <protection/>
    </xf>
    <xf numFmtId="3" fontId="34" fillId="0" borderId="87" xfId="58" applyNumberFormat="1" applyFont="1" applyBorder="1">
      <alignment/>
      <protection/>
    </xf>
    <xf numFmtId="3" fontId="34" fillId="0" borderId="47" xfId="58" applyNumberFormat="1" applyFont="1" applyBorder="1">
      <alignment/>
      <protection/>
    </xf>
    <xf numFmtId="3" fontId="32" fillId="9" borderId="86" xfId="58" applyNumberFormat="1" applyFont="1" applyFill="1" applyBorder="1">
      <alignment/>
      <protection/>
    </xf>
    <xf numFmtId="3" fontId="32" fillId="9" borderId="0" xfId="58" applyNumberFormat="1" applyFont="1" applyFill="1" applyBorder="1">
      <alignment/>
      <protection/>
    </xf>
    <xf numFmtId="3" fontId="32" fillId="9" borderId="90" xfId="58" applyNumberFormat="1" applyFont="1" applyFill="1" applyBorder="1">
      <alignment/>
      <protection/>
    </xf>
    <xf numFmtId="0" fontId="34" fillId="9" borderId="0" xfId="58" applyFont="1" applyFill="1" applyBorder="1" applyAlignment="1">
      <alignment horizontal="left" wrapText="1"/>
      <protection/>
    </xf>
    <xf numFmtId="0" fontId="19" fillId="9" borderId="44" xfId="58" applyFill="1" applyBorder="1">
      <alignment/>
      <protection/>
    </xf>
    <xf numFmtId="3" fontId="33" fillId="9" borderId="45" xfId="58" applyNumberFormat="1" applyFont="1" applyFill="1" applyBorder="1">
      <alignment/>
      <protection/>
    </xf>
    <xf numFmtId="0" fontId="19" fillId="9" borderId="0" xfId="58" applyFill="1">
      <alignment/>
      <protection/>
    </xf>
    <xf numFmtId="3" fontId="33" fillId="9" borderId="49" xfId="58" applyNumberFormat="1" applyFont="1" applyFill="1" applyBorder="1">
      <alignment/>
      <protection/>
    </xf>
    <xf numFmtId="3" fontId="58" fillId="0" borderId="91" xfId="58" applyNumberFormat="1" applyFont="1" applyBorder="1" applyAlignment="1">
      <alignment horizontal="center"/>
      <protection/>
    </xf>
    <xf numFmtId="3" fontId="58" fillId="0" borderId="92" xfId="58" applyNumberFormat="1" applyFont="1" applyBorder="1" applyAlignment="1">
      <alignment horizontal="center"/>
      <protection/>
    </xf>
    <xf numFmtId="3" fontId="58" fillId="0" borderId="93" xfId="58" applyNumberFormat="1" applyFont="1" applyBorder="1">
      <alignment/>
      <protection/>
    </xf>
    <xf numFmtId="3" fontId="33" fillId="0" borderId="51" xfId="58" applyNumberFormat="1" applyFont="1" applyBorder="1" applyAlignment="1">
      <alignment horizontal="right" vertical="center"/>
      <protection/>
    </xf>
    <xf numFmtId="3" fontId="33" fillId="0" borderId="94" xfId="58" applyNumberFormat="1" applyFont="1" applyBorder="1">
      <alignment/>
      <protection/>
    </xf>
    <xf numFmtId="3" fontId="33" fillId="0" borderId="51" xfId="58" applyNumberFormat="1" applyFont="1" applyBorder="1">
      <alignment/>
      <protection/>
    </xf>
    <xf numFmtId="3" fontId="59" fillId="0" borderId="95" xfId="58" applyNumberFormat="1" applyFont="1" applyBorder="1">
      <alignment/>
      <protection/>
    </xf>
    <xf numFmtId="3" fontId="59" fillId="0" borderId="91" xfId="58" applyNumberFormat="1" applyFont="1" applyBorder="1">
      <alignment/>
      <protection/>
    </xf>
    <xf numFmtId="3" fontId="59" fillId="0" borderId="96" xfId="58" applyNumberFormat="1" applyFont="1" applyBorder="1">
      <alignment/>
      <protection/>
    </xf>
    <xf numFmtId="3" fontId="59" fillId="0" borderId="52" xfId="58" applyNumberFormat="1" applyFont="1" applyBorder="1">
      <alignment/>
      <protection/>
    </xf>
    <xf numFmtId="0" fontId="32" fillId="0" borderId="0" xfId="58" applyFont="1" applyAlignment="1">
      <alignment horizontal="center"/>
      <protection/>
    </xf>
    <xf numFmtId="0" fontId="32" fillId="0" borderId="0" xfId="58" applyFont="1" applyAlignment="1">
      <alignment horizontal="right"/>
      <protection/>
    </xf>
    <xf numFmtId="0" fontId="32" fillId="0" borderId="0" xfId="58" applyFont="1" applyAlignment="1">
      <alignment horizontal="left"/>
      <protection/>
    </xf>
    <xf numFmtId="0" fontId="19" fillId="0" borderId="0" xfId="58" applyFont="1">
      <alignment/>
      <protection/>
    </xf>
    <xf numFmtId="0" fontId="19" fillId="0" borderId="36" xfId="58" applyFont="1" applyBorder="1">
      <alignment/>
      <protection/>
    </xf>
    <xf numFmtId="3" fontId="19" fillId="0" borderId="36" xfId="58" applyNumberFormat="1" applyBorder="1">
      <alignment/>
      <protection/>
    </xf>
    <xf numFmtId="0" fontId="19" fillId="0" borderId="36" xfId="58" applyBorder="1">
      <alignment/>
      <protection/>
    </xf>
    <xf numFmtId="0" fontId="19" fillId="0" borderId="0" xfId="58" applyFont="1" applyAlignment="1">
      <alignment horizontal="right"/>
      <protection/>
    </xf>
    <xf numFmtId="0" fontId="0" fillId="0" borderId="0" xfId="0" applyAlignment="1">
      <alignment horizontal="left"/>
    </xf>
    <xf numFmtId="0" fontId="32" fillId="0" borderId="0" xfId="58" applyFont="1">
      <alignment/>
      <protection/>
    </xf>
    <xf numFmtId="3" fontId="32" fillId="0" borderId="0" xfId="58" applyNumberFormat="1" applyFont="1">
      <alignment/>
      <protection/>
    </xf>
    <xf numFmtId="0" fontId="9" fillId="0" borderId="0" xfId="0" applyFont="1" applyFill="1" applyAlignment="1">
      <alignment horizontal="center" vertical="center"/>
    </xf>
    <xf numFmtId="0" fontId="72" fillId="0" borderId="36" xfId="58" applyFont="1" applyBorder="1">
      <alignment/>
      <protection/>
    </xf>
    <xf numFmtId="0" fontId="1" fillId="0" borderId="80" xfId="59" applyFont="1" applyFill="1" applyBorder="1" applyAlignment="1">
      <alignment horizontal="center" vertical="center" wrapText="1"/>
      <protection/>
    </xf>
    <xf numFmtId="0" fontId="15" fillId="0" borderId="97" xfId="59" applyFont="1" applyFill="1" applyBorder="1" applyAlignment="1">
      <alignment horizontal="center" vertical="center" wrapText="1"/>
      <protection/>
    </xf>
    <xf numFmtId="0" fontId="56" fillId="0" borderId="75" xfId="58" applyFont="1" applyBorder="1" applyAlignment="1">
      <alignment horizontal="right" vertical="center"/>
      <protection/>
    </xf>
    <xf numFmtId="3" fontId="56" fillId="0" borderId="75" xfId="58" applyNumberFormat="1" applyFont="1" applyBorder="1" applyAlignment="1">
      <alignment horizontal="right" vertical="center"/>
      <protection/>
    </xf>
    <xf numFmtId="3" fontId="56" fillId="0" borderId="75" xfId="58" applyNumberFormat="1" applyFont="1" applyBorder="1">
      <alignment/>
      <protection/>
    </xf>
    <xf numFmtId="3" fontId="56" fillId="0" borderId="70" xfId="58" applyNumberFormat="1" applyFont="1" applyBorder="1" applyAlignment="1">
      <alignment horizontal="right" vertical="center"/>
      <protection/>
    </xf>
    <xf numFmtId="3" fontId="56" fillId="0" borderId="80" xfId="58" applyNumberFormat="1" applyFont="1" applyBorder="1" applyAlignment="1">
      <alignment horizontal="right" vertical="center"/>
      <protection/>
    </xf>
    <xf numFmtId="3" fontId="56" fillId="9" borderId="85" xfId="58" applyNumberFormat="1" applyFont="1" applyFill="1" applyBorder="1" applyAlignment="1">
      <alignment horizontal="right" vertical="center"/>
      <protection/>
    </xf>
    <xf numFmtId="0" fontId="56" fillId="0" borderId="98" xfId="58" applyFont="1" applyBorder="1" applyAlignment="1">
      <alignment horizontal="right" vertical="center"/>
      <protection/>
    </xf>
    <xf numFmtId="3" fontId="56" fillId="0" borderId="85" xfId="58" applyNumberFormat="1" applyFont="1" applyBorder="1" applyAlignment="1">
      <alignment horizontal="right" vertical="center"/>
      <protection/>
    </xf>
    <xf numFmtId="3" fontId="59" fillId="0" borderId="98" xfId="58" applyNumberFormat="1" applyFont="1" applyBorder="1">
      <alignment/>
      <protection/>
    </xf>
    <xf numFmtId="0" fontId="5" fillId="0" borderId="4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3" fontId="74" fillId="0" borderId="39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44" xfId="58" applyFont="1" applyBorder="1" applyAlignment="1">
      <alignment horizontal="left" wrapText="1"/>
      <protection/>
    </xf>
    <xf numFmtId="0" fontId="34" fillId="0" borderId="0" xfId="58" applyFont="1" applyAlignment="1">
      <alignment horizontal="left" wrapText="1"/>
      <protection/>
    </xf>
    <xf numFmtId="3" fontId="3" fillId="0" borderId="36" xfId="59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/>
    </xf>
    <xf numFmtId="3" fontId="34" fillId="0" borderId="28" xfId="58" applyNumberFormat="1" applyFont="1" applyBorder="1">
      <alignment/>
      <protection/>
    </xf>
    <xf numFmtId="3" fontId="33" fillId="0" borderId="46" xfId="58" applyNumberFormat="1" applyFont="1" applyBorder="1">
      <alignment/>
      <protection/>
    </xf>
    <xf numFmtId="3" fontId="34" fillId="0" borderId="33" xfId="58" applyNumberFormat="1" applyFont="1" applyFill="1" applyBorder="1">
      <alignment/>
      <protection/>
    </xf>
    <xf numFmtId="0" fontId="34" fillId="0" borderId="61" xfId="58" applyFont="1" applyBorder="1" applyAlignment="1">
      <alignment horizontal="left"/>
      <protection/>
    </xf>
    <xf numFmtId="0" fontId="34" fillId="0" borderId="61" xfId="58" applyFont="1" applyBorder="1">
      <alignment/>
      <protection/>
    </xf>
    <xf numFmtId="0" fontId="34" fillId="0" borderId="43" xfId="58" applyFont="1" applyBorder="1">
      <alignment/>
      <protection/>
    </xf>
    <xf numFmtId="3" fontId="34" fillId="0" borderId="99" xfId="58" applyNumberFormat="1" applyFont="1" applyFill="1" applyBorder="1">
      <alignment/>
      <protection/>
    </xf>
    <xf numFmtId="0" fontId="19" fillId="0" borderId="33" xfId="58" applyBorder="1">
      <alignment/>
      <protection/>
    </xf>
    <xf numFmtId="0" fontId="19" fillId="0" borderId="19" xfId="58" applyBorder="1">
      <alignment/>
      <protection/>
    </xf>
    <xf numFmtId="3" fontId="34" fillId="24" borderId="99" xfId="58" applyNumberFormat="1" applyFont="1" applyFill="1" applyBorder="1">
      <alignment/>
      <protection/>
    </xf>
    <xf numFmtId="3" fontId="34" fillId="0" borderId="100" xfId="58" applyNumberFormat="1" applyFont="1" applyBorder="1">
      <alignment/>
      <protection/>
    </xf>
    <xf numFmtId="0" fontId="34" fillId="0" borderId="76" xfId="58" applyFont="1" applyBorder="1" applyAlignment="1">
      <alignment horizontal="left"/>
      <protection/>
    </xf>
    <xf numFmtId="3" fontId="33" fillId="0" borderId="46" xfId="58" applyNumberFormat="1" applyFont="1" applyBorder="1" applyAlignment="1">
      <alignment vertical="center"/>
      <protection/>
    </xf>
    <xf numFmtId="3" fontId="33" fillId="0" borderId="101" xfId="58" applyNumberFormat="1" applyFont="1" applyBorder="1" applyAlignment="1">
      <alignment vertical="center"/>
      <protection/>
    </xf>
    <xf numFmtId="0" fontId="34" fillId="0" borderId="33" xfId="58" applyFont="1" applyBorder="1">
      <alignment/>
      <protection/>
    </xf>
    <xf numFmtId="3" fontId="34" fillId="0" borderId="33" xfId="58" applyNumberFormat="1" applyFont="1" applyBorder="1">
      <alignment/>
      <protection/>
    </xf>
    <xf numFmtId="0" fontId="34" fillId="0" borderId="19" xfId="58" applyFont="1" applyBorder="1">
      <alignment/>
      <protection/>
    </xf>
    <xf numFmtId="0" fontId="56" fillId="0" borderId="76" xfId="58" applyFont="1" applyBorder="1">
      <alignment/>
      <protection/>
    </xf>
    <xf numFmtId="3" fontId="56" fillId="9" borderId="102" xfId="58" applyNumberFormat="1" applyFont="1" applyFill="1" applyBorder="1">
      <alignment/>
      <protection/>
    </xf>
    <xf numFmtId="3" fontId="56" fillId="9" borderId="91" xfId="58" applyNumberFormat="1" applyFont="1" applyFill="1" applyBorder="1">
      <alignment/>
      <protection/>
    </xf>
    <xf numFmtId="3" fontId="56" fillId="9" borderId="98" xfId="58" applyNumberFormat="1" applyFont="1" applyFill="1" applyBorder="1">
      <alignment/>
      <protection/>
    </xf>
    <xf numFmtId="3" fontId="56" fillId="0" borderId="103" xfId="58" applyNumberFormat="1" applyFont="1" applyBorder="1">
      <alignment/>
      <protection/>
    </xf>
    <xf numFmtId="0" fontId="10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right" vertical="center"/>
    </xf>
    <xf numFmtId="3" fontId="75" fillId="0" borderId="10" xfId="0" applyNumberFormat="1" applyFont="1" applyBorder="1" applyAlignment="1">
      <alignment vertical="center"/>
    </xf>
    <xf numFmtId="3" fontId="75" fillId="0" borderId="11" xfId="0" applyNumberFormat="1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" fontId="50" fillId="0" borderId="27" xfId="0" applyNumberFormat="1" applyFont="1" applyFill="1" applyBorder="1" applyAlignment="1">
      <alignment vertical="center"/>
    </xf>
    <xf numFmtId="3" fontId="0" fillId="6" borderId="104" xfId="0" applyNumberFormat="1" applyFill="1" applyBorder="1" applyAlignment="1">
      <alignment/>
    </xf>
    <xf numFmtId="3" fontId="0" fillId="0" borderId="105" xfId="0" applyNumberFormat="1" applyBorder="1" applyAlignment="1">
      <alignment/>
    </xf>
    <xf numFmtId="3" fontId="0" fillId="0" borderId="106" xfId="0" applyNumberFormat="1" applyBorder="1" applyAlignment="1">
      <alignment/>
    </xf>
    <xf numFmtId="3" fontId="0" fillId="6" borderId="107" xfId="0" applyNumberFormat="1" applyFill="1" applyBorder="1" applyAlignment="1">
      <alignment/>
    </xf>
    <xf numFmtId="3" fontId="0" fillId="6" borderId="34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6" borderId="56" xfId="0" applyNumberFormat="1" applyFill="1" applyBorder="1" applyAlignment="1">
      <alignment/>
    </xf>
    <xf numFmtId="3" fontId="32" fillId="6" borderId="108" xfId="0" applyNumberFormat="1" applyFont="1" applyFill="1" applyBorder="1" applyAlignment="1">
      <alignment/>
    </xf>
    <xf numFmtId="3" fontId="0" fillId="0" borderId="29" xfId="0" applyNumberFormat="1" applyBorder="1" applyAlignment="1">
      <alignment/>
    </xf>
    <xf numFmtId="3" fontId="0" fillId="6" borderId="108" xfId="0" applyNumberFormat="1" applyFill="1" applyBorder="1" applyAlignment="1">
      <alignment/>
    </xf>
    <xf numFmtId="3" fontId="0" fillId="6" borderId="109" xfId="0" applyNumberForma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/>
    </xf>
    <xf numFmtId="0" fontId="23" fillId="0" borderId="110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/>
    </xf>
    <xf numFmtId="0" fontId="23" fillId="0" borderId="109" xfId="0" applyFont="1" applyBorder="1" applyAlignment="1">
      <alignment horizontal="center"/>
    </xf>
    <xf numFmtId="0" fontId="24" fillId="0" borderId="45" xfId="0" applyFont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6" xfId="0" applyBorder="1" applyAlignment="1">
      <alignment horizontal="center"/>
    </xf>
    <xf numFmtId="0" fontId="23" fillId="0" borderId="4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104" xfId="0" applyBorder="1" applyAlignment="1">
      <alignment horizontal="left"/>
    </xf>
    <xf numFmtId="0" fontId="0" fillId="0" borderId="111" xfId="0" applyBorder="1" applyAlignment="1">
      <alignment/>
    </xf>
    <xf numFmtId="0" fontId="23" fillId="0" borderId="109" xfId="0" applyFont="1" applyBorder="1" applyAlignment="1">
      <alignment horizontal="center" vertical="center"/>
    </xf>
    <xf numFmtId="0" fontId="0" fillId="0" borderId="112" xfId="0" applyBorder="1" applyAlignment="1">
      <alignment horizontal="left"/>
    </xf>
    <xf numFmtId="3" fontId="0" fillId="6" borderId="112" xfId="0" applyNumberFormat="1" applyFill="1" applyBorder="1" applyAlignment="1">
      <alignment/>
    </xf>
    <xf numFmtId="0" fontId="0" fillId="0" borderId="30" xfId="0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14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3" fontId="32" fillId="24" borderId="116" xfId="0" applyNumberFormat="1" applyFont="1" applyFill="1" applyBorder="1" applyAlignment="1">
      <alignment/>
    </xf>
    <xf numFmtId="0" fontId="32" fillId="0" borderId="117" xfId="0" applyFont="1" applyBorder="1" applyAlignment="1">
      <alignment/>
    </xf>
    <xf numFmtId="3" fontId="32" fillId="6" borderId="117" xfId="0" applyNumberFormat="1" applyFont="1" applyFill="1" applyBorder="1" applyAlignment="1">
      <alignment/>
    </xf>
    <xf numFmtId="3" fontId="32" fillId="6" borderId="118" xfId="0" applyNumberFormat="1" applyFont="1" applyFill="1" applyBorder="1" applyAlignment="1">
      <alignment/>
    </xf>
    <xf numFmtId="0" fontId="32" fillId="0" borderId="118" xfId="0" applyFont="1" applyBorder="1" applyAlignment="1">
      <alignment/>
    </xf>
    <xf numFmtId="0" fontId="0" fillId="0" borderId="108" xfId="0" applyBorder="1" applyAlignment="1">
      <alignment/>
    </xf>
    <xf numFmtId="3" fontId="0" fillId="0" borderId="30" xfId="0" applyNumberFormat="1" applyBorder="1" applyAlignment="1">
      <alignment/>
    </xf>
    <xf numFmtId="0" fontId="32" fillId="0" borderId="84" xfId="0" applyFont="1" applyBorder="1" applyAlignment="1">
      <alignment/>
    </xf>
    <xf numFmtId="3" fontId="32" fillId="6" borderId="83" xfId="0" applyNumberFormat="1" applyFont="1" applyFill="1" applyBorder="1" applyAlignment="1">
      <alignment/>
    </xf>
    <xf numFmtId="3" fontId="32" fillId="24" borderId="65" xfId="0" applyNumberFormat="1" applyFont="1" applyFill="1" applyBorder="1" applyAlignment="1">
      <alignment/>
    </xf>
    <xf numFmtId="3" fontId="32" fillId="24" borderId="119" xfId="0" applyNumberFormat="1" applyFont="1" applyFill="1" applyBorder="1" applyAlignment="1">
      <alignment/>
    </xf>
    <xf numFmtId="3" fontId="32" fillId="6" borderId="67" xfId="0" applyNumberFormat="1" applyFont="1" applyFill="1" applyBorder="1" applyAlignment="1">
      <alignment/>
    </xf>
    <xf numFmtId="0" fontId="24" fillId="0" borderId="1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 wrapText="1"/>
    </xf>
    <xf numFmtId="0" fontId="32" fillId="0" borderId="44" xfId="0" applyFont="1" applyBorder="1" applyAlignment="1">
      <alignment/>
    </xf>
    <xf numFmtId="3" fontId="32" fillId="6" borderId="0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0" fillId="6" borderId="58" xfId="0" applyNumberFormat="1" applyFill="1" applyBorder="1" applyAlignment="1">
      <alignment/>
    </xf>
    <xf numFmtId="0" fontId="56" fillId="0" borderId="41" xfId="0" applyFont="1" applyBorder="1" applyAlignment="1">
      <alignment/>
    </xf>
    <xf numFmtId="0" fontId="56" fillId="0" borderId="121" xfId="0" applyFont="1" applyBorder="1" applyAlignment="1">
      <alignment/>
    </xf>
    <xf numFmtId="0" fontId="0" fillId="0" borderId="122" xfId="0" applyBorder="1" applyAlignment="1">
      <alignment/>
    </xf>
    <xf numFmtId="0" fontId="56" fillId="0" borderId="123" xfId="0" applyFont="1" applyBorder="1" applyAlignment="1">
      <alignment/>
    </xf>
    <xf numFmtId="3" fontId="32" fillId="6" borderId="124" xfId="0" applyNumberFormat="1" applyFont="1" applyFill="1" applyBorder="1" applyAlignment="1">
      <alignment/>
    </xf>
    <xf numFmtId="0" fontId="0" fillId="0" borderId="125" xfId="0" applyBorder="1" applyAlignment="1">
      <alignment horizontal="left"/>
    </xf>
    <xf numFmtId="0" fontId="0" fillId="0" borderId="77" xfId="0" applyBorder="1" applyAlignment="1">
      <alignment horizontal="center"/>
    </xf>
    <xf numFmtId="3" fontId="0" fillId="6" borderId="45" xfId="0" applyNumberFormat="1" applyFill="1" applyBorder="1" applyAlignment="1">
      <alignment/>
    </xf>
    <xf numFmtId="0" fontId="0" fillId="0" borderId="1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24" borderId="106" xfId="0" applyNumberFormat="1" applyFill="1" applyBorder="1" applyAlignment="1">
      <alignment/>
    </xf>
    <xf numFmtId="3" fontId="0" fillId="24" borderId="3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6" borderId="38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6" borderId="127" xfId="0" applyNumberFormat="1" applyFill="1" applyBorder="1" applyAlignment="1">
      <alignment/>
    </xf>
    <xf numFmtId="3" fontId="19" fillId="6" borderId="104" xfId="0" applyNumberFormat="1" applyFont="1" applyFill="1" applyBorder="1" applyAlignment="1">
      <alignment/>
    </xf>
    <xf numFmtId="3" fontId="19" fillId="6" borderId="112" xfId="0" applyNumberFormat="1" applyFont="1" applyFill="1" applyBorder="1" applyAlignment="1">
      <alignment/>
    </xf>
    <xf numFmtId="0" fontId="24" fillId="0" borderId="128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32" fillId="6" borderId="84" xfId="0" applyNumberFormat="1" applyFont="1" applyFill="1" applyBorder="1" applyAlignment="1">
      <alignment/>
    </xf>
    <xf numFmtId="0" fontId="0" fillId="0" borderId="129" xfId="0" applyBorder="1" applyAlignment="1">
      <alignment/>
    </xf>
    <xf numFmtId="3" fontId="34" fillId="6" borderId="56" xfId="0" applyNumberFormat="1" applyFont="1" applyFill="1" applyBorder="1" applyAlignment="1">
      <alignment/>
    </xf>
    <xf numFmtId="0" fontId="0" fillId="0" borderId="130" xfId="0" applyBorder="1" applyAlignment="1">
      <alignment/>
    </xf>
    <xf numFmtId="3" fontId="32" fillId="6" borderId="33" xfId="0" applyNumberFormat="1" applyFont="1" applyFill="1" applyBorder="1" applyAlignment="1">
      <alignment/>
    </xf>
    <xf numFmtId="3" fontId="32" fillId="6" borderId="131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 vertical="center"/>
    </xf>
    <xf numFmtId="3" fontId="24" fillId="0" borderId="10" xfId="48" applyNumberFormat="1" applyFont="1" applyFill="1" applyBorder="1" applyAlignment="1">
      <alignment horizontal="right"/>
    </xf>
    <xf numFmtId="3" fontId="3" fillId="0" borderId="34" xfId="59" applyNumberFormat="1" applyFont="1" applyFill="1" applyBorder="1" applyAlignment="1">
      <alignment vertical="center" wrapText="1"/>
      <protection/>
    </xf>
    <xf numFmtId="0" fontId="19" fillId="0" borderId="10" xfId="58" applyBorder="1">
      <alignment/>
      <protection/>
    </xf>
    <xf numFmtId="0" fontId="10" fillId="0" borderId="24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3" fontId="3" fillId="24" borderId="23" xfId="59" applyNumberFormat="1" applyFont="1" applyFill="1" applyBorder="1" applyAlignment="1">
      <alignment vertical="center" wrapText="1"/>
      <protection/>
    </xf>
    <xf numFmtId="3" fontId="5" fillId="0" borderId="16" xfId="59" applyNumberFormat="1" applyFont="1" applyFill="1" applyBorder="1" applyAlignment="1">
      <alignment vertical="center"/>
      <protection/>
    </xf>
    <xf numFmtId="0" fontId="34" fillId="0" borderId="42" xfId="58" applyFont="1" applyBorder="1" applyAlignment="1">
      <alignment horizontal="left"/>
      <protection/>
    </xf>
    <xf numFmtId="3" fontId="34" fillId="0" borderId="99" xfId="58" applyNumberFormat="1" applyFont="1" applyBorder="1">
      <alignment/>
      <protection/>
    </xf>
    <xf numFmtId="0" fontId="57" fillId="0" borderId="28" xfId="58" applyFont="1" applyBorder="1" applyAlignment="1">
      <alignment horizontal="right"/>
      <protection/>
    </xf>
    <xf numFmtId="0" fontId="57" fillId="0" borderId="35" xfId="58" applyFont="1" applyBorder="1" applyAlignment="1">
      <alignment horizontal="right"/>
      <protection/>
    </xf>
    <xf numFmtId="0" fontId="57" fillId="0" borderId="50" xfId="58" applyFont="1" applyBorder="1" applyAlignment="1">
      <alignment horizontal="right"/>
      <protection/>
    </xf>
    <xf numFmtId="3" fontId="32" fillId="0" borderId="69" xfId="58" applyNumberFormat="1" applyFont="1" applyBorder="1" applyAlignment="1">
      <alignment horizontal="right"/>
      <protection/>
    </xf>
    <xf numFmtId="3" fontId="32" fillId="0" borderId="28" xfId="58" applyNumberFormat="1" applyFont="1" applyBorder="1">
      <alignment/>
      <protection/>
    </xf>
    <xf numFmtId="3" fontId="32" fillId="0" borderId="70" xfId="58" applyNumberFormat="1" applyFont="1" applyBorder="1">
      <alignment/>
      <protection/>
    </xf>
    <xf numFmtId="3" fontId="34" fillId="0" borderId="19" xfId="58" applyNumberFormat="1" applyFont="1" applyBorder="1">
      <alignment/>
      <protection/>
    </xf>
    <xf numFmtId="0" fontId="19" fillId="0" borderId="74" xfId="58" applyBorder="1">
      <alignment/>
      <protection/>
    </xf>
    <xf numFmtId="3" fontId="32" fillId="9" borderId="118" xfId="58" applyNumberFormat="1" applyFont="1" applyFill="1" applyBorder="1" applyAlignment="1">
      <alignment horizontal="right"/>
      <protection/>
    </xf>
    <xf numFmtId="0" fontId="57" fillId="0" borderId="51" xfId="58" applyFont="1" applyBorder="1" applyAlignment="1">
      <alignment horizontal="right"/>
      <protection/>
    </xf>
    <xf numFmtId="3" fontId="32" fillId="0" borderId="91" xfId="58" applyNumberFormat="1" applyFont="1" applyBorder="1" applyAlignment="1">
      <alignment horizontal="right"/>
      <protection/>
    </xf>
    <xf numFmtId="3" fontId="32" fillId="0" borderId="52" xfId="58" applyNumberFormat="1" applyFont="1" applyBorder="1">
      <alignment/>
      <protection/>
    </xf>
    <xf numFmtId="3" fontId="32" fillId="0" borderId="98" xfId="58" applyNumberFormat="1" applyFont="1" applyBorder="1">
      <alignment/>
      <protection/>
    </xf>
    <xf numFmtId="3" fontId="34" fillId="0" borderId="52" xfId="58" applyNumberFormat="1" applyFont="1" applyBorder="1">
      <alignment/>
      <protection/>
    </xf>
    <xf numFmtId="0" fontId="34" fillId="0" borderId="52" xfId="58" applyFont="1" applyBorder="1" applyAlignment="1">
      <alignment horizontal="center"/>
      <protection/>
    </xf>
    <xf numFmtId="3" fontId="19" fillId="0" borderId="52" xfId="58" applyNumberFormat="1" applyFont="1" applyBorder="1">
      <alignment/>
      <protection/>
    </xf>
    <xf numFmtId="3" fontId="57" fillId="0" borderId="52" xfId="58" applyNumberFormat="1" applyFont="1" applyFill="1" applyBorder="1">
      <alignment/>
      <protection/>
    </xf>
    <xf numFmtId="3" fontId="56" fillId="0" borderId="95" xfId="58" applyNumberFormat="1" applyFont="1" applyBorder="1">
      <alignment/>
      <protection/>
    </xf>
    <xf numFmtId="3" fontId="56" fillId="0" borderId="91" xfId="58" applyNumberFormat="1" applyFont="1" applyBorder="1">
      <alignment/>
      <protection/>
    </xf>
    <xf numFmtId="3" fontId="56" fillId="0" borderId="96" xfId="58" applyNumberFormat="1" applyFont="1" applyBorder="1">
      <alignment/>
      <protection/>
    </xf>
    <xf numFmtId="3" fontId="56" fillId="0" borderId="98" xfId="58" applyNumberFormat="1" applyFont="1" applyBorder="1" applyAlignment="1">
      <alignment horizontal="right" vertical="center"/>
      <protection/>
    </xf>
    <xf numFmtId="0" fontId="34" fillId="0" borderId="50" xfId="58" applyFont="1" applyBorder="1">
      <alignment/>
      <protection/>
    </xf>
    <xf numFmtId="0" fontId="34" fillId="0" borderId="28" xfId="58" applyFont="1" applyBorder="1">
      <alignment/>
      <protection/>
    </xf>
    <xf numFmtId="3" fontId="34" fillId="0" borderId="19" xfId="58" applyNumberFormat="1" applyFont="1" applyFill="1" applyBorder="1">
      <alignment/>
      <protection/>
    </xf>
    <xf numFmtId="0" fontId="19" fillId="9" borderId="117" xfId="58" applyFill="1" applyBorder="1">
      <alignment/>
      <protection/>
    </xf>
    <xf numFmtId="3" fontId="56" fillId="9" borderId="132" xfId="58" applyNumberFormat="1" applyFont="1" applyFill="1" applyBorder="1" applyAlignment="1">
      <alignment horizontal="right"/>
      <protection/>
    </xf>
    <xf numFmtId="3" fontId="56" fillId="9" borderId="116" xfId="58" applyNumberFormat="1" applyFont="1" applyFill="1" applyBorder="1" applyAlignment="1">
      <alignment horizontal="right"/>
      <protection/>
    </xf>
    <xf numFmtId="3" fontId="56" fillId="9" borderId="133" xfId="58" applyNumberFormat="1" applyFont="1" applyFill="1" applyBorder="1">
      <alignment/>
      <protection/>
    </xf>
    <xf numFmtId="3" fontId="56" fillId="9" borderId="132" xfId="58" applyNumberFormat="1" applyFont="1" applyFill="1" applyBorder="1">
      <alignment/>
      <protection/>
    </xf>
    <xf numFmtId="3" fontId="56" fillId="9" borderId="116" xfId="58" applyNumberFormat="1" applyFont="1" applyFill="1" applyBorder="1">
      <alignment/>
      <protection/>
    </xf>
    <xf numFmtId="3" fontId="56" fillId="9" borderId="134" xfId="58" applyNumberFormat="1" applyFont="1" applyFill="1" applyBorder="1" applyAlignment="1">
      <alignment horizontal="right" vertical="center"/>
      <protection/>
    </xf>
    <xf numFmtId="0" fontId="19" fillId="0" borderId="135" xfId="58" applyBorder="1">
      <alignment/>
      <protection/>
    </xf>
    <xf numFmtId="0" fontId="19" fillId="0" borderId="136" xfId="58" applyBorder="1">
      <alignment/>
      <protection/>
    </xf>
    <xf numFmtId="0" fontId="19" fillId="0" borderId="137" xfId="58" applyBorder="1">
      <alignment/>
      <protection/>
    </xf>
    <xf numFmtId="3" fontId="56" fillId="0" borderId="103" xfId="58" applyNumberFormat="1" applyFont="1" applyBorder="1" applyAlignment="1">
      <alignment horizontal="right"/>
      <protection/>
    </xf>
    <xf numFmtId="0" fontId="19" fillId="0" borderId="0" xfId="58" applyFont="1" applyBorder="1">
      <alignment/>
      <protection/>
    </xf>
    <xf numFmtId="3" fontId="56" fillId="9" borderId="138" xfId="58" applyNumberFormat="1" applyFont="1" applyFill="1" applyBorder="1">
      <alignment/>
      <protection/>
    </xf>
    <xf numFmtId="0" fontId="0" fillId="0" borderId="16" xfId="0" applyBorder="1" applyAlignment="1">
      <alignment horizontal="right"/>
    </xf>
    <xf numFmtId="3" fontId="0" fillId="0" borderId="13" xfId="0" applyNumberFormat="1" applyBorder="1" applyAlignment="1">
      <alignment/>
    </xf>
    <xf numFmtId="0" fontId="25" fillId="0" borderId="0" xfId="61" applyFont="1" applyAlignment="1">
      <alignment horizontal="center" vertical="center"/>
      <protection/>
    </xf>
    <xf numFmtId="0" fontId="77" fillId="0" borderId="0" xfId="61" applyFont="1" applyAlignment="1">
      <alignment vertical="center"/>
      <protection/>
    </xf>
    <xf numFmtId="0" fontId="78" fillId="0" borderId="0" xfId="61" applyFont="1" applyAlignment="1">
      <alignment horizontal="right" vertical="center"/>
      <protection/>
    </xf>
    <xf numFmtId="0" fontId="20" fillId="0" borderId="0" xfId="61" applyFont="1" applyAlignment="1">
      <alignment horizontal="center" vertical="center" wrapText="1"/>
      <protection/>
    </xf>
    <xf numFmtId="0" fontId="25" fillId="0" borderId="34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/>
      <protection/>
    </xf>
    <xf numFmtId="3" fontId="25" fillId="0" borderId="10" xfId="61" applyNumberFormat="1" applyFont="1" applyBorder="1" applyAlignment="1">
      <alignment horizontal="center" vertical="center" wrapText="1"/>
      <protection/>
    </xf>
    <xf numFmtId="3" fontId="25" fillId="0" borderId="16" xfId="61" applyNumberFormat="1" applyFont="1" applyBorder="1" applyAlignment="1">
      <alignment horizontal="center" vertical="center" wrapText="1"/>
      <protection/>
    </xf>
    <xf numFmtId="0" fontId="25" fillId="0" borderId="34" xfId="6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horizontal="center" vertical="center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3" fontId="20" fillId="0" borderId="16" xfId="61" applyNumberFormat="1" applyFont="1" applyFill="1" applyBorder="1" applyAlignment="1">
      <alignment horizontal="right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3" fontId="77" fillId="0" borderId="10" xfId="61" applyNumberFormat="1" applyFont="1" applyBorder="1" applyAlignment="1">
      <alignment horizontal="right" vertical="center" wrapText="1"/>
      <protection/>
    </xf>
    <xf numFmtId="3" fontId="20" fillId="0" borderId="16" xfId="61" applyNumberFormat="1" applyFont="1" applyBorder="1" applyAlignment="1">
      <alignment horizontal="right" vertical="center" wrapText="1"/>
      <protection/>
    </xf>
    <xf numFmtId="3" fontId="77" fillId="0" borderId="10" xfId="61" applyNumberFormat="1" applyFont="1" applyBorder="1" applyAlignment="1">
      <alignment horizontal="right" vertical="center"/>
      <protection/>
    </xf>
    <xf numFmtId="0" fontId="20" fillId="0" borderId="25" xfId="61" applyFont="1" applyBorder="1" applyAlignment="1">
      <alignment horizontal="center" vertical="center"/>
      <protection/>
    </xf>
    <xf numFmtId="3" fontId="77" fillId="0" borderId="25" xfId="61" applyNumberFormat="1" applyFont="1" applyBorder="1" applyAlignment="1">
      <alignment horizontal="right" vertical="center"/>
      <protection/>
    </xf>
    <xf numFmtId="3" fontId="77" fillId="0" borderId="25" xfId="61" applyNumberFormat="1" applyFont="1" applyBorder="1" applyAlignment="1">
      <alignment horizontal="right" vertical="center" wrapText="1"/>
      <protection/>
    </xf>
    <xf numFmtId="3" fontId="20" fillId="0" borderId="39" xfId="61" applyNumberFormat="1" applyFont="1" applyBorder="1" applyAlignment="1">
      <alignment horizontal="right" vertical="center" wrapText="1"/>
      <protection/>
    </xf>
    <xf numFmtId="0" fontId="23" fillId="0" borderId="41" xfId="0" applyFont="1" applyBorder="1" applyAlignment="1">
      <alignment/>
    </xf>
    <xf numFmtId="0" fontId="23" fillId="0" borderId="48" xfId="0" applyFont="1" applyBorder="1" applyAlignment="1">
      <alignment horizontal="center"/>
    </xf>
    <xf numFmtId="0" fontId="57" fillId="0" borderId="44" xfId="58" applyFont="1" applyBorder="1" applyAlignment="1">
      <alignment horizontal="right"/>
      <protection/>
    </xf>
    <xf numFmtId="0" fontId="32" fillId="0" borderId="41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17" fillId="0" borderId="112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vertical="center"/>
    </xf>
    <xf numFmtId="0" fontId="11" fillId="0" borderId="69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3" fontId="32" fillId="0" borderId="33" xfId="0" applyNumberFormat="1" applyFont="1" applyFill="1" applyBorder="1" applyAlignment="1">
      <alignment/>
    </xf>
    <xf numFmtId="3" fontId="0" fillId="6" borderId="61" xfId="0" applyNumberFormat="1" applyFill="1" applyBorder="1" applyAlignment="1">
      <alignment/>
    </xf>
    <xf numFmtId="0" fontId="0" fillId="0" borderId="79" xfId="0" applyBorder="1" applyAlignment="1">
      <alignment horizontal="center"/>
    </xf>
    <xf numFmtId="3" fontId="0" fillId="0" borderId="79" xfId="0" applyNumberFormat="1" applyBorder="1" applyAlignment="1">
      <alignment/>
    </xf>
    <xf numFmtId="0" fontId="0" fillId="0" borderId="139" xfId="0" applyBorder="1" applyAlignment="1">
      <alignment horizontal="center"/>
    </xf>
    <xf numFmtId="3" fontId="0" fillId="6" borderId="140" xfId="0" applyNumberFormat="1" applyFill="1" applyBorder="1" applyAlignment="1">
      <alignment/>
    </xf>
    <xf numFmtId="3" fontId="0" fillId="6" borderId="118" xfId="0" applyNumberFormat="1" applyFill="1" applyBorder="1" applyAlignment="1">
      <alignment/>
    </xf>
    <xf numFmtId="3" fontId="1" fillId="6" borderId="118" xfId="0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56" fillId="0" borderId="44" xfId="0" applyFont="1" applyBorder="1" applyAlignment="1">
      <alignment horizontal="left"/>
    </xf>
    <xf numFmtId="0" fontId="0" fillId="0" borderId="107" xfId="0" applyBorder="1" applyAlignment="1">
      <alignment/>
    </xf>
    <xf numFmtId="4" fontId="0" fillId="6" borderId="104" xfId="0" applyNumberFormat="1" applyFill="1" applyBorder="1" applyAlignment="1">
      <alignment/>
    </xf>
    <xf numFmtId="4" fontId="0" fillId="6" borderId="125" xfId="0" applyNumberFormat="1" applyFill="1" applyBorder="1" applyAlignment="1">
      <alignment/>
    </xf>
    <xf numFmtId="4" fontId="0" fillId="6" borderId="38" xfId="0" applyNumberFormat="1" applyFill="1" applyBorder="1" applyAlignment="1">
      <alignment/>
    </xf>
    <xf numFmtId="4" fontId="32" fillId="6" borderId="83" xfId="0" applyNumberFormat="1" applyFont="1" applyFill="1" applyBorder="1" applyAlignment="1">
      <alignment/>
    </xf>
    <xf numFmtId="4" fontId="32" fillId="6" borderId="117" xfId="0" applyNumberFormat="1" applyFont="1" applyFill="1" applyBorder="1" applyAlignment="1">
      <alignment/>
    </xf>
    <xf numFmtId="0" fontId="0" fillId="0" borderId="44" xfId="0" applyBorder="1" applyAlignment="1">
      <alignment horizontal="left"/>
    </xf>
    <xf numFmtId="4" fontId="0" fillId="6" borderId="44" xfId="0" applyNumberFormat="1" applyFill="1" applyBorder="1" applyAlignment="1">
      <alignment/>
    </xf>
    <xf numFmtId="0" fontId="0" fillId="0" borderId="54" xfId="0" applyBorder="1" applyAlignment="1">
      <alignment horizontal="center"/>
    </xf>
    <xf numFmtId="3" fontId="0" fillId="6" borderId="44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3" fontId="0" fillId="6" borderId="122" xfId="0" applyNumberFormat="1" applyFill="1" applyBorder="1" applyAlignment="1">
      <alignment/>
    </xf>
    <xf numFmtId="0" fontId="0" fillId="0" borderId="56" xfId="0" applyBorder="1" applyAlignment="1">
      <alignment horizontal="left"/>
    </xf>
    <xf numFmtId="4" fontId="0" fillId="6" borderId="104" xfId="0" applyNumberFormat="1" applyFont="1" applyFill="1" applyBorder="1" applyAlignment="1">
      <alignment/>
    </xf>
    <xf numFmtId="4" fontId="0" fillId="6" borderId="34" xfId="0" applyNumberFormat="1" applyFont="1" applyFill="1" applyBorder="1" applyAlignment="1">
      <alignment/>
    </xf>
    <xf numFmtId="4" fontId="0" fillId="6" borderId="122" xfId="0" applyNumberFormat="1" applyFont="1" applyFill="1" applyBorder="1" applyAlignment="1">
      <alignment/>
    </xf>
    <xf numFmtId="4" fontId="32" fillId="0" borderId="83" xfId="0" applyNumberFormat="1" applyFont="1" applyFill="1" applyBorder="1" applyAlignment="1">
      <alignment/>
    </xf>
    <xf numFmtId="4" fontId="32" fillId="0" borderId="117" xfId="0" applyNumberFormat="1" applyFont="1" applyFill="1" applyBorder="1" applyAlignment="1">
      <alignment/>
    </xf>
    <xf numFmtId="49" fontId="19" fillId="0" borderId="0" xfId="60" applyNumberFormat="1">
      <alignment/>
      <protection/>
    </xf>
    <xf numFmtId="0" fontId="19" fillId="0" borderId="0" xfId="60">
      <alignment/>
      <protection/>
    </xf>
    <xf numFmtId="0" fontId="79" fillId="0" borderId="0" xfId="0" applyFont="1" applyAlignment="1">
      <alignment horizontal="right" vertical="center"/>
    </xf>
    <xf numFmtId="0" fontId="15" fillId="0" borderId="0" xfId="60" applyFont="1">
      <alignment/>
      <protection/>
    </xf>
    <xf numFmtId="0" fontId="15" fillId="0" borderId="0" xfId="60" applyFont="1" applyAlignment="1">
      <alignment horizontal="center"/>
      <protection/>
    </xf>
    <xf numFmtId="0" fontId="1" fillId="0" borderId="21" xfId="60" applyFont="1" applyBorder="1" applyAlignment="1">
      <alignment horizontal="center" vertical="center"/>
      <protection/>
    </xf>
    <xf numFmtId="0" fontId="1" fillId="0" borderId="34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6" xfId="60" applyFont="1" applyBorder="1" applyAlignment="1">
      <alignment horizontal="center" vertical="center" wrapText="1"/>
      <protection/>
    </xf>
    <xf numFmtId="0" fontId="1" fillId="0" borderId="0" xfId="60" applyFont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80" fillId="0" borderId="23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49" fontId="32" fillId="22" borderId="10" xfId="60" applyNumberFormat="1" applyFont="1" applyFill="1" applyBorder="1" applyAlignment="1">
      <alignment horizontal="center" vertical="center"/>
      <protection/>
    </xf>
    <xf numFmtId="0" fontId="32" fillId="22" borderId="10" xfId="60" applyFont="1" applyFill="1" applyBorder="1" applyAlignment="1">
      <alignment vertical="center"/>
      <protection/>
    </xf>
    <xf numFmtId="0" fontId="32" fillId="22" borderId="21" xfId="60" applyFont="1" applyFill="1" applyBorder="1" applyAlignment="1">
      <alignment vertical="center" wrapText="1"/>
      <protection/>
    </xf>
    <xf numFmtId="3" fontId="32" fillId="22" borderId="34" xfId="60" applyNumberFormat="1" applyFont="1" applyFill="1" applyBorder="1" applyAlignment="1">
      <alignment vertical="center"/>
      <protection/>
    </xf>
    <xf numFmtId="3" fontId="32" fillId="22" borderId="10" xfId="60" applyNumberFormat="1" applyFont="1" applyFill="1" applyBorder="1" applyAlignment="1">
      <alignment vertical="center"/>
      <protection/>
    </xf>
    <xf numFmtId="3" fontId="32" fillId="22" borderId="16" xfId="60" applyNumberFormat="1" applyFont="1" applyFill="1" applyBorder="1" applyAlignment="1">
      <alignment vertical="center"/>
      <protection/>
    </xf>
    <xf numFmtId="3" fontId="32" fillId="22" borderId="11" xfId="60" applyNumberFormat="1" applyFont="1" applyFill="1" applyBorder="1" applyAlignment="1">
      <alignment vertical="center"/>
      <protection/>
    </xf>
    <xf numFmtId="3" fontId="32" fillId="0" borderId="0" xfId="60" applyNumberFormat="1" applyFont="1" applyAlignment="1">
      <alignment vertical="center"/>
      <protection/>
    </xf>
    <xf numFmtId="49" fontId="32" fillId="0" borderId="10" xfId="60" applyNumberFormat="1" applyFont="1" applyBorder="1" applyAlignment="1">
      <alignment vertical="center"/>
      <protection/>
    </xf>
    <xf numFmtId="0" fontId="32" fillId="0" borderId="10" xfId="60" applyFont="1" applyBorder="1">
      <alignment/>
      <protection/>
    </xf>
    <xf numFmtId="0" fontId="32" fillId="0" borderId="21" xfId="60" applyFont="1" applyBorder="1" applyAlignment="1">
      <alignment wrapText="1"/>
      <protection/>
    </xf>
    <xf numFmtId="3" fontId="32" fillId="0" borderId="34" xfId="60" applyNumberFormat="1" applyFont="1" applyBorder="1">
      <alignment/>
      <protection/>
    </xf>
    <xf numFmtId="3" fontId="32" fillId="0" borderId="10" xfId="60" applyNumberFormat="1" applyFont="1" applyBorder="1">
      <alignment/>
      <protection/>
    </xf>
    <xf numFmtId="3" fontId="32" fillId="0" borderId="16" xfId="60" applyNumberFormat="1" applyFont="1" applyBorder="1">
      <alignment/>
      <protection/>
    </xf>
    <xf numFmtId="3" fontId="32" fillId="0" borderId="11" xfId="60" applyNumberFormat="1" applyFont="1" applyBorder="1">
      <alignment/>
      <protection/>
    </xf>
    <xf numFmtId="3" fontId="32" fillId="0" borderId="0" xfId="60" applyNumberFormat="1" applyFont="1">
      <alignment/>
      <protection/>
    </xf>
    <xf numFmtId="3" fontId="19" fillId="0" borderId="0" xfId="60" applyNumberFormat="1" applyFont="1">
      <alignment/>
      <protection/>
    </xf>
    <xf numFmtId="49" fontId="19" fillId="0" borderId="10" xfId="60" applyNumberFormat="1" applyBorder="1" applyAlignment="1">
      <alignment vertical="center"/>
      <protection/>
    </xf>
    <xf numFmtId="0" fontId="19" fillId="0" borderId="10" xfId="60" applyFont="1" applyBorder="1">
      <alignment/>
      <protection/>
    </xf>
    <xf numFmtId="0" fontId="19" fillId="0" borderId="21" xfId="60" applyFont="1" applyBorder="1" applyAlignment="1">
      <alignment wrapText="1"/>
      <protection/>
    </xf>
    <xf numFmtId="3" fontId="19" fillId="0" borderId="34" xfId="60" applyNumberFormat="1" applyBorder="1">
      <alignment/>
      <protection/>
    </xf>
    <xf numFmtId="3" fontId="19" fillId="0" borderId="10" xfId="60" applyNumberFormat="1" applyBorder="1">
      <alignment/>
      <protection/>
    </xf>
    <xf numFmtId="3" fontId="19" fillId="0" borderId="16" xfId="60" applyNumberFormat="1" applyBorder="1">
      <alignment/>
      <protection/>
    </xf>
    <xf numFmtId="3" fontId="19" fillId="0" borderId="11" xfId="60" applyNumberFormat="1" applyBorder="1">
      <alignment/>
      <protection/>
    </xf>
    <xf numFmtId="3" fontId="19" fillId="0" borderId="0" xfId="60" applyNumberFormat="1">
      <alignment/>
      <protection/>
    </xf>
    <xf numFmtId="0" fontId="19" fillId="0" borderId="21" xfId="60" applyFont="1" applyBorder="1">
      <alignment/>
      <protection/>
    </xf>
    <xf numFmtId="0" fontId="32" fillId="0" borderId="21" xfId="60" applyFont="1" applyBorder="1">
      <alignment/>
      <protection/>
    </xf>
    <xf numFmtId="3" fontId="32" fillId="0" borderId="10" xfId="60" applyNumberFormat="1" applyFont="1" applyFill="1" applyBorder="1">
      <alignment/>
      <protection/>
    </xf>
    <xf numFmtId="49" fontId="32" fillId="0" borderId="10" xfId="60" applyNumberFormat="1" applyFont="1" applyFill="1" applyBorder="1" applyAlignment="1">
      <alignment vertical="center"/>
      <protection/>
    </xf>
    <xf numFmtId="0" fontId="32" fillId="0" borderId="10" xfId="60" applyFont="1" applyFill="1" applyBorder="1">
      <alignment/>
      <protection/>
    </xf>
    <xf numFmtId="0" fontId="32" fillId="0" borderId="21" xfId="60" applyFont="1" applyFill="1" applyBorder="1">
      <alignment/>
      <protection/>
    </xf>
    <xf numFmtId="3" fontId="32" fillId="0" borderId="34" xfId="60" applyNumberFormat="1" applyFont="1" applyFill="1" applyBorder="1">
      <alignment/>
      <protection/>
    </xf>
    <xf numFmtId="3" fontId="32" fillId="0" borderId="16" xfId="60" applyNumberFormat="1" applyFont="1" applyFill="1" applyBorder="1">
      <alignment/>
      <protection/>
    </xf>
    <xf numFmtId="3" fontId="32" fillId="0" borderId="11" xfId="60" applyNumberFormat="1" applyFont="1" applyFill="1" applyBorder="1">
      <alignment/>
      <protection/>
    </xf>
    <xf numFmtId="3" fontId="32" fillId="0" borderId="0" xfId="60" applyNumberFormat="1" applyFont="1" applyFill="1">
      <alignment/>
      <protection/>
    </xf>
    <xf numFmtId="3" fontId="19" fillId="0" borderId="0" xfId="60" applyNumberFormat="1" applyFont="1" applyFill="1">
      <alignment/>
      <protection/>
    </xf>
    <xf numFmtId="0" fontId="19" fillId="0" borderId="10" xfId="60" applyBorder="1">
      <alignment/>
      <protection/>
    </xf>
    <xf numFmtId="0" fontId="19" fillId="0" borderId="21" xfId="60" applyBorder="1">
      <alignment/>
      <protection/>
    </xf>
    <xf numFmtId="0" fontId="19" fillId="22" borderId="10" xfId="60" applyFill="1" applyBorder="1">
      <alignment/>
      <protection/>
    </xf>
    <xf numFmtId="3" fontId="19" fillId="22" borderId="34" xfId="60" applyNumberFormat="1" applyFill="1" applyBorder="1">
      <alignment/>
      <protection/>
    </xf>
    <xf numFmtId="3" fontId="19" fillId="22" borderId="10" xfId="60" applyNumberFormat="1" applyFill="1" applyBorder="1">
      <alignment/>
      <protection/>
    </xf>
    <xf numFmtId="3" fontId="32" fillId="22" borderId="16" xfId="60" applyNumberFormat="1" applyFont="1" applyFill="1" applyBorder="1">
      <alignment/>
      <protection/>
    </xf>
    <xf numFmtId="3" fontId="19" fillId="22" borderId="11" xfId="60" applyNumberFormat="1" applyFill="1" applyBorder="1">
      <alignment/>
      <protection/>
    </xf>
    <xf numFmtId="3" fontId="32" fillId="22" borderId="11" xfId="60" applyNumberFormat="1" applyFont="1" applyFill="1" applyBorder="1">
      <alignment/>
      <protection/>
    </xf>
    <xf numFmtId="49" fontId="32" fillId="0" borderId="10" xfId="60" applyNumberFormat="1" applyFont="1" applyBorder="1" applyAlignment="1">
      <alignment horizontal="center" vertical="center"/>
      <protection/>
    </xf>
    <xf numFmtId="3" fontId="19" fillId="0" borderId="10" xfId="60" applyNumberFormat="1" applyFill="1" applyBorder="1">
      <alignment/>
      <protection/>
    </xf>
    <xf numFmtId="3" fontId="19" fillId="0" borderId="16" xfId="60" applyNumberFormat="1" applyFont="1" applyBorder="1">
      <alignment/>
      <protection/>
    </xf>
    <xf numFmtId="0" fontId="32" fillId="22" borderId="10" xfId="60" applyFont="1" applyFill="1" applyBorder="1">
      <alignment/>
      <protection/>
    </xf>
    <xf numFmtId="3" fontId="32" fillId="22" borderId="34" xfId="60" applyNumberFormat="1" applyFont="1" applyFill="1" applyBorder="1">
      <alignment/>
      <protection/>
    </xf>
    <xf numFmtId="3" fontId="32" fillId="22" borderId="10" xfId="60" applyNumberFormat="1" applyFont="1" applyFill="1" applyBorder="1">
      <alignment/>
      <protection/>
    </xf>
    <xf numFmtId="4" fontId="32" fillId="22" borderId="34" xfId="60" applyNumberFormat="1" applyFont="1" applyFill="1" applyBorder="1">
      <alignment/>
      <protection/>
    </xf>
    <xf numFmtId="4" fontId="32" fillId="22" borderId="11" xfId="60" applyNumberFormat="1" applyFont="1" applyFill="1" applyBorder="1">
      <alignment/>
      <protection/>
    </xf>
    <xf numFmtId="2" fontId="32" fillId="0" borderId="11" xfId="60" applyNumberFormat="1" applyFont="1" applyBorder="1">
      <alignment/>
      <protection/>
    </xf>
    <xf numFmtId="2" fontId="32" fillId="0" borderId="34" xfId="60" applyNumberFormat="1" applyFont="1" applyBorder="1">
      <alignment/>
      <protection/>
    </xf>
    <xf numFmtId="2" fontId="19" fillId="0" borderId="34" xfId="60" applyNumberFormat="1" applyBorder="1">
      <alignment/>
      <protection/>
    </xf>
    <xf numFmtId="2" fontId="19" fillId="0" borderId="11" xfId="60" applyNumberFormat="1" applyBorder="1">
      <alignment/>
      <protection/>
    </xf>
    <xf numFmtId="4" fontId="19" fillId="0" borderId="34" xfId="60" applyNumberFormat="1" applyFill="1" applyBorder="1">
      <alignment/>
      <protection/>
    </xf>
    <xf numFmtId="3" fontId="19" fillId="0" borderId="11" xfId="60" applyNumberFormat="1" applyFill="1" applyBorder="1">
      <alignment/>
      <protection/>
    </xf>
    <xf numFmtId="3" fontId="2" fillId="22" borderId="34" xfId="60" applyNumberFormat="1" applyFont="1" applyFill="1" applyBorder="1" applyAlignment="1">
      <alignment horizontal="center"/>
      <protection/>
    </xf>
    <xf numFmtId="3" fontId="2" fillId="22" borderId="10" xfId="60" applyNumberFormat="1" applyFont="1" applyFill="1" applyBorder="1" applyAlignment="1">
      <alignment horizontal="center"/>
      <protection/>
    </xf>
    <xf numFmtId="3" fontId="1" fillId="22" borderId="16" xfId="60" applyNumberFormat="1" applyFont="1" applyFill="1" applyBorder="1">
      <alignment/>
      <protection/>
    </xf>
    <xf numFmtId="3" fontId="2" fillId="22" borderId="11" xfId="60" applyNumberFormat="1" applyFont="1" applyFill="1" applyBorder="1" applyAlignment="1">
      <alignment horizontal="center"/>
      <protection/>
    </xf>
    <xf numFmtId="3" fontId="32" fillId="22" borderId="11" xfId="60" applyNumberFormat="1" applyFont="1" applyFill="1" applyBorder="1">
      <alignment/>
      <protection/>
    </xf>
    <xf numFmtId="3" fontId="2" fillId="0" borderId="0" xfId="60" applyNumberFormat="1" applyFont="1">
      <alignment/>
      <protection/>
    </xf>
    <xf numFmtId="3" fontId="1" fillId="0" borderId="0" xfId="60" applyNumberFormat="1" applyFont="1">
      <alignment/>
      <protection/>
    </xf>
    <xf numFmtId="0" fontId="0" fillId="0" borderId="107" xfId="0" applyBorder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 wrapText="1"/>
    </xf>
    <xf numFmtId="0" fontId="4" fillId="0" borderId="14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143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9" fillId="0" borderId="139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textRotation="90"/>
    </xf>
    <xf numFmtId="0" fontId="0" fillId="0" borderId="0" xfId="0" applyAlignment="1">
      <alignment/>
    </xf>
    <xf numFmtId="49" fontId="5" fillId="0" borderId="112" xfId="0" applyNumberFormat="1" applyFont="1" applyFill="1" applyBorder="1" applyAlignment="1">
      <alignment horizontal="center" vertical="center" textRotation="90"/>
    </xf>
    <xf numFmtId="49" fontId="5" fillId="0" borderId="125" xfId="0" applyNumberFormat="1" applyFont="1" applyFill="1" applyBorder="1" applyAlignment="1">
      <alignment horizontal="center" vertical="center" textRotation="90"/>
    </xf>
    <xf numFmtId="0" fontId="0" fillId="0" borderId="125" xfId="0" applyBorder="1" applyAlignment="1">
      <alignment horizontal="center" vertical="center" textRotation="90"/>
    </xf>
    <xf numFmtId="49" fontId="4" fillId="0" borderId="125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3" fillId="0" borderId="112" xfId="0" applyNumberFormat="1" applyFont="1" applyFill="1" applyBorder="1" applyAlignment="1">
      <alignment horizontal="center" vertical="center" textRotation="90"/>
    </xf>
    <xf numFmtId="0" fontId="3" fillId="0" borderId="125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68" fillId="0" borderId="125" xfId="0" applyFont="1" applyBorder="1" applyAlignment="1">
      <alignment horizontal="center" vertical="center" textRotation="90"/>
    </xf>
    <xf numFmtId="0" fontId="68" fillId="0" borderId="40" xfId="0" applyFont="1" applyBorder="1" applyAlignment="1">
      <alignment horizontal="center" vertical="center" textRotation="90"/>
    </xf>
    <xf numFmtId="49" fontId="4" fillId="0" borderId="14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2" fillId="0" borderId="21" xfId="57" applyFont="1" applyBorder="1" applyAlignment="1">
      <alignment horizontal="right" vertical="center"/>
      <protection/>
    </xf>
    <xf numFmtId="0" fontId="22" fillId="0" borderId="24" xfId="57" applyFont="1" applyBorder="1" applyAlignment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5" fillId="0" borderId="21" xfId="57" applyFont="1" applyBorder="1" applyAlignment="1">
      <alignment horizontal="center" vertical="center" wrapText="1"/>
      <protection/>
    </xf>
    <xf numFmtId="0" fontId="25" fillId="0" borderId="24" xfId="57" applyFont="1" applyBorder="1" applyAlignment="1">
      <alignment horizontal="center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0" fillId="0" borderId="0" xfId="57" applyFont="1" applyAlignment="1">
      <alignment horizontal="center"/>
      <protection/>
    </xf>
    <xf numFmtId="0" fontId="20" fillId="0" borderId="10" xfId="57" applyFont="1" applyBorder="1" applyAlignment="1">
      <alignment horizontal="center" vertical="center"/>
      <protection/>
    </xf>
    <xf numFmtId="0" fontId="25" fillId="0" borderId="10" xfId="57" applyFont="1" applyBorder="1" applyAlignment="1">
      <alignment horizontal="center" vertical="center"/>
      <protection/>
    </xf>
    <xf numFmtId="0" fontId="25" fillId="0" borderId="21" xfId="57" applyFont="1" applyBorder="1" applyAlignment="1">
      <alignment horizontal="center"/>
      <protection/>
    </xf>
    <xf numFmtId="0" fontId="25" fillId="0" borderId="24" xfId="57" applyFont="1" applyBorder="1" applyAlignment="1">
      <alignment horizontal="center"/>
      <protection/>
    </xf>
    <xf numFmtId="0" fontId="25" fillId="0" borderId="11" xfId="57" applyFont="1" applyBorder="1" applyAlignment="1">
      <alignment horizontal="center"/>
      <protection/>
    </xf>
    <xf numFmtId="49" fontId="2" fillId="0" borderId="0" xfId="59" applyNumberFormat="1" applyFont="1" applyFill="1" applyBorder="1" applyAlignment="1">
      <alignment horizontal="center" vertical="center" wrapText="1"/>
      <protection/>
    </xf>
    <xf numFmtId="0" fontId="66" fillId="0" borderId="0" xfId="0" applyFont="1" applyBorder="1" applyAlignment="1">
      <alignment wrapText="1"/>
    </xf>
    <xf numFmtId="0" fontId="69" fillId="0" borderId="59" xfId="59" applyFont="1" applyFill="1" applyBorder="1" applyAlignment="1">
      <alignment horizontal="left" vertical="center"/>
      <protection/>
    </xf>
    <xf numFmtId="0" fontId="69" fillId="0" borderId="37" xfId="59" applyFont="1" applyFill="1" applyBorder="1" applyAlignment="1">
      <alignment horizontal="left" vertical="center"/>
      <protection/>
    </xf>
    <xf numFmtId="0" fontId="69" fillId="0" borderId="20" xfId="59" applyFont="1" applyFill="1" applyBorder="1" applyAlignment="1">
      <alignment horizontal="left" vertical="center"/>
      <protection/>
    </xf>
    <xf numFmtId="0" fontId="4" fillId="0" borderId="61" xfId="59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44" xfId="59" applyNumberFormat="1" applyFont="1" applyFill="1" applyBorder="1" applyAlignment="1">
      <alignment horizontal="center" vertical="center"/>
      <protection/>
    </xf>
    <xf numFmtId="49" fontId="4" fillId="0" borderId="125" xfId="59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4" fillId="0" borderId="139" xfId="59" applyFont="1" applyFill="1" applyBorder="1" applyAlignment="1">
      <alignment horizontal="center" vertical="center"/>
      <protection/>
    </xf>
    <xf numFmtId="0" fontId="4" fillId="0" borderId="54" xfId="59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4" fillId="0" borderId="140" xfId="59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5" fillId="0" borderId="83" xfId="59" applyFont="1" applyFill="1" applyBorder="1" applyAlignment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7" fillId="0" borderId="24" xfId="59" applyFont="1" applyFill="1" applyBorder="1" applyAlignment="1">
      <alignment horizontal="left" vertical="center"/>
      <protection/>
    </xf>
    <xf numFmtId="0" fontId="67" fillId="0" borderId="145" xfId="59" applyFont="1" applyFill="1" applyBorder="1" applyAlignment="1">
      <alignment horizontal="left" vertical="center"/>
      <protection/>
    </xf>
    <xf numFmtId="0" fontId="52" fillId="0" borderId="59" xfId="59" applyFont="1" applyFill="1" applyBorder="1" applyAlignment="1">
      <alignment horizontal="left" vertical="center"/>
      <protection/>
    </xf>
    <xf numFmtId="0" fontId="52" fillId="0" borderId="37" xfId="59" applyFont="1" applyFill="1" applyBorder="1" applyAlignment="1">
      <alignment horizontal="left" vertical="center"/>
      <protection/>
    </xf>
    <xf numFmtId="0" fontId="52" fillId="0" borderId="20" xfId="59" applyFont="1" applyFill="1" applyBorder="1" applyAlignment="1">
      <alignment horizontal="left" vertical="center"/>
      <protection/>
    </xf>
    <xf numFmtId="0" fontId="67" fillId="0" borderId="32" xfId="59" applyFont="1" applyFill="1" applyBorder="1" applyAlignment="1">
      <alignment horizontal="left" vertical="center"/>
      <protection/>
    </xf>
    <xf numFmtId="0" fontId="2" fillId="0" borderId="146" xfId="59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3" fontId="33" fillId="0" borderId="148" xfId="58" applyNumberFormat="1" applyFont="1" applyBorder="1" applyAlignment="1">
      <alignment horizontal="right" vertical="center"/>
      <protection/>
    </xf>
    <xf numFmtId="3" fontId="33" fillId="0" borderId="45" xfId="58" applyNumberFormat="1" applyFont="1" applyBorder="1" applyAlignment="1">
      <alignment horizontal="right" vertical="center"/>
      <protection/>
    </xf>
    <xf numFmtId="3" fontId="33" fillId="0" borderId="149" xfId="58" applyNumberFormat="1" applyFont="1" applyBorder="1" applyAlignment="1">
      <alignment horizontal="right" vertical="center"/>
      <protection/>
    </xf>
    <xf numFmtId="0" fontId="53" fillId="0" borderId="150" xfId="59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129" xfId="0" applyBorder="1" applyAlignment="1">
      <alignment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3" fontId="33" fillId="0" borderId="140" xfId="58" applyNumberFormat="1" applyFont="1" applyBorder="1" applyAlignment="1">
      <alignment horizontal="right" vertical="center"/>
      <protection/>
    </xf>
    <xf numFmtId="0" fontId="34" fillId="0" borderId="44" xfId="58" applyFont="1" applyBorder="1" applyAlignment="1">
      <alignment horizontal="left" wrapText="1"/>
      <protection/>
    </xf>
    <xf numFmtId="0" fontId="34" fillId="0" borderId="0" xfId="58" applyFont="1" applyBorder="1" applyAlignment="1">
      <alignment horizontal="left" wrapText="1"/>
      <protection/>
    </xf>
    <xf numFmtId="0" fontId="33" fillId="0" borderId="149" xfId="58" applyFont="1" applyBorder="1" applyAlignment="1">
      <alignment horizontal="right" vertical="center"/>
      <protection/>
    </xf>
    <xf numFmtId="0" fontId="56" fillId="9" borderId="48" xfId="58" applyFont="1" applyFill="1" applyBorder="1" applyAlignment="1">
      <alignment/>
      <protection/>
    </xf>
    <xf numFmtId="0" fontId="56" fillId="9" borderId="100" xfId="58" applyFont="1" applyFill="1" applyBorder="1" applyAlignment="1">
      <alignment/>
      <protection/>
    </xf>
    <xf numFmtId="0" fontId="34" fillId="0" borderId="44" xfId="58" applyFont="1" applyBorder="1" applyAlignment="1">
      <alignment horizontal="left"/>
      <protection/>
    </xf>
    <xf numFmtId="0" fontId="34" fillId="0" borderId="0" xfId="58" applyFont="1" applyBorder="1" applyAlignment="1">
      <alignment horizontal="left"/>
      <protection/>
    </xf>
    <xf numFmtId="0" fontId="56" fillId="0" borderId="151" xfId="58" applyFont="1" applyBorder="1" applyAlignment="1">
      <alignment horizontal="center" vertical="center"/>
      <protection/>
    </xf>
    <xf numFmtId="0" fontId="0" fillId="0" borderId="71" xfId="0" applyBorder="1" applyAlignment="1">
      <alignment/>
    </xf>
    <xf numFmtId="0" fontId="34" fillId="0" borderId="42" xfId="58" applyFont="1" applyBorder="1" applyAlignment="1">
      <alignment horizontal="left"/>
      <protection/>
    </xf>
    <xf numFmtId="0" fontId="34" fillId="0" borderId="61" xfId="58" applyFont="1" applyBorder="1" applyAlignment="1">
      <alignment horizontal="left"/>
      <protection/>
    </xf>
    <xf numFmtId="0" fontId="34" fillId="0" borderId="43" xfId="58" applyFont="1" applyBorder="1" applyAlignment="1">
      <alignment horizontal="left"/>
      <protection/>
    </xf>
    <xf numFmtId="0" fontId="34" fillId="0" borderId="52" xfId="58" applyFont="1" applyBorder="1" applyAlignment="1">
      <alignment horizontal="left"/>
      <protection/>
    </xf>
    <xf numFmtId="0" fontId="34" fillId="0" borderId="50" xfId="58" applyFont="1" applyBorder="1" applyAlignment="1">
      <alignment horizontal="left"/>
      <protection/>
    </xf>
    <xf numFmtId="0" fontId="34" fillId="0" borderId="28" xfId="58" applyFont="1" applyBorder="1" applyAlignment="1">
      <alignment horizontal="left"/>
      <protection/>
    </xf>
    <xf numFmtId="0" fontId="34" fillId="0" borderId="76" xfId="58" applyFont="1" applyBorder="1" applyAlignment="1">
      <alignment horizontal="left"/>
      <protection/>
    </xf>
    <xf numFmtId="0" fontId="34" fillId="0" borderId="42" xfId="58" applyFont="1" applyBorder="1" applyAlignment="1">
      <alignment horizontal="left" wrapText="1"/>
      <protection/>
    </xf>
    <xf numFmtId="0" fontId="55" fillId="0" borderId="0" xfId="59" applyFont="1" applyFill="1" applyAlignment="1">
      <alignment horizontal="center" vertical="center" wrapText="1"/>
      <protection/>
    </xf>
    <xf numFmtId="0" fontId="55" fillId="0" borderId="48" xfId="59" applyFont="1" applyFill="1" applyBorder="1" applyAlignment="1">
      <alignment horizontal="center" vertical="center" wrapText="1"/>
      <protection/>
    </xf>
    <xf numFmtId="0" fontId="15" fillId="0" borderId="152" xfId="59" applyFont="1" applyFill="1" applyBorder="1" applyAlignment="1">
      <alignment horizontal="center" vertical="center" wrapText="1"/>
      <protection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56" fillId="0" borderId="151" xfId="58" applyFont="1" applyBorder="1" applyAlignment="1">
      <alignment horizontal="center" wrapText="1"/>
      <protection/>
    </xf>
    <xf numFmtId="0" fontId="56" fillId="0" borderId="41" xfId="58" applyFont="1" applyBorder="1" applyAlignment="1">
      <alignment horizontal="center" wrapText="1"/>
      <protection/>
    </xf>
    <xf numFmtId="0" fontId="56" fillId="0" borderId="71" xfId="58" applyFont="1" applyBorder="1" applyAlignment="1">
      <alignment horizontal="center" wrapText="1"/>
      <protection/>
    </xf>
    <xf numFmtId="0" fontId="56" fillId="0" borderId="28" xfId="58" applyFont="1" applyBorder="1" applyAlignment="1">
      <alignment horizontal="center" wrapText="1"/>
      <protection/>
    </xf>
    <xf numFmtId="0" fontId="53" fillId="0" borderId="41" xfId="59" applyFont="1" applyFill="1" applyBorder="1" applyAlignment="1">
      <alignment horizontal="center" vertical="center" wrapText="1"/>
      <protection/>
    </xf>
    <xf numFmtId="0" fontId="53" fillId="0" borderId="50" xfId="59" applyFont="1" applyFill="1" applyBorder="1" applyAlignment="1">
      <alignment horizontal="center" vertical="center" wrapText="1"/>
      <protection/>
    </xf>
    <xf numFmtId="0" fontId="53" fillId="0" borderId="28" xfId="59" applyFont="1" applyFill="1" applyBorder="1" applyAlignment="1">
      <alignment horizontal="center" vertical="center" wrapText="1"/>
      <protection/>
    </xf>
    <xf numFmtId="0" fontId="19" fillId="0" borderId="41" xfId="58" applyBorder="1" applyAlignment="1">
      <alignment horizontal="center" vertical="center"/>
      <protection/>
    </xf>
    <xf numFmtId="0" fontId="19" fillId="0" borderId="129" xfId="58" applyBorder="1" applyAlignment="1">
      <alignment horizontal="center" vertical="center"/>
      <protection/>
    </xf>
    <xf numFmtId="0" fontId="19" fillId="0" borderId="71" xfId="58" applyBorder="1" applyAlignment="1">
      <alignment horizontal="center" vertical="center"/>
      <protection/>
    </xf>
    <xf numFmtId="0" fontId="19" fillId="0" borderId="28" xfId="58" applyBorder="1" applyAlignment="1">
      <alignment horizontal="center" vertical="center"/>
      <protection/>
    </xf>
    <xf numFmtId="0" fontId="19" fillId="0" borderId="19" xfId="58" applyBorder="1" applyAlignment="1">
      <alignment horizontal="center" vertical="center"/>
      <protection/>
    </xf>
    <xf numFmtId="0" fontId="15" fillId="0" borderId="155" xfId="59" applyFont="1" applyFill="1" applyBorder="1" applyAlignment="1">
      <alignment horizontal="center" vertical="center" wrapText="1"/>
      <protection/>
    </xf>
    <xf numFmtId="0" fontId="0" fillId="0" borderId="153" xfId="0" applyBorder="1" applyAlignment="1">
      <alignment horizontal="center" vertical="center" wrapText="1"/>
    </xf>
    <xf numFmtId="0" fontId="15" fillId="0" borderId="156" xfId="59" applyFont="1" applyFill="1" applyBorder="1" applyAlignment="1">
      <alignment horizontal="center" vertical="center" wrapText="1"/>
      <protection/>
    </xf>
    <xf numFmtId="0" fontId="0" fillId="0" borderId="157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0" fontId="53" fillId="0" borderId="129" xfId="59" applyFont="1" applyFill="1" applyBorder="1" applyAlignment="1">
      <alignment horizontal="center" vertical="center" wrapText="1"/>
      <protection/>
    </xf>
    <xf numFmtId="0" fontId="53" fillId="0" borderId="19" xfId="59" applyFont="1" applyFill="1" applyBorder="1" applyAlignment="1">
      <alignment horizontal="center" vertical="center" wrapText="1"/>
      <protection/>
    </xf>
    <xf numFmtId="0" fontId="15" fillId="0" borderId="159" xfId="59" applyFont="1" applyFill="1" applyBorder="1" applyAlignment="1">
      <alignment horizontal="center" vertical="center" wrapText="1"/>
      <protection/>
    </xf>
    <xf numFmtId="0" fontId="0" fillId="0" borderId="160" xfId="0" applyBorder="1" applyAlignment="1">
      <alignment horizontal="center" vertical="center" wrapText="1"/>
    </xf>
    <xf numFmtId="0" fontId="15" fillId="0" borderId="123" xfId="59" applyFont="1" applyFill="1" applyBorder="1" applyAlignment="1">
      <alignment horizontal="center" vertical="center" wrapText="1"/>
      <protection/>
    </xf>
    <xf numFmtId="3" fontId="33" fillId="0" borderId="89" xfId="58" applyNumberFormat="1" applyFont="1" applyBorder="1" applyAlignment="1">
      <alignment horizontal="right" vertical="center"/>
      <protection/>
    </xf>
    <xf numFmtId="3" fontId="33" fillId="0" borderId="46" xfId="58" applyNumberFormat="1" applyFont="1" applyBorder="1" applyAlignment="1">
      <alignment horizontal="right" vertical="center"/>
      <protection/>
    </xf>
    <xf numFmtId="0" fontId="57" fillId="0" borderId="52" xfId="58" applyFont="1" applyBorder="1" applyAlignment="1">
      <alignment horizontal="right"/>
      <protection/>
    </xf>
    <xf numFmtId="0" fontId="57" fillId="0" borderId="138" xfId="58" applyFont="1" applyBorder="1" applyAlignment="1">
      <alignment horizontal="right"/>
      <protection/>
    </xf>
    <xf numFmtId="0" fontId="0" fillId="0" borderId="121" xfId="0" applyBorder="1" applyAlignment="1">
      <alignment/>
    </xf>
    <xf numFmtId="0" fontId="0" fillId="0" borderId="35" xfId="0" applyBorder="1" applyAlignment="1">
      <alignment/>
    </xf>
    <xf numFmtId="0" fontId="33" fillId="9" borderId="47" xfId="58" applyFont="1" applyFill="1" applyBorder="1" applyAlignment="1">
      <alignment horizontal="right"/>
      <protection/>
    </xf>
    <xf numFmtId="0" fontId="0" fillId="9" borderId="48" xfId="0" applyFill="1" applyBorder="1" applyAlignment="1">
      <alignment horizontal="right"/>
    </xf>
    <xf numFmtId="0" fontId="0" fillId="9" borderId="161" xfId="0" applyFill="1" applyBorder="1" applyAlignment="1">
      <alignment horizontal="right"/>
    </xf>
    <xf numFmtId="0" fontId="57" fillId="0" borderId="44" xfId="58" applyFont="1" applyBorder="1" applyAlignment="1">
      <alignment horizontal="right"/>
      <protection/>
    </xf>
    <xf numFmtId="0" fontId="57" fillId="0" borderId="0" xfId="58" applyFont="1" applyBorder="1" applyAlignment="1">
      <alignment horizontal="right"/>
      <protection/>
    </xf>
    <xf numFmtId="0" fontId="57" fillId="0" borderId="74" xfId="58" applyFont="1" applyBorder="1" applyAlignment="1">
      <alignment horizontal="right"/>
      <protection/>
    </xf>
    <xf numFmtId="0" fontId="57" fillId="0" borderId="81" xfId="58" applyFont="1" applyBorder="1" applyAlignment="1">
      <alignment horizontal="right"/>
      <protection/>
    </xf>
    <xf numFmtId="0" fontId="57" fillId="0" borderId="162" xfId="58" applyFont="1" applyBorder="1" applyAlignment="1">
      <alignment horizontal="right"/>
      <protection/>
    </xf>
    <xf numFmtId="0" fontId="34" fillId="0" borderId="42" xfId="58" applyFont="1" applyBorder="1" applyAlignment="1">
      <alignment horizontal="left" vertical="center" wrapText="1"/>
      <protection/>
    </xf>
    <xf numFmtId="0" fontId="34" fillId="0" borderId="0" xfId="58" applyFont="1" applyBorder="1" applyAlignment="1">
      <alignment horizontal="left" vertical="center" wrapText="1"/>
      <protection/>
    </xf>
    <xf numFmtId="3" fontId="33" fillId="0" borderId="55" xfId="58" applyNumberFormat="1" applyFont="1" applyBorder="1" applyAlignment="1">
      <alignment horizontal="right" vertical="center"/>
      <protection/>
    </xf>
    <xf numFmtId="0" fontId="56" fillId="0" borderId="41" xfId="58" applyFont="1" applyBorder="1" applyAlignment="1">
      <alignment horizontal="center" vertical="center"/>
      <protection/>
    </xf>
    <xf numFmtId="0" fontId="56" fillId="0" borderId="129" xfId="58" applyFont="1" applyBorder="1" applyAlignment="1">
      <alignment horizontal="center" vertical="center"/>
      <protection/>
    </xf>
    <xf numFmtId="0" fontId="56" fillId="0" borderId="71" xfId="58" applyFont="1" applyBorder="1" applyAlignment="1">
      <alignment horizontal="center" vertical="center"/>
      <protection/>
    </xf>
    <xf numFmtId="0" fontId="56" fillId="0" borderId="28" xfId="58" applyFont="1" applyBorder="1" applyAlignment="1">
      <alignment horizontal="center" vertical="center"/>
      <protection/>
    </xf>
    <xf numFmtId="0" fontId="56" fillId="0" borderId="19" xfId="58" applyFont="1" applyBorder="1" applyAlignment="1">
      <alignment horizontal="center" vertical="center"/>
      <protection/>
    </xf>
    <xf numFmtId="0" fontId="34" fillId="0" borderId="47" xfId="58" applyFont="1" applyBorder="1" applyAlignment="1">
      <alignment horizontal="left"/>
      <protection/>
    </xf>
    <xf numFmtId="0" fontId="34" fillId="0" borderId="48" xfId="58" applyFont="1" applyBorder="1" applyAlignment="1">
      <alignment horizontal="left"/>
      <protection/>
    </xf>
    <xf numFmtId="3" fontId="33" fillId="0" borderId="99" xfId="58" applyNumberFormat="1" applyFont="1" applyBorder="1" applyAlignment="1">
      <alignment horizontal="right" vertical="center"/>
      <protection/>
    </xf>
    <xf numFmtId="3" fontId="33" fillId="0" borderId="33" xfId="58" applyNumberFormat="1" applyFont="1" applyBorder="1" applyAlignment="1">
      <alignment horizontal="right" vertical="center"/>
      <protection/>
    </xf>
    <xf numFmtId="3" fontId="33" fillId="0" borderId="100" xfId="58" applyNumberFormat="1" applyFont="1" applyBorder="1" applyAlignment="1">
      <alignment horizontal="right" vertical="center"/>
      <protection/>
    </xf>
    <xf numFmtId="0" fontId="57" fillId="0" borderId="42" xfId="58" applyFont="1" applyBorder="1" applyAlignment="1">
      <alignment horizontal="right"/>
      <protection/>
    </xf>
    <xf numFmtId="0" fontId="0" fillId="0" borderId="74" xfId="0" applyBorder="1" applyAlignment="1">
      <alignment horizontal="right"/>
    </xf>
    <xf numFmtId="0" fontId="58" fillId="0" borderId="95" xfId="58" applyFont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0" borderId="138" xfId="0" applyBorder="1" applyAlignment="1">
      <alignment horizontal="center"/>
    </xf>
    <xf numFmtId="0" fontId="33" fillId="0" borderId="48" xfId="58" applyFont="1" applyBorder="1" applyAlignment="1">
      <alignment/>
      <protection/>
    </xf>
    <xf numFmtId="0" fontId="33" fillId="0" borderId="48" xfId="0" applyFont="1" applyBorder="1" applyAlignment="1">
      <alignment/>
    </xf>
    <xf numFmtId="0" fontId="33" fillId="0" borderId="100" xfId="0" applyFont="1" applyBorder="1" applyAlignment="1">
      <alignment/>
    </xf>
    <xf numFmtId="0" fontId="56" fillId="9" borderId="95" xfId="58" applyFont="1" applyFill="1" applyBorder="1" applyAlignment="1">
      <alignment wrapText="1"/>
      <protection/>
    </xf>
    <xf numFmtId="0" fontId="71" fillId="9" borderId="52" xfId="0" applyFont="1" applyFill="1" applyBorder="1" applyAlignment="1">
      <alignment wrapText="1"/>
    </xf>
    <xf numFmtId="0" fontId="71" fillId="9" borderId="138" xfId="0" applyFont="1" applyFill="1" applyBorder="1" applyAlignment="1">
      <alignment wrapText="1"/>
    </xf>
    <xf numFmtId="0" fontId="33" fillId="9" borderId="48" xfId="58" applyFont="1" applyFill="1" applyBorder="1" applyAlignment="1">
      <alignment/>
      <protection/>
    </xf>
    <xf numFmtId="0" fontId="33" fillId="9" borderId="48" xfId="0" applyFont="1" applyFill="1" applyBorder="1" applyAlignment="1">
      <alignment/>
    </xf>
    <xf numFmtId="0" fontId="33" fillId="9" borderId="100" xfId="0" applyFont="1" applyFill="1" applyBorder="1" applyAlignment="1">
      <alignment/>
    </xf>
    <xf numFmtId="0" fontId="56" fillId="0" borderId="48" xfId="58" applyFont="1" applyBorder="1" applyAlignment="1">
      <alignment/>
      <protection/>
    </xf>
    <xf numFmtId="0" fontId="56" fillId="0" borderId="100" xfId="58" applyFont="1" applyBorder="1" applyAlignment="1">
      <alignment/>
      <protection/>
    </xf>
    <xf numFmtId="0" fontId="57" fillId="0" borderId="76" xfId="58" applyFont="1" applyBorder="1" applyAlignment="1">
      <alignment horizontal="right"/>
      <protection/>
    </xf>
    <xf numFmtId="0" fontId="57" fillId="0" borderId="43" xfId="58" applyFont="1" applyBorder="1" applyAlignment="1">
      <alignment horizontal="right"/>
      <protection/>
    </xf>
    <xf numFmtId="0" fontId="57" fillId="0" borderId="73" xfId="58" applyFont="1" applyBorder="1" applyAlignment="1">
      <alignment horizontal="right"/>
      <protection/>
    </xf>
    <xf numFmtId="0" fontId="53" fillId="0" borderId="163" xfId="59" applyFont="1" applyFill="1" applyBorder="1" applyAlignment="1">
      <alignment horizontal="center" vertical="center" wrapText="1"/>
      <protection/>
    </xf>
    <xf numFmtId="0" fontId="53" fillId="0" borderId="78" xfId="59" applyFont="1" applyFill="1" applyBorder="1" applyAlignment="1">
      <alignment horizontal="center" vertical="center" wrapText="1"/>
      <protection/>
    </xf>
    <xf numFmtId="0" fontId="0" fillId="0" borderId="163" xfId="0" applyBorder="1" applyAlignment="1">
      <alignment/>
    </xf>
    <xf numFmtId="0" fontId="0" fillId="0" borderId="78" xfId="0" applyBorder="1" applyAlignment="1">
      <alignment/>
    </xf>
    <xf numFmtId="0" fontId="56" fillId="9" borderId="164" xfId="58" applyFont="1" applyFill="1" applyBorder="1" applyAlignment="1">
      <alignment/>
      <protection/>
    </xf>
    <xf numFmtId="0" fontId="56" fillId="9" borderId="131" xfId="58" applyFont="1" applyFill="1" applyBorder="1" applyAlignment="1">
      <alignment/>
      <protection/>
    </xf>
    <xf numFmtId="3" fontId="33" fillId="0" borderId="101" xfId="58" applyNumberFormat="1" applyFont="1" applyBorder="1" applyAlignment="1">
      <alignment horizontal="right" vertical="center"/>
      <protection/>
    </xf>
    <xf numFmtId="0" fontId="32" fillId="0" borderId="0" xfId="58" applyFont="1" applyAlignment="1">
      <alignment horizontal="center"/>
      <protection/>
    </xf>
    <xf numFmtId="0" fontId="34" fillId="0" borderId="61" xfId="58" applyFont="1" applyBorder="1" applyAlignment="1">
      <alignment horizontal="left" wrapText="1"/>
      <protection/>
    </xf>
    <xf numFmtId="0" fontId="34" fillId="0" borderId="43" xfId="58" applyFont="1" applyBorder="1" applyAlignment="1">
      <alignment horizontal="left" wrapText="1"/>
      <protection/>
    </xf>
    <xf numFmtId="0" fontId="19" fillId="0" borderId="0" xfId="58" applyAlignment="1">
      <alignment horizontal="center"/>
      <protection/>
    </xf>
    <xf numFmtId="0" fontId="34" fillId="0" borderId="0" xfId="58" applyFont="1" applyAlignment="1">
      <alignment horizontal="left" wrapText="1"/>
      <protection/>
    </xf>
    <xf numFmtId="0" fontId="19" fillId="0" borderId="0" xfId="0" applyFont="1" applyAlignment="1">
      <alignment/>
    </xf>
    <xf numFmtId="0" fontId="34" fillId="0" borderId="71" xfId="58" applyFont="1" applyBorder="1" applyAlignment="1">
      <alignment horizontal="left"/>
      <protection/>
    </xf>
    <xf numFmtId="0" fontId="34" fillId="0" borderId="95" xfId="58" applyFont="1" applyBorder="1" applyAlignment="1">
      <alignment horizontal="left"/>
      <protection/>
    </xf>
    <xf numFmtId="0" fontId="34" fillId="0" borderId="81" xfId="58" applyFont="1" applyBorder="1" applyAlignment="1">
      <alignment horizontal="left"/>
      <protection/>
    </xf>
    <xf numFmtId="3" fontId="33" fillId="0" borderId="150" xfId="58" applyNumberFormat="1" applyFont="1" applyBorder="1" applyAlignment="1">
      <alignment horizontal="right" vertical="center"/>
      <protection/>
    </xf>
    <xf numFmtId="3" fontId="33" fillId="0" borderId="44" xfId="58" applyNumberFormat="1" applyFont="1" applyBorder="1" applyAlignment="1">
      <alignment horizontal="right" vertical="center"/>
      <protection/>
    </xf>
    <xf numFmtId="3" fontId="33" fillId="0" borderId="50" xfId="58" applyNumberFormat="1" applyFont="1" applyBorder="1" applyAlignment="1">
      <alignment horizontal="right" vertical="center"/>
      <protection/>
    </xf>
    <xf numFmtId="0" fontId="34" fillId="0" borderId="51" xfId="58" applyFont="1" applyBorder="1" applyAlignment="1">
      <alignment horizontal="left"/>
      <protection/>
    </xf>
    <xf numFmtId="0" fontId="10" fillId="0" borderId="0" xfId="0" applyFont="1" applyFill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7" fillId="0" borderId="10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0" xfId="61" applyFont="1" applyAlignment="1">
      <alignment horizontal="center" vertical="center" wrapText="1"/>
      <protection/>
    </xf>
    <xf numFmtId="0" fontId="25" fillId="0" borderId="104" xfId="61" applyFont="1" applyBorder="1" applyAlignment="1">
      <alignment horizontal="center" vertical="center"/>
      <protection/>
    </xf>
    <xf numFmtId="0" fontId="25" fillId="0" borderId="34" xfId="61" applyFont="1" applyBorder="1" applyAlignment="1">
      <alignment horizontal="center" vertical="center"/>
      <protection/>
    </xf>
    <xf numFmtId="0" fontId="20" fillId="0" borderId="106" xfId="61" applyFont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13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horizontal="center" vertical="center" wrapText="1"/>
      <protection/>
    </xf>
    <xf numFmtId="0" fontId="56" fillId="0" borderId="165" xfId="0" applyFont="1" applyBorder="1" applyAlignment="1">
      <alignment horizontal="left"/>
    </xf>
    <xf numFmtId="0" fontId="56" fillId="0" borderId="166" xfId="0" applyFont="1" applyBorder="1" applyAlignment="1">
      <alignment horizontal="left"/>
    </xf>
    <xf numFmtId="0" fontId="56" fillId="0" borderId="152" xfId="0" applyFont="1" applyBorder="1" applyAlignment="1">
      <alignment horizontal="left"/>
    </xf>
    <xf numFmtId="0" fontId="0" fillId="0" borderId="8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56" fillId="0" borderId="167" xfId="0" applyFont="1" applyBorder="1" applyAlignment="1">
      <alignment horizontal="left"/>
    </xf>
    <xf numFmtId="0" fontId="56" fillId="0" borderId="168" xfId="0" applyFont="1" applyBorder="1" applyAlignment="1">
      <alignment horizontal="left"/>
    </xf>
    <xf numFmtId="0" fontId="56" fillId="0" borderId="169" xfId="0" applyFont="1" applyBorder="1" applyAlignment="1">
      <alignment horizontal="left"/>
    </xf>
    <xf numFmtId="0" fontId="58" fillId="25" borderId="51" xfId="0" applyFont="1" applyFill="1" applyBorder="1" applyAlignment="1">
      <alignment horizontal="center" vertical="center"/>
    </xf>
    <xf numFmtId="0" fontId="58" fillId="25" borderId="52" xfId="0" applyFont="1" applyFill="1" applyBorder="1" applyAlignment="1">
      <alignment horizontal="center" vertical="center"/>
    </xf>
    <xf numFmtId="0" fontId="58" fillId="25" borderId="170" xfId="0" applyFont="1" applyFill="1" applyBorder="1" applyAlignment="1">
      <alignment horizontal="center" vertical="center"/>
    </xf>
    <xf numFmtId="0" fontId="32" fillId="0" borderId="15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129" xfId="0" applyFont="1" applyBorder="1" applyAlignment="1">
      <alignment horizontal="center"/>
    </xf>
    <xf numFmtId="0" fontId="56" fillId="0" borderId="81" xfId="0" applyFont="1" applyBorder="1" applyAlignment="1">
      <alignment horizontal="center"/>
    </xf>
    <xf numFmtId="0" fontId="56" fillId="0" borderId="82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73" fillId="0" borderId="0" xfId="0" applyFont="1" applyAlignment="1">
      <alignment horizontal="center" wrapText="1"/>
    </xf>
    <xf numFmtId="0" fontId="57" fillId="0" borderId="61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122" xfId="0" applyFont="1" applyBorder="1" applyAlignment="1">
      <alignment horizontal="center" vertical="center"/>
    </xf>
    <xf numFmtId="0" fontId="57" fillId="0" borderId="104" xfId="0" applyFont="1" applyBorder="1" applyAlignment="1">
      <alignment horizontal="center" vertical="center" wrapText="1"/>
    </xf>
    <xf numFmtId="0" fontId="57" fillId="0" borderId="106" xfId="0" applyFont="1" applyBorder="1" applyAlignment="1">
      <alignment horizontal="center" vertical="center" wrapText="1"/>
    </xf>
    <xf numFmtId="0" fontId="57" fillId="0" borderId="126" xfId="0" applyFont="1" applyBorder="1" applyAlignment="1">
      <alignment horizontal="center" vertical="center" wrapText="1"/>
    </xf>
    <xf numFmtId="0" fontId="76" fillId="0" borderId="140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24" fillId="0" borderId="14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99" xfId="0" applyBorder="1" applyAlignment="1">
      <alignment horizontal="center"/>
    </xf>
    <xf numFmtId="0" fontId="56" fillId="0" borderId="123" xfId="0" applyFont="1" applyBorder="1" applyAlignment="1">
      <alignment horizontal="left"/>
    </xf>
    <xf numFmtId="0" fontId="56" fillId="0" borderId="157" xfId="0" applyFont="1" applyBorder="1" applyAlignment="1">
      <alignment horizontal="left"/>
    </xf>
    <xf numFmtId="0" fontId="56" fillId="0" borderId="130" xfId="0" applyFont="1" applyBorder="1" applyAlignment="1">
      <alignment horizontal="left"/>
    </xf>
    <xf numFmtId="0" fontId="56" fillId="0" borderId="83" xfId="0" applyFont="1" applyBorder="1" applyAlignment="1">
      <alignment horizontal="center"/>
    </xf>
    <xf numFmtId="0" fontId="1" fillId="0" borderId="29" xfId="60" applyFont="1" applyBorder="1" applyAlignment="1">
      <alignment horizontal="center" vertical="center" wrapText="1"/>
      <protection/>
    </xf>
    <xf numFmtId="0" fontId="19" fillId="0" borderId="23" xfId="60" applyBorder="1" applyAlignment="1">
      <alignment horizontal="center" vertical="center" wrapText="1"/>
      <protection/>
    </xf>
    <xf numFmtId="0" fontId="1" fillId="0" borderId="22" xfId="60" applyFont="1" applyBorder="1" applyAlignment="1">
      <alignment horizontal="center" vertical="center"/>
      <protection/>
    </xf>
    <xf numFmtId="0" fontId="1" fillId="0" borderId="29" xfId="60" applyFont="1" applyBorder="1" applyAlignment="1">
      <alignment horizontal="center" vertical="center"/>
      <protection/>
    </xf>
    <xf numFmtId="0" fontId="1" fillId="0" borderId="32" xfId="60" applyFont="1" applyBorder="1" applyAlignment="1">
      <alignment horizontal="center" vertical="center"/>
      <protection/>
    </xf>
    <xf numFmtId="0" fontId="1" fillId="0" borderId="23" xfId="60" applyFont="1" applyBorder="1" applyAlignment="1">
      <alignment horizontal="center" vertical="center"/>
      <protection/>
    </xf>
    <xf numFmtId="0" fontId="2" fillId="22" borderId="10" xfId="60" applyFont="1" applyFill="1" applyBorder="1" applyAlignment="1">
      <alignment horizontal="right"/>
      <protection/>
    </xf>
    <xf numFmtId="0" fontId="2" fillId="22" borderId="21" xfId="60" applyFont="1" applyFill="1" applyBorder="1" applyAlignment="1">
      <alignment horizontal="right"/>
      <protection/>
    </xf>
    <xf numFmtId="0" fontId="1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1" fillId="0" borderId="34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34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6" xfId="60" applyFont="1" applyBorder="1" applyAlignment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 2" xfId="57"/>
    <cellStyle name="Normál_Kötelező, önként vállalt, állami feladatok szerinti bontás" xfId="58"/>
    <cellStyle name="Normál_Munka1" xfId="59"/>
    <cellStyle name="Normál_NORM09" xfId="60"/>
    <cellStyle name="Normál_TABLAK_táblák2012előterj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:F2"/>
    </sheetView>
  </sheetViews>
  <sheetFormatPr defaultColWidth="8.875" defaultRowHeight="12.75"/>
  <cols>
    <col min="1" max="1" width="3.875" style="182" customWidth="1"/>
    <col min="2" max="2" width="54.625" style="1" customWidth="1"/>
    <col min="3" max="5" width="14.75390625" style="1" customWidth="1"/>
    <col min="6" max="6" width="14.75390625" style="6" customWidth="1"/>
    <col min="7" max="7" width="14.25390625" style="98" customWidth="1"/>
    <col min="8" max="8" width="11.625" style="1" bestFit="1" customWidth="1"/>
    <col min="9" max="16384" width="8.875" style="1" customWidth="1"/>
  </cols>
  <sheetData>
    <row r="1" spans="5:6" ht="12">
      <c r="E1" s="2"/>
      <c r="F1" s="2" t="s">
        <v>161</v>
      </c>
    </row>
    <row r="2" spans="2:6" ht="12.75">
      <c r="B2" s="911" t="s">
        <v>269</v>
      </c>
      <c r="C2" s="911"/>
      <c r="D2" s="911"/>
      <c r="E2" s="911"/>
      <c r="F2" s="911"/>
    </row>
    <row r="3" spans="2:6" ht="7.5" customHeight="1">
      <c r="B3" s="3"/>
      <c r="C3" s="3"/>
      <c r="D3" s="3"/>
      <c r="E3" s="3"/>
      <c r="F3" s="3"/>
    </row>
    <row r="4" ht="15" customHeight="1">
      <c r="F4" s="2" t="s">
        <v>326</v>
      </c>
    </row>
    <row r="5" spans="1:8" s="9" customFormat="1" ht="60" customHeight="1">
      <c r="A5" s="139" t="s">
        <v>483</v>
      </c>
      <c r="B5" s="140" t="s">
        <v>327</v>
      </c>
      <c r="C5" s="141" t="s">
        <v>506</v>
      </c>
      <c r="D5" s="141" t="s">
        <v>337</v>
      </c>
      <c r="E5" s="141" t="s">
        <v>309</v>
      </c>
      <c r="F5" s="140" t="s">
        <v>305</v>
      </c>
      <c r="G5" s="86" t="s">
        <v>226</v>
      </c>
      <c r="H5" s="86"/>
    </row>
    <row r="6" spans="1:7" s="138" customFormat="1" ht="12">
      <c r="A6" s="142"/>
      <c r="B6" s="142" t="s">
        <v>477</v>
      </c>
      <c r="C6" s="158" t="s">
        <v>478</v>
      </c>
      <c r="D6" s="158" t="s">
        <v>479</v>
      </c>
      <c r="E6" s="158" t="s">
        <v>480</v>
      </c>
      <c r="F6" s="158" t="s">
        <v>481</v>
      </c>
      <c r="G6" s="159"/>
    </row>
    <row r="7" spans="1:7" s="88" customFormat="1" ht="18" customHeight="1">
      <c r="A7" s="142">
        <v>1</v>
      </c>
      <c r="B7" s="143" t="s">
        <v>903</v>
      </c>
      <c r="C7" s="100">
        <f>SUM(C8,C111)</f>
        <v>5981721</v>
      </c>
      <c r="D7" s="100">
        <f>SUM(D8,D111)</f>
        <v>2775</v>
      </c>
      <c r="E7" s="100">
        <f>SUM(E8,E111)</f>
        <v>19387</v>
      </c>
      <c r="F7" s="100">
        <f>SUM(F8,F111)</f>
        <v>6003883</v>
      </c>
      <c r="G7" s="99">
        <f>SUM(C7:E7)</f>
        <v>6003883</v>
      </c>
    </row>
    <row r="8" spans="1:7" s="65" customFormat="1" ht="18" customHeight="1">
      <c r="A8" s="142">
        <v>2</v>
      </c>
      <c r="B8" s="144" t="s">
        <v>914</v>
      </c>
      <c r="C8" s="101">
        <f>SUM(C9,C30,C50,C89)</f>
        <v>1907669</v>
      </c>
      <c r="D8" s="101">
        <f>SUM(D9,D30,D50,D89)</f>
        <v>2775</v>
      </c>
      <c r="E8" s="101">
        <f>SUM(E9,E30,E50,E89)</f>
        <v>18315</v>
      </c>
      <c r="F8" s="101">
        <f>SUM(F9,F30,F50,F89)</f>
        <v>1928759</v>
      </c>
      <c r="G8" s="99">
        <f>SUM(C8:E8)</f>
        <v>1928759</v>
      </c>
    </row>
    <row r="9" spans="1:7" s="93" customFormat="1" ht="14.25">
      <c r="A9" s="142">
        <v>3</v>
      </c>
      <c r="B9" s="145" t="s">
        <v>929</v>
      </c>
      <c r="C9" s="97">
        <f>SUM(C10,C11,C12,C16,C22,C23,C29)</f>
        <v>141664</v>
      </c>
      <c r="D9" s="97">
        <f>SUM(D10,D11,D12,D16,D22,D23,D29)</f>
        <v>350</v>
      </c>
      <c r="E9" s="97">
        <f>SUM(E10,E11,E12,E16,E22,E23,E29)</f>
        <v>0</v>
      </c>
      <c r="F9" s="97">
        <f>SUM(F10,F11,F12,F16,F22,F23,F29)</f>
        <v>142014</v>
      </c>
      <c r="G9" s="98">
        <f>SUM(C9:E9)</f>
        <v>142014</v>
      </c>
    </row>
    <row r="10" spans="1:7" s="92" customFormat="1" ht="12.75">
      <c r="A10" s="142">
        <v>4</v>
      </c>
      <c r="B10" s="148" t="s">
        <v>941</v>
      </c>
      <c r="C10" s="91">
        <v>0</v>
      </c>
      <c r="D10" s="91">
        <v>350</v>
      </c>
      <c r="E10" s="91">
        <v>0</v>
      </c>
      <c r="F10" s="91">
        <f>SUM(C10:E10)</f>
        <v>350</v>
      </c>
      <c r="G10" s="98">
        <f>SUM(C10:E10)</f>
        <v>350</v>
      </c>
    </row>
    <row r="11" spans="1:7" s="92" customFormat="1" ht="12.75">
      <c r="A11" s="142">
        <v>5</v>
      </c>
      <c r="B11" s="148" t="s">
        <v>942</v>
      </c>
      <c r="C11" s="91">
        <v>0</v>
      </c>
      <c r="D11" s="91">
        <v>0</v>
      </c>
      <c r="E11" s="91">
        <v>0</v>
      </c>
      <c r="F11" s="91">
        <f>SUM(C11:E11)</f>
        <v>0</v>
      </c>
      <c r="G11" s="294"/>
    </row>
    <row r="12" spans="1:7" s="291" customFormat="1" ht="12.75">
      <c r="A12" s="142">
        <v>6</v>
      </c>
      <c r="B12" s="148" t="s">
        <v>943</v>
      </c>
      <c r="C12" s="91">
        <f>SUM(C13:C15)</f>
        <v>20000</v>
      </c>
      <c r="D12" s="91">
        <f>SUM(D13:D15)</f>
        <v>0</v>
      </c>
      <c r="E12" s="91">
        <f>SUM(E13:E15)</f>
        <v>0</v>
      </c>
      <c r="F12" s="91">
        <f>SUM(F13:F15)</f>
        <v>20000</v>
      </c>
      <c r="G12" s="289"/>
    </row>
    <row r="13" spans="1:7" s="90" customFormat="1" ht="12">
      <c r="A13" s="142">
        <v>7</v>
      </c>
      <c r="B13" s="146" t="s">
        <v>333</v>
      </c>
      <c r="C13" s="89">
        <v>20000</v>
      </c>
      <c r="D13" s="89">
        <v>0</v>
      </c>
      <c r="E13" s="89">
        <v>0</v>
      </c>
      <c r="F13" s="89">
        <f>SUM(C13:E13)</f>
        <v>20000</v>
      </c>
      <c r="G13" s="288"/>
    </row>
    <row r="14" spans="1:7" s="90" customFormat="1" ht="12">
      <c r="A14" s="142">
        <v>8</v>
      </c>
      <c r="B14" s="146" t="s">
        <v>334</v>
      </c>
      <c r="C14" s="89">
        <v>0</v>
      </c>
      <c r="D14" s="89">
        <v>0</v>
      </c>
      <c r="E14" s="89">
        <v>0</v>
      </c>
      <c r="F14" s="89">
        <f>SUM(C14:E14)</f>
        <v>0</v>
      </c>
      <c r="G14" s="288"/>
    </row>
    <row r="15" spans="1:7" s="90" customFormat="1" ht="12">
      <c r="A15" s="142">
        <v>9</v>
      </c>
      <c r="B15" s="146" t="s">
        <v>924</v>
      </c>
      <c r="C15" s="89">
        <v>0</v>
      </c>
      <c r="D15" s="89">
        <v>0</v>
      </c>
      <c r="E15" s="89">
        <v>0</v>
      </c>
      <c r="F15" s="89">
        <f>SUM(C15:E15)</f>
        <v>0</v>
      </c>
      <c r="G15" s="288"/>
    </row>
    <row r="16" spans="1:7" s="291" customFormat="1" ht="12.75">
      <c r="A16" s="142">
        <v>10</v>
      </c>
      <c r="B16" s="148" t="s">
        <v>944</v>
      </c>
      <c r="C16" s="91">
        <f>SUM(C17:C21)</f>
        <v>119736</v>
      </c>
      <c r="D16" s="91">
        <f>SUM(D17:D21)</f>
        <v>0</v>
      </c>
      <c r="E16" s="91">
        <f>SUM(E17:E21)</f>
        <v>0</v>
      </c>
      <c r="F16" s="91">
        <f>SUM(F17:F21)</f>
        <v>119736</v>
      </c>
      <c r="G16" s="289"/>
    </row>
    <row r="17" spans="1:7" s="90" customFormat="1" ht="12">
      <c r="A17" s="142">
        <v>11</v>
      </c>
      <c r="B17" s="146" t="s">
        <v>332</v>
      </c>
      <c r="C17" s="89">
        <v>1000</v>
      </c>
      <c r="D17" s="89">
        <v>0</v>
      </c>
      <c r="E17" s="89">
        <v>0</v>
      </c>
      <c r="F17" s="89">
        <f aca="true" t="shared" si="0" ref="F17:F22">SUM(C17:E17)</f>
        <v>1000</v>
      </c>
      <c r="G17" s="288"/>
    </row>
    <row r="18" spans="1:7" s="90" customFormat="1" ht="12">
      <c r="A18" s="142">
        <v>12</v>
      </c>
      <c r="B18" s="146" t="s">
        <v>925</v>
      </c>
      <c r="C18" s="89">
        <v>26300</v>
      </c>
      <c r="D18" s="89">
        <v>0</v>
      </c>
      <c r="E18" s="89">
        <v>0</v>
      </c>
      <c r="F18" s="89">
        <f t="shared" si="0"/>
        <v>26300</v>
      </c>
      <c r="G18" s="288"/>
    </row>
    <row r="19" spans="1:7" s="90" customFormat="1" ht="12">
      <c r="A19" s="142">
        <v>13</v>
      </c>
      <c r="B19" s="146" t="s">
        <v>238</v>
      </c>
      <c r="C19" s="89">
        <f>86000-7733+8202+3410+757</f>
        <v>90636</v>
      </c>
      <c r="D19" s="89">
        <v>0</v>
      </c>
      <c r="E19" s="89">
        <v>0</v>
      </c>
      <c r="F19" s="89">
        <f t="shared" si="0"/>
        <v>90636</v>
      </c>
      <c r="G19" s="288"/>
    </row>
    <row r="20" spans="1:7" s="90" customFormat="1" ht="12">
      <c r="A20" s="142">
        <v>14</v>
      </c>
      <c r="B20" s="146" t="s">
        <v>252</v>
      </c>
      <c r="C20" s="89">
        <v>1000</v>
      </c>
      <c r="D20" s="89">
        <v>0</v>
      </c>
      <c r="E20" s="89">
        <v>0</v>
      </c>
      <c r="F20" s="89">
        <f t="shared" si="0"/>
        <v>1000</v>
      </c>
      <c r="G20" s="288"/>
    </row>
    <row r="21" spans="1:7" s="90" customFormat="1" ht="12">
      <c r="A21" s="142">
        <v>15</v>
      </c>
      <c r="B21" s="146" t="s">
        <v>473</v>
      </c>
      <c r="C21" s="89">
        <v>800</v>
      </c>
      <c r="D21" s="89">
        <v>0</v>
      </c>
      <c r="E21" s="89">
        <v>0</v>
      </c>
      <c r="F21" s="89">
        <f t="shared" si="0"/>
        <v>800</v>
      </c>
      <c r="G21" s="288"/>
    </row>
    <row r="22" spans="1:7" s="92" customFormat="1" ht="12.75">
      <c r="A22" s="142">
        <v>16</v>
      </c>
      <c r="B22" s="148" t="s">
        <v>945</v>
      </c>
      <c r="C22" s="91">
        <v>1300</v>
      </c>
      <c r="D22" s="91">
        <v>0</v>
      </c>
      <c r="E22" s="91">
        <v>0</v>
      </c>
      <c r="F22" s="91">
        <f t="shared" si="0"/>
        <v>1300</v>
      </c>
      <c r="G22" s="294"/>
    </row>
    <row r="23" spans="1:7" s="291" customFormat="1" ht="12.75">
      <c r="A23" s="142">
        <v>17</v>
      </c>
      <c r="B23" s="148" t="s">
        <v>9</v>
      </c>
      <c r="C23" s="91">
        <f>SUM(C24:C28)</f>
        <v>28</v>
      </c>
      <c r="D23" s="91">
        <f>SUM(D24:D28)</f>
        <v>0</v>
      </c>
      <c r="E23" s="91">
        <f>SUM(E24:E28)</f>
        <v>0</v>
      </c>
      <c r="F23" s="91">
        <f>SUM(F24:F28)</f>
        <v>28</v>
      </c>
      <c r="G23" s="289"/>
    </row>
    <row r="24" spans="1:7" s="90" customFormat="1" ht="12">
      <c r="A24" s="142">
        <v>18</v>
      </c>
      <c r="B24" s="146" t="s">
        <v>253</v>
      </c>
      <c r="C24" s="89">
        <v>0</v>
      </c>
      <c r="D24" s="89">
        <v>0</v>
      </c>
      <c r="E24" s="89">
        <v>0</v>
      </c>
      <c r="F24" s="89">
        <f aca="true" t="shared" si="1" ref="F24:F29">SUM(C24:E24)</f>
        <v>0</v>
      </c>
      <c r="G24" s="288"/>
    </row>
    <row r="25" spans="1:7" s="90" customFormat="1" ht="12">
      <c r="A25" s="142">
        <v>19</v>
      </c>
      <c r="B25" s="146" t="s">
        <v>254</v>
      </c>
      <c r="C25" s="89">
        <v>0</v>
      </c>
      <c r="D25" s="89">
        <v>0</v>
      </c>
      <c r="E25" s="89">
        <v>0</v>
      </c>
      <c r="F25" s="89">
        <f t="shared" si="1"/>
        <v>0</v>
      </c>
      <c r="G25" s="288"/>
    </row>
    <row r="26" spans="1:7" s="90" customFormat="1" ht="12">
      <c r="A26" s="142">
        <v>20</v>
      </c>
      <c r="B26" s="146" t="s">
        <v>255</v>
      </c>
      <c r="C26" s="89">
        <v>0</v>
      </c>
      <c r="D26" s="89">
        <v>0</v>
      </c>
      <c r="E26" s="89">
        <v>0</v>
      </c>
      <c r="F26" s="89">
        <f t="shared" si="1"/>
        <v>0</v>
      </c>
      <c r="G26" s="288"/>
    </row>
    <row r="27" spans="1:7" s="90" customFormat="1" ht="12">
      <c r="A27" s="142">
        <v>21</v>
      </c>
      <c r="B27" s="146" t="s">
        <v>256</v>
      </c>
      <c r="C27" s="89">
        <v>0</v>
      </c>
      <c r="D27" s="89">
        <v>0</v>
      </c>
      <c r="E27" s="89">
        <v>0</v>
      </c>
      <c r="F27" s="89">
        <f t="shared" si="1"/>
        <v>0</v>
      </c>
      <c r="G27" s="288"/>
    </row>
    <row r="28" spans="1:7" s="90" customFormat="1" ht="12">
      <c r="A28" s="142">
        <v>22</v>
      </c>
      <c r="B28" s="146" t="s">
        <v>926</v>
      </c>
      <c r="C28" s="89">
        <v>28</v>
      </c>
      <c r="D28" s="89">
        <v>0</v>
      </c>
      <c r="E28" s="89">
        <v>0</v>
      </c>
      <c r="F28" s="89">
        <f t="shared" si="1"/>
        <v>28</v>
      </c>
      <c r="G28" s="288"/>
    </row>
    <row r="29" spans="1:7" s="92" customFormat="1" ht="12.75">
      <c r="A29" s="142">
        <v>23</v>
      </c>
      <c r="B29" s="148" t="s">
        <v>10</v>
      </c>
      <c r="C29" s="91">
        <v>600</v>
      </c>
      <c r="D29" s="91">
        <v>0</v>
      </c>
      <c r="E29" s="91">
        <v>0</v>
      </c>
      <c r="F29" s="91">
        <f t="shared" si="1"/>
        <v>600</v>
      </c>
      <c r="G29" s="294"/>
    </row>
    <row r="30" spans="1:7" s="93" customFormat="1" ht="14.25">
      <c r="A30" s="142">
        <v>24</v>
      </c>
      <c r="B30" s="145" t="s">
        <v>11</v>
      </c>
      <c r="C30" s="97">
        <f>SUM(C46,C41,C31)</f>
        <v>839425</v>
      </c>
      <c r="D30" s="97">
        <f>SUM(D46,D41,D31)</f>
        <v>2425</v>
      </c>
      <c r="E30" s="97">
        <f>SUM(E46,E41,E31)</f>
        <v>5693</v>
      </c>
      <c r="F30" s="97">
        <f>SUM(F46,F41,F31)</f>
        <v>847543</v>
      </c>
      <c r="G30" s="293"/>
    </row>
    <row r="31" spans="1:7" s="92" customFormat="1" ht="12.75">
      <c r="A31" s="142">
        <v>25</v>
      </c>
      <c r="B31" s="148" t="s">
        <v>12</v>
      </c>
      <c r="C31" s="91">
        <f>SUM(C32:C40)</f>
        <v>91553</v>
      </c>
      <c r="D31" s="91">
        <f>SUM(D32:D40)</f>
        <v>1799</v>
      </c>
      <c r="E31" s="91">
        <f>SUM(E32:E40)</f>
        <v>4439</v>
      </c>
      <c r="F31" s="91">
        <f>SUM(F32:F40)</f>
        <v>97791</v>
      </c>
      <c r="G31" s="98">
        <f>SUM(C31:E31)</f>
        <v>97791</v>
      </c>
    </row>
    <row r="32" spans="1:7" s="90" customFormat="1" ht="12">
      <c r="A32" s="142">
        <v>26</v>
      </c>
      <c r="B32" s="146" t="s">
        <v>227</v>
      </c>
      <c r="C32" s="89">
        <f>355+30</f>
        <v>385</v>
      </c>
      <c r="D32" s="89">
        <v>0</v>
      </c>
      <c r="E32" s="89">
        <v>0</v>
      </c>
      <c r="F32" s="147">
        <f aca="true" t="shared" si="2" ref="F32:F40">SUM(C32:E32)</f>
        <v>385</v>
      </c>
      <c r="G32" s="98"/>
    </row>
    <row r="33" spans="1:7" s="90" customFormat="1" ht="12">
      <c r="A33" s="142">
        <v>27</v>
      </c>
      <c r="B33" s="146" t="s">
        <v>927</v>
      </c>
      <c r="C33" s="89">
        <f>67308+800+220-2109</f>
        <v>66219</v>
      </c>
      <c r="D33" s="89">
        <v>127</v>
      </c>
      <c r="E33" s="89">
        <v>0</v>
      </c>
      <c r="F33" s="147">
        <f t="shared" si="2"/>
        <v>66346</v>
      </c>
      <c r="G33" s="98"/>
    </row>
    <row r="34" spans="1:7" s="90" customFormat="1" ht="12">
      <c r="A34" s="142">
        <v>28</v>
      </c>
      <c r="B34" s="146" t="s">
        <v>928</v>
      </c>
      <c r="C34" s="89">
        <f>288+2352+222+211+29</f>
        <v>3102</v>
      </c>
      <c r="D34" s="89">
        <v>0</v>
      </c>
      <c r="E34" s="89">
        <v>0</v>
      </c>
      <c r="F34" s="147">
        <f t="shared" si="2"/>
        <v>3102</v>
      </c>
      <c r="G34" s="98"/>
    </row>
    <row r="35" spans="1:7" s="90" customFormat="1" ht="12">
      <c r="A35" s="142">
        <v>29</v>
      </c>
      <c r="B35" s="146" t="s">
        <v>230</v>
      </c>
      <c r="C35" s="89">
        <f>2186+250+58</f>
        <v>2494</v>
      </c>
      <c r="D35" s="89">
        <f>300+1372</f>
        <v>1672</v>
      </c>
      <c r="E35" s="89">
        <v>0</v>
      </c>
      <c r="F35" s="147">
        <f t="shared" si="2"/>
        <v>4166</v>
      </c>
      <c r="G35" s="98"/>
    </row>
    <row r="36" spans="1:7" s="90" customFormat="1" ht="12">
      <c r="A36" s="142">
        <v>30</v>
      </c>
      <c r="B36" s="146" t="s">
        <v>329</v>
      </c>
      <c r="C36" s="89">
        <f>18751+203-203-30-15+240-4500+306+60</f>
        <v>14812</v>
      </c>
      <c r="D36" s="89">
        <v>0</v>
      </c>
      <c r="E36" s="89">
        <v>349</v>
      </c>
      <c r="F36" s="147">
        <f t="shared" si="2"/>
        <v>15161</v>
      </c>
      <c r="G36" s="98"/>
    </row>
    <row r="37" spans="1:7" s="90" customFormat="1" ht="12">
      <c r="A37" s="142">
        <v>31</v>
      </c>
      <c r="B37" s="146" t="s">
        <v>228</v>
      </c>
      <c r="C37" s="89">
        <v>3743</v>
      </c>
      <c r="D37" s="89">
        <v>0</v>
      </c>
      <c r="E37" s="89">
        <v>4090</v>
      </c>
      <c r="F37" s="147">
        <f t="shared" si="2"/>
        <v>7833</v>
      </c>
      <c r="G37" s="98"/>
    </row>
    <row r="38" spans="1:7" s="90" customFormat="1" ht="12">
      <c r="A38" s="142">
        <v>32</v>
      </c>
      <c r="B38" s="146" t="s">
        <v>229</v>
      </c>
      <c r="C38" s="89">
        <v>0</v>
      </c>
      <c r="D38" s="89">
        <v>0</v>
      </c>
      <c r="E38" s="89">
        <v>0</v>
      </c>
      <c r="F38" s="147">
        <f t="shared" si="2"/>
        <v>0</v>
      </c>
      <c r="G38" s="98"/>
    </row>
    <row r="39" spans="1:7" s="90" customFormat="1" ht="12">
      <c r="A39" s="142">
        <v>33</v>
      </c>
      <c r="B39" s="146" t="s">
        <v>330</v>
      </c>
      <c r="C39" s="89">
        <v>798</v>
      </c>
      <c r="D39" s="89">
        <v>0</v>
      </c>
      <c r="E39" s="89">
        <v>0</v>
      </c>
      <c r="F39" s="147">
        <f t="shared" si="2"/>
        <v>798</v>
      </c>
      <c r="G39" s="98"/>
    </row>
    <row r="40" spans="1:7" s="90" customFormat="1" ht="12">
      <c r="A40" s="142">
        <v>34</v>
      </c>
      <c r="B40" s="146" t="s">
        <v>231</v>
      </c>
      <c r="C40" s="89">
        <v>0</v>
      </c>
      <c r="D40" s="89">
        <v>0</v>
      </c>
      <c r="E40" s="89">
        <v>0</v>
      </c>
      <c r="F40" s="147">
        <f t="shared" si="2"/>
        <v>0</v>
      </c>
      <c r="G40" s="98"/>
    </row>
    <row r="41" spans="1:7" s="5" customFormat="1" ht="12.75">
      <c r="A41" s="142">
        <v>35</v>
      </c>
      <c r="B41" s="149" t="s">
        <v>13</v>
      </c>
      <c r="C41" s="4">
        <f>SUM(C42:C45)</f>
        <v>744176</v>
      </c>
      <c r="D41" s="4">
        <f>SUM(D42:D45)</f>
        <v>476</v>
      </c>
      <c r="E41" s="4">
        <f>SUM(E42:E45)</f>
        <v>1104</v>
      </c>
      <c r="F41" s="4">
        <f>SUM(F42:F45)</f>
        <v>745756</v>
      </c>
      <c r="G41" s="98">
        <f>SUM(C41:E41)</f>
        <v>745756</v>
      </c>
    </row>
    <row r="42" spans="1:7" s="94" customFormat="1" ht="12">
      <c r="A42" s="142">
        <v>36</v>
      </c>
      <c r="B42" s="146" t="s">
        <v>232</v>
      </c>
      <c r="C42" s="89">
        <v>0</v>
      </c>
      <c r="D42" s="89">
        <v>0</v>
      </c>
      <c r="E42" s="89">
        <v>0</v>
      </c>
      <c r="F42" s="147">
        <f>SUM(C42:E42)</f>
        <v>0</v>
      </c>
      <c r="G42" s="98"/>
    </row>
    <row r="43" spans="1:7" s="90" customFormat="1" ht="12">
      <c r="A43" s="142">
        <v>37</v>
      </c>
      <c r="B43" s="146" t="s">
        <v>331</v>
      </c>
      <c r="C43" s="89">
        <f>21822+216+68+59-1215-569</f>
        <v>20381</v>
      </c>
      <c r="D43" s="89">
        <f>106+370</f>
        <v>476</v>
      </c>
      <c r="E43" s="89">
        <v>1104</v>
      </c>
      <c r="F43" s="147">
        <f>SUM(C43:E43)</f>
        <v>21961</v>
      </c>
      <c r="G43" s="98"/>
    </row>
    <row r="44" spans="1:7" s="90" customFormat="1" ht="12">
      <c r="A44" s="142">
        <v>38</v>
      </c>
      <c r="B44" s="146" t="s">
        <v>233</v>
      </c>
      <c r="C44" s="89">
        <f>703558+4363+121+856+12160+88+367+2282</f>
        <v>723795</v>
      </c>
      <c r="D44" s="89">
        <v>0</v>
      </c>
      <c r="E44" s="89">
        <v>0</v>
      </c>
      <c r="F44" s="147">
        <f>SUM(C44:E44)</f>
        <v>723795</v>
      </c>
      <c r="G44" s="98"/>
    </row>
    <row r="45" spans="1:7" s="90" customFormat="1" ht="12">
      <c r="A45" s="142">
        <v>39</v>
      </c>
      <c r="B45" s="146" t="s">
        <v>234</v>
      </c>
      <c r="C45" s="89">
        <v>0</v>
      </c>
      <c r="D45" s="89">
        <v>0</v>
      </c>
      <c r="E45" s="89">
        <v>0</v>
      </c>
      <c r="F45" s="147">
        <f>SUM(C45:E45)</f>
        <v>0</v>
      </c>
      <c r="G45" s="98"/>
    </row>
    <row r="46" spans="1:7" s="5" customFormat="1" ht="12.75">
      <c r="A46" s="142">
        <v>40</v>
      </c>
      <c r="B46" s="149" t="s">
        <v>14</v>
      </c>
      <c r="C46" s="4">
        <f>SUM(C47:C49)</f>
        <v>3696</v>
      </c>
      <c r="D46" s="4">
        <f>SUM(D47:D49)</f>
        <v>150</v>
      </c>
      <c r="E46" s="4">
        <f>SUM(E47:E49)</f>
        <v>150</v>
      </c>
      <c r="F46" s="4">
        <f>SUM(F47:F49)</f>
        <v>3996</v>
      </c>
      <c r="G46" s="98">
        <f>SUM(C46:E46)</f>
        <v>3996</v>
      </c>
    </row>
    <row r="47" spans="1:7" s="90" customFormat="1" ht="12">
      <c r="A47" s="142">
        <v>41</v>
      </c>
      <c r="B47" s="146" t="s">
        <v>235</v>
      </c>
      <c r="C47" s="89">
        <v>0</v>
      </c>
      <c r="D47" s="89">
        <v>0</v>
      </c>
      <c r="E47" s="89">
        <v>0</v>
      </c>
      <c r="F47" s="147">
        <f>SUM(C47:E47)</f>
        <v>0</v>
      </c>
      <c r="G47" s="98"/>
    </row>
    <row r="48" spans="1:7" s="90" customFormat="1" ht="12">
      <c r="A48" s="142">
        <v>42</v>
      </c>
      <c r="B48" s="146" t="s">
        <v>236</v>
      </c>
      <c r="C48" s="89">
        <f>2000+606+606+350+134</f>
        <v>3696</v>
      </c>
      <c r="D48" s="89">
        <v>150</v>
      </c>
      <c r="E48" s="89">
        <v>150</v>
      </c>
      <c r="F48" s="147">
        <f>SUM(C48:E48)</f>
        <v>3996</v>
      </c>
      <c r="G48" s="98"/>
    </row>
    <row r="49" spans="1:7" s="90" customFormat="1" ht="12">
      <c r="A49" s="142">
        <v>43</v>
      </c>
      <c r="B49" s="146" t="s">
        <v>237</v>
      </c>
      <c r="C49" s="89">
        <v>0</v>
      </c>
      <c r="D49" s="89">
        <v>0</v>
      </c>
      <c r="E49" s="89">
        <v>0</v>
      </c>
      <c r="F49" s="147">
        <f>SUM(C49:E49)</f>
        <v>0</v>
      </c>
      <c r="G49" s="98"/>
    </row>
    <row r="50" spans="1:7" s="61" customFormat="1" ht="14.25">
      <c r="A50" s="142">
        <v>44</v>
      </c>
      <c r="B50" s="150" t="s">
        <v>15</v>
      </c>
      <c r="C50" s="95">
        <f>SUM(C51,C67,C66,C68,C78)</f>
        <v>914042</v>
      </c>
      <c r="D50" s="95">
        <f>SUM(D51:D67,D66,D68,D78)</f>
        <v>0</v>
      </c>
      <c r="E50" s="95">
        <f>SUM(E51:E67,E66,E68,E78)</f>
        <v>10699</v>
      </c>
      <c r="F50" s="95">
        <f>SUM(F51,F67,F66,F68,F78)</f>
        <v>924741</v>
      </c>
      <c r="G50" s="98">
        <f>SUM(C50:E50)</f>
        <v>924741</v>
      </c>
    </row>
    <row r="51" spans="1:7" s="92" customFormat="1" ht="12.75">
      <c r="A51" s="142">
        <v>45</v>
      </c>
      <c r="B51" s="148" t="s">
        <v>16</v>
      </c>
      <c r="C51" s="91">
        <f>SUM(C52:C65)</f>
        <v>635959</v>
      </c>
      <c r="D51" s="91">
        <f>SUM(D52:D65)</f>
        <v>0</v>
      </c>
      <c r="E51" s="91">
        <f>SUM(E52:E65)</f>
        <v>0</v>
      </c>
      <c r="F51" s="91">
        <f>SUM(F52:F65)</f>
        <v>635959</v>
      </c>
      <c r="G51" s="289"/>
    </row>
    <row r="52" spans="1:7" s="90" customFormat="1" ht="12">
      <c r="A52" s="142">
        <v>46</v>
      </c>
      <c r="B52" s="146" t="s">
        <v>17</v>
      </c>
      <c r="C52" s="89">
        <v>175024</v>
      </c>
      <c r="D52" s="89">
        <v>0</v>
      </c>
      <c r="E52" s="89">
        <v>0</v>
      </c>
      <c r="F52" s="89">
        <f aca="true" t="shared" si="3" ref="F52:F65">SUM(C52:E52)</f>
        <v>175024</v>
      </c>
      <c r="G52" s="288"/>
    </row>
    <row r="53" spans="1:7" s="90" customFormat="1" ht="12">
      <c r="A53" s="142">
        <v>47</v>
      </c>
      <c r="B53" s="146" t="s">
        <v>18</v>
      </c>
      <c r="C53" s="89">
        <f>85008+6051-2295</f>
        <v>88764</v>
      </c>
      <c r="D53" s="89">
        <v>0</v>
      </c>
      <c r="E53" s="89">
        <v>0</v>
      </c>
      <c r="F53" s="89">
        <f t="shared" si="3"/>
        <v>88764</v>
      </c>
      <c r="G53" s="288"/>
    </row>
    <row r="54" spans="1:7" s="90" customFormat="1" ht="12">
      <c r="A54" s="142">
        <v>48</v>
      </c>
      <c r="B54" s="146" t="s">
        <v>559</v>
      </c>
      <c r="C54" s="89">
        <f>13806-198</f>
        <v>13608</v>
      </c>
      <c r="D54" s="89">
        <v>0</v>
      </c>
      <c r="E54" s="89">
        <v>0</v>
      </c>
      <c r="F54" s="89">
        <f t="shared" si="3"/>
        <v>13608</v>
      </c>
      <c r="G54" s="288"/>
    </row>
    <row r="55" spans="1:7" s="90" customFormat="1" ht="12">
      <c r="A55" s="142">
        <v>49</v>
      </c>
      <c r="B55" s="146" t="s">
        <v>19</v>
      </c>
      <c r="C55" s="89">
        <f>50592-1632</f>
        <v>48960</v>
      </c>
      <c r="D55" s="89">
        <v>0</v>
      </c>
      <c r="E55" s="89">
        <v>0</v>
      </c>
      <c r="F55" s="89">
        <f t="shared" si="3"/>
        <v>48960</v>
      </c>
      <c r="G55" s="288"/>
    </row>
    <row r="56" spans="1:7" s="90" customFormat="1" ht="12">
      <c r="A56" s="142">
        <v>50</v>
      </c>
      <c r="B56" s="146" t="s">
        <v>35</v>
      </c>
      <c r="C56" s="89">
        <v>0</v>
      </c>
      <c r="D56" s="89">
        <v>0</v>
      </c>
      <c r="E56" s="89">
        <v>0</v>
      </c>
      <c r="F56" s="89">
        <f t="shared" si="3"/>
        <v>0</v>
      </c>
      <c r="G56" s="288"/>
    </row>
    <row r="57" spans="1:7" s="90" customFormat="1" ht="12">
      <c r="A57" s="142">
        <v>51</v>
      </c>
      <c r="B57" s="146" t="s">
        <v>564</v>
      </c>
      <c r="C57" s="89">
        <f>156268+275-18770</f>
        <v>137773</v>
      </c>
      <c r="D57" s="89">
        <v>0</v>
      </c>
      <c r="E57" s="89">
        <v>0</v>
      </c>
      <c r="F57" s="89">
        <f t="shared" si="3"/>
        <v>137773</v>
      </c>
      <c r="G57" s="288"/>
    </row>
    <row r="58" spans="1:7" s="90" customFormat="1" ht="12">
      <c r="A58" s="142">
        <v>52</v>
      </c>
      <c r="B58" s="146" t="s">
        <v>562</v>
      </c>
      <c r="C58" s="89">
        <v>76402</v>
      </c>
      <c r="D58" s="89">
        <v>0</v>
      </c>
      <c r="E58" s="89">
        <v>0</v>
      </c>
      <c r="F58" s="89">
        <f t="shared" si="3"/>
        <v>76402</v>
      </c>
      <c r="G58" s="288"/>
    </row>
    <row r="59" spans="1:7" s="90" customFormat="1" ht="12">
      <c r="A59" s="142">
        <v>53</v>
      </c>
      <c r="B59" s="146" t="s">
        <v>563</v>
      </c>
      <c r="C59" s="89">
        <f>16291-2964</f>
        <v>13327</v>
      </c>
      <c r="D59" s="89">
        <v>0</v>
      </c>
      <c r="E59" s="89">
        <v>0</v>
      </c>
      <c r="F59" s="89">
        <f t="shared" si="3"/>
        <v>13327</v>
      </c>
      <c r="G59" s="288"/>
    </row>
    <row r="60" spans="1:7" s="90" customFormat="1" ht="12">
      <c r="A60" s="142">
        <v>54</v>
      </c>
      <c r="B60" s="146" t="s">
        <v>36</v>
      </c>
      <c r="C60" s="89">
        <f>10675+400</f>
        <v>11075</v>
      </c>
      <c r="D60" s="89">
        <v>0</v>
      </c>
      <c r="E60" s="89">
        <v>0</v>
      </c>
      <c r="F60" s="89">
        <f t="shared" si="3"/>
        <v>11075</v>
      </c>
      <c r="G60" s="288"/>
    </row>
    <row r="61" spans="1:7" s="90" customFormat="1" ht="12">
      <c r="A61" s="142">
        <v>55</v>
      </c>
      <c r="B61" s="146" t="s">
        <v>37</v>
      </c>
      <c r="C61" s="89">
        <f>237+839+2000+33+4651+1052+10666-33+242+5</f>
        <v>19692</v>
      </c>
      <c r="D61" s="89">
        <v>0</v>
      </c>
      <c r="E61" s="89">
        <v>0</v>
      </c>
      <c r="F61" s="89">
        <f t="shared" si="3"/>
        <v>19692</v>
      </c>
      <c r="G61" s="288"/>
    </row>
    <row r="62" spans="1:7" s="90" customFormat="1" ht="12">
      <c r="A62" s="142">
        <v>56</v>
      </c>
      <c r="B62" s="146" t="s">
        <v>38</v>
      </c>
      <c r="C62" s="89">
        <f>47278+952-1846-11940-25033-211</f>
        <v>9200</v>
      </c>
      <c r="D62" s="89">
        <v>0</v>
      </c>
      <c r="E62" s="89">
        <v>0</v>
      </c>
      <c r="F62" s="89">
        <f t="shared" si="3"/>
        <v>9200</v>
      </c>
      <c r="G62" s="288"/>
    </row>
    <row r="63" spans="1:7" s="90" customFormat="1" ht="12">
      <c r="A63" s="142">
        <v>57</v>
      </c>
      <c r="B63" s="146" t="s">
        <v>39</v>
      </c>
      <c r="C63" s="89">
        <f>25033+1086+4258+3840</f>
        <v>34217</v>
      </c>
      <c r="D63" s="89">
        <v>0</v>
      </c>
      <c r="E63" s="89">
        <v>0</v>
      </c>
      <c r="F63" s="89">
        <f t="shared" si="3"/>
        <v>34217</v>
      </c>
      <c r="G63" s="288"/>
    </row>
    <row r="64" spans="1:7" s="90" customFormat="1" ht="36">
      <c r="A64" s="142">
        <v>58</v>
      </c>
      <c r="B64" s="234" t="s">
        <v>40</v>
      </c>
      <c r="C64" s="89">
        <v>0</v>
      </c>
      <c r="D64" s="89">
        <v>0</v>
      </c>
      <c r="E64" s="89">
        <v>0</v>
      </c>
      <c r="F64" s="89">
        <f t="shared" si="3"/>
        <v>0</v>
      </c>
      <c r="G64" s="288"/>
    </row>
    <row r="65" spans="1:7" s="90" customFormat="1" ht="12">
      <c r="A65" s="142">
        <v>59</v>
      </c>
      <c r="B65" s="234" t="s">
        <v>133</v>
      </c>
      <c r="C65" s="89">
        <f>8350+277-710</f>
        <v>7917</v>
      </c>
      <c r="D65" s="89">
        <v>0</v>
      </c>
      <c r="E65" s="89">
        <v>0</v>
      </c>
      <c r="F65" s="89">
        <f t="shared" si="3"/>
        <v>7917</v>
      </c>
      <c r="G65" s="288"/>
    </row>
    <row r="66" spans="1:7" s="92" customFormat="1" ht="12.75">
      <c r="A66" s="142">
        <v>60</v>
      </c>
      <c r="B66" s="148" t="s">
        <v>134</v>
      </c>
      <c r="C66" s="91">
        <v>0</v>
      </c>
      <c r="D66" s="91">
        <f>SUM(D67:D69)</f>
        <v>0</v>
      </c>
      <c r="E66" s="91">
        <f>SUM(E67:E69)</f>
        <v>0</v>
      </c>
      <c r="F66" s="91">
        <f>SUM(C66:E66)</f>
        <v>0</v>
      </c>
      <c r="G66" s="294">
        <f>SUM(C66:E66)</f>
        <v>0</v>
      </c>
    </row>
    <row r="67" spans="1:7" s="92" customFormat="1" ht="12.75">
      <c r="A67" s="142">
        <v>61</v>
      </c>
      <c r="B67" s="148" t="s">
        <v>135</v>
      </c>
      <c r="C67" s="91">
        <v>0</v>
      </c>
      <c r="D67" s="91">
        <v>0</v>
      </c>
      <c r="E67" s="91">
        <v>0</v>
      </c>
      <c r="F67" s="91">
        <f>SUM(C67:E67)</f>
        <v>0</v>
      </c>
      <c r="G67" s="294"/>
    </row>
    <row r="68" spans="1:7" s="92" customFormat="1" ht="12.75">
      <c r="A68" s="142">
        <v>62</v>
      </c>
      <c r="B68" s="148" t="s">
        <v>144</v>
      </c>
      <c r="C68" s="91">
        <f>SUM(C69:C77)</f>
        <v>1677</v>
      </c>
      <c r="D68" s="91">
        <f>SUM(D69:D77)</f>
        <v>0</v>
      </c>
      <c r="E68" s="91">
        <f>SUM(E69:E77)</f>
        <v>0</v>
      </c>
      <c r="F68" s="91">
        <f>SUM(C68:E68)</f>
        <v>1677</v>
      </c>
      <c r="G68" s="294"/>
    </row>
    <row r="69" spans="1:7" s="90" customFormat="1" ht="12">
      <c r="A69" s="142">
        <v>63</v>
      </c>
      <c r="B69" s="146" t="s">
        <v>136</v>
      </c>
      <c r="C69" s="89">
        <v>0</v>
      </c>
      <c r="D69" s="89">
        <v>0</v>
      </c>
      <c r="E69" s="89">
        <v>0</v>
      </c>
      <c r="F69" s="89">
        <f>SUM(C69:E69)</f>
        <v>0</v>
      </c>
      <c r="G69" s="288"/>
    </row>
    <row r="70" spans="1:7" s="90" customFormat="1" ht="12">
      <c r="A70" s="142">
        <v>64</v>
      </c>
      <c r="B70" s="146" t="s">
        <v>137</v>
      </c>
      <c r="C70" s="89">
        <v>0</v>
      </c>
      <c r="D70" s="89">
        <v>0</v>
      </c>
      <c r="E70" s="89">
        <v>0</v>
      </c>
      <c r="F70" s="89">
        <v>0</v>
      </c>
      <c r="G70" s="288">
        <f>SUM(C70:E70)</f>
        <v>0</v>
      </c>
    </row>
    <row r="71" spans="1:7" s="90" customFormat="1" ht="12">
      <c r="A71" s="142">
        <v>65</v>
      </c>
      <c r="B71" s="146" t="s">
        <v>138</v>
      </c>
      <c r="C71" s="89">
        <v>0</v>
      </c>
      <c r="D71" s="89">
        <v>0</v>
      </c>
      <c r="E71" s="89">
        <v>0</v>
      </c>
      <c r="F71" s="89">
        <f aca="true" t="shared" si="4" ref="F71:F77">SUM(C71:E71)</f>
        <v>0</v>
      </c>
      <c r="G71" s="288"/>
    </row>
    <row r="72" spans="1:7" s="90" customFormat="1" ht="12">
      <c r="A72" s="142">
        <v>66</v>
      </c>
      <c r="B72" s="146" t="s">
        <v>139</v>
      </c>
      <c r="C72" s="89">
        <v>0</v>
      </c>
      <c r="D72" s="89">
        <v>0</v>
      </c>
      <c r="E72" s="89">
        <v>0</v>
      </c>
      <c r="F72" s="89">
        <f t="shared" si="4"/>
        <v>0</v>
      </c>
      <c r="G72" s="288"/>
    </row>
    <row r="73" spans="1:7" s="90" customFormat="1" ht="12">
      <c r="A73" s="142">
        <v>67</v>
      </c>
      <c r="B73" s="146" t="s">
        <v>140</v>
      </c>
      <c r="C73" s="89">
        <v>0</v>
      </c>
      <c r="D73" s="89">
        <v>0</v>
      </c>
      <c r="E73" s="89">
        <v>0</v>
      </c>
      <c r="F73" s="89">
        <f t="shared" si="4"/>
        <v>0</v>
      </c>
      <c r="G73" s="288"/>
    </row>
    <row r="74" spans="1:7" s="90" customFormat="1" ht="12">
      <c r="A74" s="142">
        <v>68</v>
      </c>
      <c r="B74" s="146" t="s">
        <v>141</v>
      </c>
      <c r="C74" s="89">
        <v>0</v>
      </c>
      <c r="D74" s="89">
        <v>0</v>
      </c>
      <c r="E74" s="89">
        <v>0</v>
      </c>
      <c r="F74" s="89">
        <f t="shared" si="4"/>
        <v>0</v>
      </c>
      <c r="G74" s="288"/>
    </row>
    <row r="75" spans="1:7" s="90" customFormat="1" ht="12">
      <c r="A75" s="142">
        <v>69</v>
      </c>
      <c r="B75" s="146" t="s">
        <v>142</v>
      </c>
      <c r="C75" s="89">
        <v>1677</v>
      </c>
      <c r="D75" s="89">
        <v>0</v>
      </c>
      <c r="E75" s="89">
        <v>0</v>
      </c>
      <c r="F75" s="89">
        <f t="shared" si="4"/>
        <v>1677</v>
      </c>
      <c r="G75" s="288"/>
    </row>
    <row r="76" spans="1:7" s="90" customFormat="1" ht="12">
      <c r="A76" s="142">
        <v>70</v>
      </c>
      <c r="B76" s="146" t="s">
        <v>155</v>
      </c>
      <c r="C76" s="89">
        <v>0</v>
      </c>
      <c r="D76" s="89">
        <v>0</v>
      </c>
      <c r="E76" s="89">
        <v>0</v>
      </c>
      <c r="F76" s="89">
        <f t="shared" si="4"/>
        <v>0</v>
      </c>
      <c r="G76" s="288"/>
    </row>
    <row r="77" spans="1:7" s="90" customFormat="1" ht="12">
      <c r="A77" s="142">
        <v>71</v>
      </c>
      <c r="B77" s="146" t="s">
        <v>143</v>
      </c>
      <c r="C77" s="89">
        <v>0</v>
      </c>
      <c r="D77" s="89">
        <v>0</v>
      </c>
      <c r="E77" s="89">
        <v>0</v>
      </c>
      <c r="F77" s="89">
        <f t="shared" si="4"/>
        <v>0</v>
      </c>
      <c r="G77" s="288"/>
    </row>
    <row r="78" spans="1:7" s="295" customFormat="1" ht="13.5">
      <c r="A78" s="142">
        <v>72</v>
      </c>
      <c r="B78" s="148" t="s">
        <v>145</v>
      </c>
      <c r="C78" s="91">
        <f>SUM(C79:C88)</f>
        <v>276406</v>
      </c>
      <c r="D78" s="91">
        <f>SUM(D79:D88)</f>
        <v>0</v>
      </c>
      <c r="E78" s="91">
        <f>SUM(E79:E88)</f>
        <v>10699</v>
      </c>
      <c r="F78" s="91">
        <f>SUM(F79:F88)</f>
        <v>287105</v>
      </c>
      <c r="G78" s="294"/>
    </row>
    <row r="79" spans="1:7" s="90" customFormat="1" ht="12">
      <c r="A79" s="142">
        <v>73</v>
      </c>
      <c r="B79" s="146" t="s">
        <v>146</v>
      </c>
      <c r="C79" s="89">
        <v>0</v>
      </c>
      <c r="D79" s="89">
        <v>0</v>
      </c>
      <c r="E79" s="89">
        <v>0</v>
      </c>
      <c r="F79" s="89">
        <f>SUM(C79:E79)</f>
        <v>0</v>
      </c>
      <c r="G79" s="288"/>
    </row>
    <row r="80" spans="1:7" s="90" customFormat="1" ht="12">
      <c r="A80" s="142">
        <v>74</v>
      </c>
      <c r="B80" s="146" t="s">
        <v>147</v>
      </c>
      <c r="C80" s="89">
        <v>2670</v>
      </c>
      <c r="D80" s="89">
        <v>0</v>
      </c>
      <c r="E80" s="89">
        <v>10699</v>
      </c>
      <c r="F80" s="89">
        <f aca="true" t="shared" si="5" ref="F80:F88">SUM(C80:E80)</f>
        <v>13369</v>
      </c>
      <c r="G80" s="288">
        <f>SUM(C80:E80)</f>
        <v>13369</v>
      </c>
    </row>
    <row r="81" spans="1:7" s="90" customFormat="1" ht="12">
      <c r="A81" s="142">
        <v>75</v>
      </c>
      <c r="B81" s="146" t="s">
        <v>148</v>
      </c>
      <c r="C81" s="89">
        <f>38751+183+198-12000+10965+529-79</f>
        <v>38547</v>
      </c>
      <c r="D81" s="89">
        <v>0</v>
      </c>
      <c r="E81" s="89">
        <v>0</v>
      </c>
      <c r="F81" s="89">
        <f t="shared" si="5"/>
        <v>38547</v>
      </c>
      <c r="G81" s="288">
        <f>SUM(C81:E81)</f>
        <v>38547</v>
      </c>
    </row>
    <row r="82" spans="1:7" s="90" customFormat="1" ht="12">
      <c r="A82" s="142">
        <v>76</v>
      </c>
      <c r="B82" s="146" t="s">
        <v>150</v>
      </c>
      <c r="C82" s="89">
        <v>0</v>
      </c>
      <c r="D82" s="89">
        <v>0</v>
      </c>
      <c r="E82" s="89">
        <v>0</v>
      </c>
      <c r="F82" s="89">
        <f t="shared" si="5"/>
        <v>0</v>
      </c>
      <c r="G82" s="288"/>
    </row>
    <row r="83" spans="1:7" s="90" customFormat="1" ht="12">
      <c r="A83" s="142">
        <v>77</v>
      </c>
      <c r="B83" s="146" t="s">
        <v>149</v>
      </c>
      <c r="C83" s="89">
        <f>27000+55+595</f>
        <v>27650</v>
      </c>
      <c r="D83" s="89">
        <v>0</v>
      </c>
      <c r="E83" s="89">
        <v>0</v>
      </c>
      <c r="F83" s="89">
        <f t="shared" si="5"/>
        <v>27650</v>
      </c>
      <c r="G83" s="288"/>
    </row>
    <row r="84" spans="1:7" s="90" customFormat="1" ht="12">
      <c r="A84" s="142">
        <v>78</v>
      </c>
      <c r="B84" s="146" t="s">
        <v>151</v>
      </c>
      <c r="C84" s="89">
        <f>16657+11727-2572+169186-3093-23790+4199+514+257+86</f>
        <v>173171</v>
      </c>
      <c r="D84" s="89">
        <v>0</v>
      </c>
      <c r="E84" s="89">
        <v>0</v>
      </c>
      <c r="F84" s="89">
        <f t="shared" si="5"/>
        <v>173171</v>
      </c>
      <c r="G84" s="288"/>
    </row>
    <row r="85" spans="1:7" s="90" customFormat="1" ht="12">
      <c r="A85" s="142">
        <v>79</v>
      </c>
      <c r="B85" s="146" t="s">
        <v>152</v>
      </c>
      <c r="C85" s="89">
        <f>2762+3715+12050+13994+237+1610</f>
        <v>34368</v>
      </c>
      <c r="D85" s="89">
        <v>0</v>
      </c>
      <c r="E85" s="89">
        <v>0</v>
      </c>
      <c r="F85" s="89">
        <f t="shared" si="5"/>
        <v>34368</v>
      </c>
      <c r="G85" s="288"/>
    </row>
    <row r="86" spans="1:7" s="90" customFormat="1" ht="12">
      <c r="A86" s="142">
        <v>80</v>
      </c>
      <c r="B86" s="146" t="s">
        <v>153</v>
      </c>
      <c r="C86" s="89">
        <v>0</v>
      </c>
      <c r="D86" s="89">
        <v>0</v>
      </c>
      <c r="E86" s="89">
        <v>0</v>
      </c>
      <c r="F86" s="89">
        <f t="shared" si="5"/>
        <v>0</v>
      </c>
      <c r="G86" s="288"/>
    </row>
    <row r="87" spans="1:7" s="90" customFormat="1" ht="12">
      <c r="A87" s="142">
        <v>81</v>
      </c>
      <c r="B87" s="146" t="s">
        <v>154</v>
      </c>
      <c r="C87" s="89">
        <v>0</v>
      </c>
      <c r="D87" s="89">
        <v>0</v>
      </c>
      <c r="E87" s="89">
        <v>0</v>
      </c>
      <c r="F87" s="89">
        <f t="shared" si="5"/>
        <v>0</v>
      </c>
      <c r="G87" s="288"/>
    </row>
    <row r="88" spans="1:7" s="90" customFormat="1" ht="12">
      <c r="A88" s="142">
        <v>82</v>
      </c>
      <c r="B88" s="146" t="s">
        <v>156</v>
      </c>
      <c r="C88" s="89">
        <v>0</v>
      </c>
      <c r="D88" s="89">
        <v>0</v>
      </c>
      <c r="E88" s="89">
        <v>0</v>
      </c>
      <c r="F88" s="89">
        <f t="shared" si="5"/>
        <v>0</v>
      </c>
      <c r="G88" s="288"/>
    </row>
    <row r="89" spans="1:7" s="93" customFormat="1" ht="14.25">
      <c r="A89" s="142">
        <v>83</v>
      </c>
      <c r="B89" s="145" t="s">
        <v>157</v>
      </c>
      <c r="C89" s="97">
        <f>SUM(C90,C91,C100)</f>
        <v>12538</v>
      </c>
      <c r="D89" s="97">
        <f>SUM(D90,D91,D100)</f>
        <v>0</v>
      </c>
      <c r="E89" s="97">
        <f>SUM(E90,E91,E100)</f>
        <v>1923</v>
      </c>
      <c r="F89" s="97">
        <f>SUM(F90,F91,F100)</f>
        <v>14461</v>
      </c>
      <c r="G89" s="293">
        <f>SUM(C89:E89)</f>
        <v>14461</v>
      </c>
    </row>
    <row r="90" spans="1:7" s="92" customFormat="1" ht="12.75">
      <c r="A90" s="142">
        <v>84</v>
      </c>
      <c r="B90" s="148" t="s">
        <v>158</v>
      </c>
      <c r="C90" s="91">
        <v>0</v>
      </c>
      <c r="D90" s="91">
        <v>0</v>
      </c>
      <c r="E90" s="91">
        <v>0</v>
      </c>
      <c r="F90" s="91">
        <v>0</v>
      </c>
      <c r="G90" s="294">
        <f>SUM(C90:E90)</f>
        <v>0</v>
      </c>
    </row>
    <row r="91" spans="1:7" s="92" customFormat="1" ht="12.75">
      <c r="A91" s="142">
        <v>85</v>
      </c>
      <c r="B91" s="148" t="s">
        <v>159</v>
      </c>
      <c r="C91" s="91">
        <f>SUM(C92:C99)</f>
        <v>12500</v>
      </c>
      <c r="D91" s="91">
        <v>0</v>
      </c>
      <c r="E91" s="91">
        <v>0</v>
      </c>
      <c r="F91" s="91">
        <f aca="true" t="shared" si="6" ref="F91:F97">SUM(C91:E91)</f>
        <v>12500</v>
      </c>
      <c r="G91" s="294"/>
    </row>
    <row r="92" spans="1:7" s="90" customFormat="1" ht="12">
      <c r="A92" s="142">
        <v>86</v>
      </c>
      <c r="B92" s="146" t="s">
        <v>174</v>
      </c>
      <c r="C92" s="89">
        <v>0</v>
      </c>
      <c r="D92" s="89">
        <v>0</v>
      </c>
      <c r="E92" s="89">
        <v>0</v>
      </c>
      <c r="F92" s="89">
        <f t="shared" si="6"/>
        <v>0</v>
      </c>
      <c r="G92" s="288"/>
    </row>
    <row r="93" spans="1:7" s="90" customFormat="1" ht="12">
      <c r="A93" s="142">
        <v>87</v>
      </c>
      <c r="B93" s="146" t="s">
        <v>175</v>
      </c>
      <c r="C93" s="89">
        <f>6500+6000</f>
        <v>12500</v>
      </c>
      <c r="D93" s="89">
        <v>0</v>
      </c>
      <c r="E93" s="89">
        <v>0</v>
      </c>
      <c r="F93" s="89">
        <f t="shared" si="6"/>
        <v>12500</v>
      </c>
      <c r="G93" s="288"/>
    </row>
    <row r="94" spans="1:7" s="90" customFormat="1" ht="12">
      <c r="A94" s="142">
        <v>88</v>
      </c>
      <c r="B94" s="146" t="s">
        <v>176</v>
      </c>
      <c r="C94" s="89">
        <v>0</v>
      </c>
      <c r="D94" s="89">
        <v>0</v>
      </c>
      <c r="E94" s="89">
        <v>0</v>
      </c>
      <c r="F94" s="89">
        <f t="shared" si="6"/>
        <v>0</v>
      </c>
      <c r="G94" s="288"/>
    </row>
    <row r="95" spans="1:7" s="90" customFormat="1" ht="12">
      <c r="A95" s="142">
        <v>89</v>
      </c>
      <c r="B95" s="146" t="s">
        <v>179</v>
      </c>
      <c r="C95" s="89">
        <v>0</v>
      </c>
      <c r="D95" s="89">
        <v>0</v>
      </c>
      <c r="E95" s="89">
        <v>0</v>
      </c>
      <c r="F95" s="89">
        <f t="shared" si="6"/>
        <v>0</v>
      </c>
      <c r="G95" s="288"/>
    </row>
    <row r="96" spans="1:7" s="90" customFormat="1" ht="12">
      <c r="A96" s="142">
        <v>90</v>
      </c>
      <c r="B96" s="146" t="s">
        <v>180</v>
      </c>
      <c r="C96" s="89">
        <v>0</v>
      </c>
      <c r="D96" s="89">
        <v>0</v>
      </c>
      <c r="E96" s="89">
        <v>0</v>
      </c>
      <c r="F96" s="89">
        <f t="shared" si="6"/>
        <v>0</v>
      </c>
      <c r="G96" s="288"/>
    </row>
    <row r="97" spans="1:7" s="90" customFormat="1" ht="12">
      <c r="A97" s="142">
        <v>91</v>
      </c>
      <c r="B97" s="146" t="s">
        <v>181</v>
      </c>
      <c r="C97" s="89">
        <v>0</v>
      </c>
      <c r="D97" s="89">
        <v>0</v>
      </c>
      <c r="E97" s="89">
        <v>0</v>
      </c>
      <c r="F97" s="89">
        <f t="shared" si="6"/>
        <v>0</v>
      </c>
      <c r="G97" s="288"/>
    </row>
    <row r="98" spans="1:7" s="90" customFormat="1" ht="12">
      <c r="A98" s="142">
        <v>92</v>
      </c>
      <c r="B98" s="146" t="s">
        <v>182</v>
      </c>
      <c r="C98" s="89">
        <v>0</v>
      </c>
      <c r="D98" s="89">
        <v>0</v>
      </c>
      <c r="E98" s="89">
        <v>0</v>
      </c>
      <c r="F98" s="89">
        <f>SUM(C98:E98)</f>
        <v>0</v>
      </c>
      <c r="G98" s="288"/>
    </row>
    <row r="99" spans="1:7" s="90" customFormat="1" ht="12">
      <c r="A99" s="142">
        <v>93</v>
      </c>
      <c r="B99" s="146" t="s">
        <v>183</v>
      </c>
      <c r="C99" s="89">
        <v>0</v>
      </c>
      <c r="D99" s="89">
        <v>0</v>
      </c>
      <c r="E99" s="89">
        <v>0</v>
      </c>
      <c r="F99" s="89">
        <f>SUM(C99:E99)</f>
        <v>0</v>
      </c>
      <c r="G99" s="288">
        <f>SUM(C99:E99)</f>
        <v>0</v>
      </c>
    </row>
    <row r="100" spans="1:7" s="92" customFormat="1" ht="12.75">
      <c r="A100" s="142">
        <v>94</v>
      </c>
      <c r="B100" s="148" t="s">
        <v>194</v>
      </c>
      <c r="C100" s="91">
        <f>SUM(C101:C110)</f>
        <v>38</v>
      </c>
      <c r="D100" s="91">
        <f>SUM(D101:D110)</f>
        <v>0</v>
      </c>
      <c r="E100" s="91">
        <f>SUM(E101:E110)</f>
        <v>1923</v>
      </c>
      <c r="F100" s="91">
        <f>SUM(F101:F110)</f>
        <v>1961</v>
      </c>
      <c r="G100" s="294"/>
    </row>
    <row r="101" spans="1:7" s="90" customFormat="1" ht="12">
      <c r="A101" s="142">
        <v>95</v>
      </c>
      <c r="B101" s="146" t="s">
        <v>184</v>
      </c>
      <c r="C101" s="89">
        <v>0</v>
      </c>
      <c r="D101" s="89">
        <v>0</v>
      </c>
      <c r="E101" s="89">
        <v>0</v>
      </c>
      <c r="F101" s="89">
        <f aca="true" t="shared" si="7" ref="F101:F110">SUM(C101:E101)</f>
        <v>0</v>
      </c>
      <c r="G101" s="288"/>
    </row>
    <row r="102" spans="1:7" s="90" customFormat="1" ht="12">
      <c r="A102" s="142">
        <v>96</v>
      </c>
      <c r="B102" s="146" t="s">
        <v>185</v>
      </c>
      <c r="C102" s="89">
        <v>0</v>
      </c>
      <c r="D102" s="89">
        <v>0</v>
      </c>
      <c r="E102" s="89">
        <v>1923</v>
      </c>
      <c r="F102" s="89">
        <f t="shared" si="7"/>
        <v>1923</v>
      </c>
      <c r="G102" s="288"/>
    </row>
    <row r="103" spans="1:7" s="90" customFormat="1" ht="12">
      <c r="A103" s="142">
        <v>97</v>
      </c>
      <c r="B103" s="146" t="s">
        <v>186</v>
      </c>
      <c r="C103" s="89">
        <v>38</v>
      </c>
      <c r="D103" s="89">
        <v>0</v>
      </c>
      <c r="E103" s="89">
        <v>0</v>
      </c>
      <c r="F103" s="89">
        <f t="shared" si="7"/>
        <v>38</v>
      </c>
      <c r="G103" s="288"/>
    </row>
    <row r="104" spans="1:7" s="90" customFormat="1" ht="12">
      <c r="A104" s="142">
        <v>98</v>
      </c>
      <c r="B104" s="146" t="s">
        <v>187</v>
      </c>
      <c r="C104" s="89">
        <v>0</v>
      </c>
      <c r="D104" s="89">
        <v>0</v>
      </c>
      <c r="E104" s="89">
        <v>0</v>
      </c>
      <c r="F104" s="89">
        <f t="shared" si="7"/>
        <v>0</v>
      </c>
      <c r="G104" s="288"/>
    </row>
    <row r="105" spans="1:7" s="90" customFormat="1" ht="12">
      <c r="A105" s="142">
        <v>99</v>
      </c>
      <c r="B105" s="146" t="s">
        <v>188</v>
      </c>
      <c r="C105" s="89">
        <v>0</v>
      </c>
      <c r="D105" s="89">
        <v>0</v>
      </c>
      <c r="E105" s="89">
        <v>0</v>
      </c>
      <c r="F105" s="89">
        <f t="shared" si="7"/>
        <v>0</v>
      </c>
      <c r="G105" s="288"/>
    </row>
    <row r="106" spans="1:7" s="90" customFormat="1" ht="12">
      <c r="A106" s="142">
        <v>100</v>
      </c>
      <c r="B106" s="146" t="s">
        <v>189</v>
      </c>
      <c r="C106" s="89">
        <v>0</v>
      </c>
      <c r="D106" s="89">
        <v>0</v>
      </c>
      <c r="E106" s="89">
        <v>0</v>
      </c>
      <c r="F106" s="89">
        <f t="shared" si="7"/>
        <v>0</v>
      </c>
      <c r="G106" s="288"/>
    </row>
    <row r="107" spans="1:7" s="90" customFormat="1" ht="12">
      <c r="A107" s="142">
        <v>101</v>
      </c>
      <c r="B107" s="146" t="s">
        <v>190</v>
      </c>
      <c r="C107" s="89">
        <v>0</v>
      </c>
      <c r="D107" s="89">
        <v>0</v>
      </c>
      <c r="E107" s="89">
        <v>0</v>
      </c>
      <c r="F107" s="89">
        <f>SUM(C107:E107)</f>
        <v>0</v>
      </c>
      <c r="G107" s="288"/>
    </row>
    <row r="108" spans="1:7" s="90" customFormat="1" ht="12">
      <c r="A108" s="142">
        <v>102</v>
      </c>
      <c r="B108" s="146" t="s">
        <v>192</v>
      </c>
      <c r="C108" s="89">
        <v>0</v>
      </c>
      <c r="D108" s="89">
        <v>0</v>
      </c>
      <c r="E108" s="89">
        <v>0</v>
      </c>
      <c r="F108" s="89">
        <f>SUM(C108:E108)</f>
        <v>0</v>
      </c>
      <c r="G108" s="288"/>
    </row>
    <row r="109" spans="1:7" s="90" customFormat="1" ht="12">
      <c r="A109" s="142">
        <v>103</v>
      </c>
      <c r="B109" s="146" t="s">
        <v>193</v>
      </c>
      <c r="C109" s="89">
        <v>0</v>
      </c>
      <c r="D109" s="89">
        <v>0</v>
      </c>
      <c r="E109" s="89">
        <v>0</v>
      </c>
      <c r="F109" s="89">
        <f>SUM(C109:E109)</f>
        <v>0</v>
      </c>
      <c r="G109" s="288"/>
    </row>
    <row r="110" spans="1:7" s="90" customFormat="1" ht="12">
      <c r="A110" s="142">
        <v>104</v>
      </c>
      <c r="B110" s="146" t="s">
        <v>191</v>
      </c>
      <c r="C110" s="89">
        <v>0</v>
      </c>
      <c r="D110" s="89">
        <v>0</v>
      </c>
      <c r="E110" s="89">
        <v>0</v>
      </c>
      <c r="F110" s="89">
        <f t="shared" si="7"/>
        <v>0</v>
      </c>
      <c r="G110" s="288"/>
    </row>
    <row r="111" spans="1:7" s="299" customFormat="1" ht="15">
      <c r="A111" s="301">
        <v>105</v>
      </c>
      <c r="B111" s="296" t="s">
        <v>915</v>
      </c>
      <c r="C111" s="297">
        <f>SUM(C112,C134,C163)</f>
        <v>4074052</v>
      </c>
      <c r="D111" s="297">
        <f>SUM(D112,D134,D163)</f>
        <v>0</v>
      </c>
      <c r="E111" s="297">
        <f>SUM(E112,E134,E163)</f>
        <v>1072</v>
      </c>
      <c r="F111" s="297">
        <f>SUM(F112,F134,F163)</f>
        <v>4075124</v>
      </c>
      <c r="G111" s="298"/>
    </row>
    <row r="112" spans="1:7" s="93" customFormat="1" ht="15">
      <c r="A112" s="142">
        <v>106</v>
      </c>
      <c r="B112" s="145" t="s">
        <v>195</v>
      </c>
      <c r="C112" s="97">
        <f>SUM(C125,C124,C123,C121,C113)</f>
        <v>862350</v>
      </c>
      <c r="D112" s="97">
        <f>SUM(D125,D124,D123,D121,D113)</f>
        <v>0</v>
      </c>
      <c r="E112" s="97">
        <f>SUM(E125,E124,E123,E121,E113)</f>
        <v>0</v>
      </c>
      <c r="F112" s="97">
        <f>SUM(F125,F124,F123,F121,F113)</f>
        <v>862350</v>
      </c>
      <c r="G112" s="292"/>
    </row>
    <row r="113" spans="1:7" s="92" customFormat="1" ht="12.75">
      <c r="A113" s="142">
        <v>107</v>
      </c>
      <c r="B113" s="148" t="s">
        <v>198</v>
      </c>
      <c r="C113" s="91">
        <f>SUM(C114:C120)</f>
        <v>862250</v>
      </c>
      <c r="D113" s="91">
        <f>SUM(D114:D119)</f>
        <v>0</v>
      </c>
      <c r="E113" s="91">
        <f>SUM(E114:E119)</f>
        <v>0</v>
      </c>
      <c r="F113" s="91">
        <f>SUM(F114:F119)</f>
        <v>862250</v>
      </c>
      <c r="G113" s="289">
        <f>SUM(C113:E113)</f>
        <v>862250</v>
      </c>
    </row>
    <row r="114" spans="1:7" s="90" customFormat="1" ht="12">
      <c r="A114" s="142">
        <v>108</v>
      </c>
      <c r="B114" s="146" t="s">
        <v>257</v>
      </c>
      <c r="C114" s="89">
        <v>0</v>
      </c>
      <c r="D114" s="89">
        <v>0</v>
      </c>
      <c r="E114" s="89">
        <v>0</v>
      </c>
      <c r="F114" s="89">
        <f aca="true" t="shared" si="8" ref="F114:F121">SUM(C114:E114)</f>
        <v>0</v>
      </c>
      <c r="G114" s="288"/>
    </row>
    <row r="115" spans="1:7" s="90" customFormat="1" ht="12">
      <c r="A115" s="142">
        <v>109</v>
      </c>
      <c r="B115" s="146" t="s">
        <v>258</v>
      </c>
      <c r="C115" s="89">
        <f>106165-952-50000-1385-10965-7657</f>
        <v>35206</v>
      </c>
      <c r="D115" s="89">
        <v>0</v>
      </c>
      <c r="E115" s="89">
        <v>0</v>
      </c>
      <c r="F115" s="89">
        <f t="shared" si="8"/>
        <v>35206</v>
      </c>
      <c r="G115" s="288"/>
    </row>
    <row r="116" spans="1:7" s="90" customFormat="1" ht="12">
      <c r="A116" s="142">
        <v>110</v>
      </c>
      <c r="B116" s="146" t="s">
        <v>259</v>
      </c>
      <c r="C116" s="89">
        <v>15</v>
      </c>
      <c r="D116" s="89">
        <v>0</v>
      </c>
      <c r="E116" s="89">
        <v>0</v>
      </c>
      <c r="F116" s="89">
        <f t="shared" si="8"/>
        <v>15</v>
      </c>
      <c r="G116" s="288"/>
    </row>
    <row r="117" spans="1:7" s="90" customFormat="1" ht="12">
      <c r="A117" s="142">
        <v>111</v>
      </c>
      <c r="B117" s="146" t="s">
        <v>260</v>
      </c>
      <c r="C117" s="89">
        <v>0</v>
      </c>
      <c r="D117" s="89">
        <v>0</v>
      </c>
      <c r="E117" s="89">
        <v>0</v>
      </c>
      <c r="F117" s="89">
        <f t="shared" si="8"/>
        <v>0</v>
      </c>
      <c r="G117" s="288"/>
    </row>
    <row r="118" spans="1:7" s="90" customFormat="1" ht="12">
      <c r="A118" s="142">
        <v>112</v>
      </c>
      <c r="B118" s="146" t="s">
        <v>261</v>
      </c>
      <c r="C118" s="89">
        <v>0</v>
      </c>
      <c r="D118" s="89">
        <v>0</v>
      </c>
      <c r="E118" s="89">
        <v>0</v>
      </c>
      <c r="F118" s="89">
        <f t="shared" si="8"/>
        <v>0</v>
      </c>
      <c r="G118" s="288"/>
    </row>
    <row r="119" spans="1:7" s="90" customFormat="1" ht="12">
      <c r="A119" s="142">
        <v>113</v>
      </c>
      <c r="B119" s="146" t="s">
        <v>196</v>
      </c>
      <c r="C119" s="89">
        <f>116721+703558+6750</f>
        <v>827029</v>
      </c>
      <c r="D119" s="89">
        <v>0</v>
      </c>
      <c r="E119" s="89">
        <v>0</v>
      </c>
      <c r="F119" s="89">
        <f t="shared" si="8"/>
        <v>827029</v>
      </c>
      <c r="G119" s="288"/>
    </row>
    <row r="120" spans="1:7" s="90" customFormat="1" ht="12">
      <c r="A120" s="142">
        <v>114</v>
      </c>
      <c r="B120" s="146" t="s">
        <v>197</v>
      </c>
      <c r="C120" s="89">
        <v>0</v>
      </c>
      <c r="D120" s="89">
        <v>0</v>
      </c>
      <c r="E120" s="89">
        <v>0</v>
      </c>
      <c r="F120" s="89">
        <f t="shared" si="8"/>
        <v>0</v>
      </c>
      <c r="G120" s="288"/>
    </row>
    <row r="121" spans="1:7" s="92" customFormat="1" ht="12.75">
      <c r="A121" s="142">
        <v>115</v>
      </c>
      <c r="B121" s="300" t="s">
        <v>199</v>
      </c>
      <c r="C121" s="91">
        <v>0</v>
      </c>
      <c r="D121" s="91">
        <f>SUM(D122:D130)</f>
        <v>0</v>
      </c>
      <c r="E121" s="91">
        <f>SUM(E122:E130)</f>
        <v>0</v>
      </c>
      <c r="F121" s="91">
        <f t="shared" si="8"/>
        <v>0</v>
      </c>
      <c r="G121" s="294">
        <f>SUM(C121:E121)</f>
        <v>0</v>
      </c>
    </row>
    <row r="122" spans="1:7" s="92" customFormat="1" ht="12.75">
      <c r="A122" s="142">
        <v>116</v>
      </c>
      <c r="B122" s="300" t="s">
        <v>200</v>
      </c>
      <c r="C122" s="91">
        <v>0</v>
      </c>
      <c r="D122" s="91">
        <v>0</v>
      </c>
      <c r="E122" s="91">
        <v>0</v>
      </c>
      <c r="F122" s="91">
        <f>SUM(C122:E122)</f>
        <v>0</v>
      </c>
      <c r="G122" s="294"/>
    </row>
    <row r="123" spans="1:7" s="92" customFormat="1" ht="12.75">
      <c r="A123" s="142">
        <v>117</v>
      </c>
      <c r="B123" s="300" t="s">
        <v>201</v>
      </c>
      <c r="C123" s="91">
        <v>0</v>
      </c>
      <c r="D123" s="91">
        <v>0</v>
      </c>
      <c r="E123" s="91">
        <v>0</v>
      </c>
      <c r="F123" s="91">
        <f>SUM(C123:E123)</f>
        <v>0</v>
      </c>
      <c r="G123" s="294"/>
    </row>
    <row r="124" spans="1:7" s="92" customFormat="1" ht="12.75">
      <c r="A124" s="142">
        <v>118</v>
      </c>
      <c r="B124" s="300" t="s">
        <v>202</v>
      </c>
      <c r="C124" s="91">
        <v>0</v>
      </c>
      <c r="D124" s="91">
        <v>0</v>
      </c>
      <c r="E124" s="91">
        <v>0</v>
      </c>
      <c r="F124" s="91">
        <f>SUM(C124:E124)</f>
        <v>0</v>
      </c>
      <c r="G124" s="294"/>
    </row>
    <row r="125" spans="1:7" s="92" customFormat="1" ht="12.75">
      <c r="A125" s="142">
        <v>119</v>
      </c>
      <c r="B125" s="300" t="s">
        <v>203</v>
      </c>
      <c r="C125" s="91">
        <f>SUM(C126:C133)</f>
        <v>100</v>
      </c>
      <c r="D125" s="91">
        <f>SUM(D126:D133)</f>
        <v>0</v>
      </c>
      <c r="E125" s="91">
        <f>SUM(E126:E133)</f>
        <v>0</v>
      </c>
      <c r="F125" s="91">
        <f>SUM(F126:F133)</f>
        <v>100</v>
      </c>
      <c r="G125" s="294"/>
    </row>
    <row r="126" spans="1:7" s="90" customFormat="1" ht="12">
      <c r="A126" s="142">
        <v>120</v>
      </c>
      <c r="B126" s="146" t="s">
        <v>132</v>
      </c>
      <c r="C126" s="89">
        <v>0</v>
      </c>
      <c r="D126" s="89">
        <v>0</v>
      </c>
      <c r="E126" s="89">
        <v>0</v>
      </c>
      <c r="F126" s="89">
        <f>SUM(C126:E126)</f>
        <v>0</v>
      </c>
      <c r="G126" s="288"/>
    </row>
    <row r="127" spans="1:7" s="90" customFormat="1" ht="12">
      <c r="A127" s="142">
        <v>121</v>
      </c>
      <c r="B127" s="146" t="s">
        <v>265</v>
      </c>
      <c r="C127" s="89">
        <v>100</v>
      </c>
      <c r="D127" s="89">
        <v>0</v>
      </c>
      <c r="E127" s="89">
        <v>0</v>
      </c>
      <c r="F127" s="89">
        <f aca="true" t="shared" si="9" ref="F127:F133">SUM(C127:E127)</f>
        <v>100</v>
      </c>
      <c r="G127" s="288"/>
    </row>
    <row r="128" spans="1:7" s="90" customFormat="1" ht="12">
      <c r="A128" s="142">
        <v>122</v>
      </c>
      <c r="B128" s="146" t="s">
        <v>204</v>
      </c>
      <c r="C128" s="89">
        <v>0</v>
      </c>
      <c r="D128" s="89">
        <v>0</v>
      </c>
      <c r="E128" s="89">
        <v>0</v>
      </c>
      <c r="F128" s="89">
        <f t="shared" si="9"/>
        <v>0</v>
      </c>
      <c r="G128" s="288"/>
    </row>
    <row r="129" spans="1:7" s="90" customFormat="1" ht="12">
      <c r="A129" s="142">
        <v>123</v>
      </c>
      <c r="B129" s="146" t="s">
        <v>335</v>
      </c>
      <c r="C129" s="89">
        <v>0</v>
      </c>
      <c r="D129" s="89">
        <v>0</v>
      </c>
      <c r="E129" s="89">
        <v>0</v>
      </c>
      <c r="F129" s="89">
        <f t="shared" si="9"/>
        <v>0</v>
      </c>
      <c r="G129" s="288"/>
    </row>
    <row r="130" spans="1:7" s="90" customFormat="1" ht="12">
      <c r="A130" s="142">
        <v>124</v>
      </c>
      <c r="B130" s="146" t="s">
        <v>336</v>
      </c>
      <c r="C130" s="89">
        <v>0</v>
      </c>
      <c r="D130" s="89">
        <v>0</v>
      </c>
      <c r="E130" s="89">
        <v>0</v>
      </c>
      <c r="F130" s="89">
        <f t="shared" si="9"/>
        <v>0</v>
      </c>
      <c r="G130" s="288"/>
    </row>
    <row r="131" spans="1:7" s="90" customFormat="1" ht="12">
      <c r="A131" s="142">
        <v>125</v>
      </c>
      <c r="B131" s="146" t="s">
        <v>266</v>
      </c>
      <c r="C131" s="89">
        <v>0</v>
      </c>
      <c r="D131" s="89">
        <v>0</v>
      </c>
      <c r="E131" s="89">
        <v>0</v>
      </c>
      <c r="F131" s="89">
        <f t="shared" si="9"/>
        <v>0</v>
      </c>
      <c r="G131" s="288"/>
    </row>
    <row r="132" spans="1:7" s="90" customFormat="1" ht="12">
      <c r="A132" s="142">
        <v>126</v>
      </c>
      <c r="B132" s="146" t="s">
        <v>267</v>
      </c>
      <c r="C132" s="89">
        <v>0</v>
      </c>
      <c r="D132" s="89">
        <v>0</v>
      </c>
      <c r="E132" s="89">
        <v>0</v>
      </c>
      <c r="F132" s="89">
        <f t="shared" si="9"/>
        <v>0</v>
      </c>
      <c r="G132" s="288"/>
    </row>
    <row r="133" spans="1:7" s="90" customFormat="1" ht="12">
      <c r="A133" s="142">
        <v>127</v>
      </c>
      <c r="B133" s="146" t="s">
        <v>268</v>
      </c>
      <c r="C133" s="89">
        <v>0</v>
      </c>
      <c r="D133" s="89">
        <v>0</v>
      </c>
      <c r="E133" s="89">
        <v>0</v>
      </c>
      <c r="F133" s="89">
        <f t="shared" si="9"/>
        <v>0</v>
      </c>
      <c r="G133" s="288"/>
    </row>
    <row r="134" spans="1:7" s="93" customFormat="1" ht="14.25">
      <c r="A134" s="142">
        <v>128</v>
      </c>
      <c r="B134" s="145" t="s">
        <v>41</v>
      </c>
      <c r="C134" s="97">
        <f>SUM(C152,C142,C141,C135)</f>
        <v>2630361</v>
      </c>
      <c r="D134" s="97">
        <f>SUM(D152,D142,D141,D135)</f>
        <v>0</v>
      </c>
      <c r="E134" s="97">
        <f>SUM(E152,E142,E141,E135)</f>
        <v>1072</v>
      </c>
      <c r="F134" s="97">
        <f>SUM(F152,F142,F141,F135)</f>
        <v>2631433</v>
      </c>
      <c r="G134" s="293"/>
    </row>
    <row r="135" spans="1:7" s="92" customFormat="1" ht="12.75">
      <c r="A135" s="142">
        <v>129</v>
      </c>
      <c r="B135" s="300" t="s">
        <v>42</v>
      </c>
      <c r="C135" s="91">
        <f>SUM(C136:C140)</f>
        <v>14275</v>
      </c>
      <c r="D135" s="91">
        <f>SUM(D136:D140)</f>
        <v>0</v>
      </c>
      <c r="E135" s="91">
        <f>SUM(E136:E140)</f>
        <v>0</v>
      </c>
      <c r="F135" s="91">
        <f>SUM(F136:F140)</f>
        <v>14275</v>
      </c>
      <c r="G135" s="294"/>
    </row>
    <row r="136" spans="1:7" s="90" customFormat="1" ht="12">
      <c r="A136" s="142">
        <v>130</v>
      </c>
      <c r="B136" s="146" t="s">
        <v>43</v>
      </c>
      <c r="C136" s="89">
        <f>2265+50000-50000+226+1+33</f>
        <v>2525</v>
      </c>
      <c r="D136" s="89">
        <v>0</v>
      </c>
      <c r="E136" s="89">
        <v>0</v>
      </c>
      <c r="F136" s="89">
        <f>SUM(C136:E136)</f>
        <v>2525</v>
      </c>
      <c r="G136" s="288"/>
    </row>
    <row r="137" spans="1:7" s="90" customFormat="1" ht="12">
      <c r="A137" s="142">
        <v>131</v>
      </c>
      <c r="B137" s="146" t="s">
        <v>44</v>
      </c>
      <c r="C137" s="89">
        <v>0</v>
      </c>
      <c r="D137" s="89">
        <v>0</v>
      </c>
      <c r="E137" s="89">
        <v>0</v>
      </c>
      <c r="F137" s="89">
        <f>SUM(C137:E137)</f>
        <v>0</v>
      </c>
      <c r="G137" s="288"/>
    </row>
    <row r="138" spans="1:7" s="90" customFormat="1" ht="12">
      <c r="A138" s="142">
        <v>132</v>
      </c>
      <c r="B138" s="146" t="s">
        <v>45</v>
      </c>
      <c r="C138" s="89">
        <v>0</v>
      </c>
      <c r="D138" s="89">
        <v>0</v>
      </c>
      <c r="E138" s="89">
        <v>0</v>
      </c>
      <c r="F138" s="89">
        <f>SUM(C138:E138)</f>
        <v>0</v>
      </c>
      <c r="G138" s="288"/>
    </row>
    <row r="139" spans="1:7" s="90" customFormat="1" ht="12">
      <c r="A139" s="142">
        <v>133</v>
      </c>
      <c r="B139" s="146" t="s">
        <v>46</v>
      </c>
      <c r="C139" s="89">
        <v>0</v>
      </c>
      <c r="D139" s="89">
        <v>0</v>
      </c>
      <c r="E139" s="89">
        <v>0</v>
      </c>
      <c r="F139" s="89">
        <f>SUM(C139:E139)</f>
        <v>0</v>
      </c>
      <c r="G139" s="288"/>
    </row>
    <row r="140" spans="1:7" s="90" customFormat="1" ht="12">
      <c r="A140" s="142">
        <v>134</v>
      </c>
      <c r="B140" s="146" t="s">
        <v>52</v>
      </c>
      <c r="C140" s="89">
        <f>475217-462071-1396</f>
        <v>11750</v>
      </c>
      <c r="D140" s="89">
        <v>0</v>
      </c>
      <c r="E140" s="89">
        <v>0</v>
      </c>
      <c r="F140" s="89">
        <f>SUM(C140:E140)</f>
        <v>11750</v>
      </c>
      <c r="G140" s="288"/>
    </row>
    <row r="141" spans="1:7" s="92" customFormat="1" ht="12.75">
      <c r="A141" s="142">
        <v>135</v>
      </c>
      <c r="B141" s="148" t="s">
        <v>53</v>
      </c>
      <c r="C141" s="91">
        <v>0</v>
      </c>
      <c r="D141" s="91">
        <v>0</v>
      </c>
      <c r="E141" s="91">
        <v>0</v>
      </c>
      <c r="F141" s="91">
        <v>0</v>
      </c>
      <c r="G141" s="294"/>
    </row>
    <row r="142" spans="1:7" s="92" customFormat="1" ht="12.75">
      <c r="A142" s="142">
        <v>136</v>
      </c>
      <c r="B142" s="148" t="s">
        <v>54</v>
      </c>
      <c r="C142" s="91">
        <f>SUM(C143:C151)</f>
        <v>0</v>
      </c>
      <c r="D142" s="91">
        <f>SUM(D143:D151)</f>
        <v>0</v>
      </c>
      <c r="E142" s="91">
        <f>SUM(E143:E151)</f>
        <v>0</v>
      </c>
      <c r="F142" s="91">
        <f>SUM(F143:F151)</f>
        <v>0</v>
      </c>
      <c r="G142" s="294"/>
    </row>
    <row r="143" spans="1:7" s="90" customFormat="1" ht="12">
      <c r="A143" s="142">
        <v>137</v>
      </c>
      <c r="B143" s="146" t="s">
        <v>55</v>
      </c>
      <c r="C143" s="89">
        <v>0</v>
      </c>
      <c r="D143" s="89">
        <v>0</v>
      </c>
      <c r="E143" s="89">
        <v>0</v>
      </c>
      <c r="F143" s="89">
        <f>SUM(C143:E143)</f>
        <v>0</v>
      </c>
      <c r="G143" s="288">
        <f>SUM(C143:F143)</f>
        <v>0</v>
      </c>
    </row>
    <row r="144" spans="1:7" s="90" customFormat="1" ht="12">
      <c r="A144" s="142">
        <v>138</v>
      </c>
      <c r="B144" s="146" t="s">
        <v>56</v>
      </c>
      <c r="C144" s="89">
        <v>0</v>
      </c>
      <c r="D144" s="89">
        <v>0</v>
      </c>
      <c r="E144" s="89">
        <v>0</v>
      </c>
      <c r="F144" s="89">
        <f aca="true" t="shared" si="10" ref="F144:F151">SUM(C144:E144)</f>
        <v>0</v>
      </c>
      <c r="G144" s="288"/>
    </row>
    <row r="145" spans="1:7" s="90" customFormat="1" ht="12">
      <c r="A145" s="142">
        <v>139</v>
      </c>
      <c r="B145" s="146" t="s">
        <v>57</v>
      </c>
      <c r="C145" s="89">
        <v>0</v>
      </c>
      <c r="D145" s="89">
        <v>0</v>
      </c>
      <c r="E145" s="89">
        <v>0</v>
      </c>
      <c r="F145" s="89">
        <f t="shared" si="10"/>
        <v>0</v>
      </c>
      <c r="G145" s="288"/>
    </row>
    <row r="146" spans="1:7" s="90" customFormat="1" ht="12">
      <c r="A146" s="142">
        <v>140</v>
      </c>
      <c r="B146" s="146" t="s">
        <v>58</v>
      </c>
      <c r="C146" s="89">
        <v>0</v>
      </c>
      <c r="D146" s="89">
        <v>0</v>
      </c>
      <c r="E146" s="89">
        <v>0</v>
      </c>
      <c r="F146" s="89">
        <f t="shared" si="10"/>
        <v>0</v>
      </c>
      <c r="G146" s="288">
        <f>SUM(C146:F146)</f>
        <v>0</v>
      </c>
    </row>
    <row r="147" spans="1:7" s="90" customFormat="1" ht="12">
      <c r="A147" s="142">
        <v>141</v>
      </c>
      <c r="B147" s="146" t="s">
        <v>59</v>
      </c>
      <c r="C147" s="89">
        <v>0</v>
      </c>
      <c r="D147" s="89">
        <v>0</v>
      </c>
      <c r="E147" s="89">
        <v>0</v>
      </c>
      <c r="F147" s="89">
        <f t="shared" si="10"/>
        <v>0</v>
      </c>
      <c r="G147" s="288">
        <f>SUM(C147:F147)</f>
        <v>0</v>
      </c>
    </row>
    <row r="148" spans="1:7" s="90" customFormat="1" ht="12">
      <c r="A148" s="142">
        <v>142</v>
      </c>
      <c r="B148" s="146" t="s">
        <v>60</v>
      </c>
      <c r="C148" s="89">
        <v>0</v>
      </c>
      <c r="D148" s="89">
        <v>0</v>
      </c>
      <c r="E148" s="89">
        <v>0</v>
      </c>
      <c r="F148" s="89">
        <f t="shared" si="10"/>
        <v>0</v>
      </c>
      <c r="G148" s="288"/>
    </row>
    <row r="149" spans="1:7" s="90" customFormat="1" ht="12">
      <c r="A149" s="142">
        <v>143</v>
      </c>
      <c r="B149" s="146" t="s">
        <v>61</v>
      </c>
      <c r="C149" s="89">
        <v>0</v>
      </c>
      <c r="D149" s="89">
        <v>0</v>
      </c>
      <c r="E149" s="89">
        <v>0</v>
      </c>
      <c r="F149" s="89">
        <f t="shared" si="10"/>
        <v>0</v>
      </c>
      <c r="G149" s="288"/>
    </row>
    <row r="150" spans="1:7" s="90" customFormat="1" ht="12">
      <c r="A150" s="142">
        <v>144</v>
      </c>
      <c r="B150" s="146" t="s">
        <v>62</v>
      </c>
      <c r="C150" s="89">
        <v>0</v>
      </c>
      <c r="D150" s="89">
        <v>0</v>
      </c>
      <c r="E150" s="89">
        <v>0</v>
      </c>
      <c r="F150" s="89">
        <f t="shared" si="10"/>
        <v>0</v>
      </c>
      <c r="G150" s="288"/>
    </row>
    <row r="151" spans="1:7" s="90" customFormat="1" ht="12">
      <c r="A151" s="142">
        <v>145</v>
      </c>
      <c r="B151" s="146" t="s">
        <v>86</v>
      </c>
      <c r="C151" s="89">
        <v>0</v>
      </c>
      <c r="D151" s="89">
        <v>0</v>
      </c>
      <c r="E151" s="89">
        <v>0</v>
      </c>
      <c r="F151" s="89">
        <f t="shared" si="10"/>
        <v>0</v>
      </c>
      <c r="G151" s="288"/>
    </row>
    <row r="152" spans="1:7" s="92" customFormat="1" ht="12.75">
      <c r="A152" s="142">
        <v>146</v>
      </c>
      <c r="B152" s="148" t="s">
        <v>87</v>
      </c>
      <c r="C152" s="91">
        <f>SUM(C153:C162)</f>
        <v>2616086</v>
      </c>
      <c r="D152" s="91">
        <f>SUM(D153:D162)</f>
        <v>0</v>
      </c>
      <c r="E152" s="91">
        <f>SUM(E153:E162)</f>
        <v>1072</v>
      </c>
      <c r="F152" s="91">
        <f>SUM(F153:F162)</f>
        <v>2617158</v>
      </c>
      <c r="G152" s="294"/>
    </row>
    <row r="153" spans="1:7" s="90" customFormat="1" ht="12">
      <c r="A153" s="142">
        <v>147</v>
      </c>
      <c r="B153" s="146" t="s">
        <v>88</v>
      </c>
      <c r="C153" s="89">
        <v>0</v>
      </c>
      <c r="D153" s="89">
        <v>0</v>
      </c>
      <c r="E153" s="89">
        <v>0</v>
      </c>
      <c r="F153" s="89">
        <f aca="true" t="shared" si="11" ref="F153:F162">SUM(C153:E153)</f>
        <v>0</v>
      </c>
      <c r="G153" s="288"/>
    </row>
    <row r="154" spans="1:7" s="90" customFormat="1" ht="12">
      <c r="A154" s="142">
        <v>148</v>
      </c>
      <c r="B154" s="146" t="s">
        <v>89</v>
      </c>
      <c r="C154" s="89">
        <f>29711+2481729+64426-1371+17025</f>
        <v>2591520</v>
      </c>
      <c r="D154" s="89">
        <v>0</v>
      </c>
      <c r="E154" s="89">
        <v>1072</v>
      </c>
      <c r="F154" s="89">
        <f t="shared" si="11"/>
        <v>2592592</v>
      </c>
      <c r="G154" s="288"/>
    </row>
    <row r="155" spans="1:7" s="90" customFormat="1" ht="12">
      <c r="A155" s="142">
        <v>149</v>
      </c>
      <c r="B155" s="146" t="s">
        <v>90</v>
      </c>
      <c r="C155" s="89">
        <v>10</v>
      </c>
      <c r="D155" s="89">
        <v>0</v>
      </c>
      <c r="E155" s="89">
        <v>0</v>
      </c>
      <c r="F155" s="89">
        <f t="shared" si="11"/>
        <v>10</v>
      </c>
      <c r="G155" s="288"/>
    </row>
    <row r="156" spans="1:7" s="90" customFormat="1" ht="12">
      <c r="A156" s="142">
        <v>150</v>
      </c>
      <c r="B156" s="146" t="s">
        <v>91</v>
      </c>
      <c r="C156" s="89">
        <v>0</v>
      </c>
      <c r="D156" s="89">
        <v>0</v>
      </c>
      <c r="E156" s="89">
        <v>0</v>
      </c>
      <c r="F156" s="89">
        <f t="shared" si="11"/>
        <v>0</v>
      </c>
      <c r="G156" s="288"/>
    </row>
    <row r="157" spans="1:7" s="90" customFormat="1" ht="12">
      <c r="A157" s="142">
        <v>151</v>
      </c>
      <c r="B157" s="146" t="s">
        <v>92</v>
      </c>
      <c r="C157" s="89">
        <v>0</v>
      </c>
      <c r="D157" s="89">
        <v>0</v>
      </c>
      <c r="E157" s="89">
        <v>0</v>
      </c>
      <c r="F157" s="89">
        <f t="shared" si="11"/>
        <v>0</v>
      </c>
      <c r="G157" s="288"/>
    </row>
    <row r="158" spans="1:7" s="90" customFormat="1" ht="12">
      <c r="A158" s="142">
        <v>152</v>
      </c>
      <c r="B158" s="146" t="s">
        <v>93</v>
      </c>
      <c r="C158" s="89">
        <f>-1974+23790+2740</f>
        <v>24556</v>
      </c>
      <c r="D158" s="89">
        <v>0</v>
      </c>
      <c r="E158" s="89">
        <v>0</v>
      </c>
      <c r="F158" s="89">
        <f t="shared" si="11"/>
        <v>24556</v>
      </c>
      <c r="G158" s="288"/>
    </row>
    <row r="159" spans="1:7" s="90" customFormat="1" ht="12">
      <c r="A159" s="142">
        <v>153</v>
      </c>
      <c r="B159" s="146" t="s">
        <v>94</v>
      </c>
      <c r="C159" s="89">
        <v>0</v>
      </c>
      <c r="D159" s="89">
        <v>0</v>
      </c>
      <c r="E159" s="89">
        <v>0</v>
      </c>
      <c r="F159" s="89">
        <f t="shared" si="11"/>
        <v>0</v>
      </c>
      <c r="G159" s="288"/>
    </row>
    <row r="160" spans="1:7" s="90" customFormat="1" ht="12">
      <c r="A160" s="142">
        <v>154</v>
      </c>
      <c r="B160" s="146" t="s">
        <v>95</v>
      </c>
      <c r="C160" s="89">
        <v>0</v>
      </c>
      <c r="D160" s="89">
        <v>0</v>
      </c>
      <c r="E160" s="89">
        <v>0</v>
      </c>
      <c r="F160" s="89">
        <f t="shared" si="11"/>
        <v>0</v>
      </c>
      <c r="G160" s="288"/>
    </row>
    <row r="161" spans="1:7" s="90" customFormat="1" ht="12">
      <c r="A161" s="142">
        <v>155</v>
      </c>
      <c r="B161" s="146" t="s">
        <v>96</v>
      </c>
      <c r="C161" s="89">
        <v>0</v>
      </c>
      <c r="D161" s="89">
        <v>0</v>
      </c>
      <c r="E161" s="89">
        <v>0</v>
      </c>
      <c r="F161" s="89">
        <f t="shared" si="11"/>
        <v>0</v>
      </c>
      <c r="G161" s="288"/>
    </row>
    <row r="162" spans="1:7" s="90" customFormat="1" ht="12">
      <c r="A162" s="142">
        <v>156</v>
      </c>
      <c r="B162" s="146" t="s">
        <v>97</v>
      </c>
      <c r="C162" s="89">
        <v>0</v>
      </c>
      <c r="D162" s="89">
        <v>0</v>
      </c>
      <c r="E162" s="89">
        <v>0</v>
      </c>
      <c r="F162" s="89">
        <f t="shared" si="11"/>
        <v>0</v>
      </c>
      <c r="G162" s="288"/>
    </row>
    <row r="163" spans="1:7" s="93" customFormat="1" ht="14.25">
      <c r="A163" s="142">
        <v>157</v>
      </c>
      <c r="B163" s="145" t="s">
        <v>98</v>
      </c>
      <c r="C163" s="97">
        <f>SUM(C174,C165,C164)</f>
        <v>581341</v>
      </c>
      <c r="D163" s="97">
        <f>SUM(D174,D165,D164)</f>
        <v>0</v>
      </c>
      <c r="E163" s="97">
        <f>SUM(E174,E165,E164)</f>
        <v>0</v>
      </c>
      <c r="F163" s="97">
        <f>SUM(F174,F165,F164)</f>
        <v>581341</v>
      </c>
      <c r="G163" s="293"/>
    </row>
    <row r="164" spans="1:7" s="92" customFormat="1" ht="12.75">
      <c r="A164" s="142">
        <v>158</v>
      </c>
      <c r="B164" s="148" t="s">
        <v>99</v>
      </c>
      <c r="C164" s="91">
        <v>0</v>
      </c>
      <c r="D164" s="91">
        <v>0</v>
      </c>
      <c r="E164" s="91">
        <v>0</v>
      </c>
      <c r="F164" s="91">
        <v>0</v>
      </c>
      <c r="G164" s="294"/>
    </row>
    <row r="165" spans="1:7" s="92" customFormat="1" ht="12.75">
      <c r="A165" s="142">
        <v>159</v>
      </c>
      <c r="B165" s="148" t="s">
        <v>106</v>
      </c>
      <c r="C165" s="91">
        <f>SUM(C166:C173)</f>
        <v>0</v>
      </c>
      <c r="D165" s="91">
        <f>SUM(D166:D173)</f>
        <v>0</v>
      </c>
      <c r="E165" s="91">
        <f>SUM(E166:E173)</f>
        <v>0</v>
      </c>
      <c r="F165" s="91">
        <f>SUM(F166:F173)</f>
        <v>0</v>
      </c>
      <c r="G165" s="294"/>
    </row>
    <row r="166" spans="1:7" s="90" customFormat="1" ht="12">
      <c r="A166" s="142">
        <v>160</v>
      </c>
      <c r="B166" s="146" t="s">
        <v>107</v>
      </c>
      <c r="C166" s="89">
        <v>0</v>
      </c>
      <c r="D166" s="89">
        <v>0</v>
      </c>
      <c r="E166" s="89">
        <v>0</v>
      </c>
      <c r="F166" s="89">
        <f>SUM(C166:E166)</f>
        <v>0</v>
      </c>
      <c r="G166" s="288"/>
    </row>
    <row r="167" spans="1:7" s="90" customFormat="1" ht="12">
      <c r="A167" s="142">
        <v>161</v>
      </c>
      <c r="B167" s="146" t="s">
        <v>108</v>
      </c>
      <c r="C167" s="89">
        <v>0</v>
      </c>
      <c r="D167" s="89">
        <v>0</v>
      </c>
      <c r="E167" s="89">
        <v>0</v>
      </c>
      <c r="F167" s="89">
        <f aca="true" t="shared" si="12" ref="F167:F173">SUM(C167:E167)</f>
        <v>0</v>
      </c>
      <c r="G167" s="288"/>
    </row>
    <row r="168" spans="1:7" s="90" customFormat="1" ht="12">
      <c r="A168" s="142">
        <v>162</v>
      </c>
      <c r="B168" s="146" t="s">
        <v>109</v>
      </c>
      <c r="C168" s="89">
        <v>0</v>
      </c>
      <c r="D168" s="89">
        <v>0</v>
      </c>
      <c r="E168" s="89">
        <v>0</v>
      </c>
      <c r="F168" s="89">
        <f t="shared" si="12"/>
        <v>0</v>
      </c>
      <c r="G168" s="288"/>
    </row>
    <row r="169" spans="1:7" s="90" customFormat="1" ht="12">
      <c r="A169" s="142">
        <v>163</v>
      </c>
      <c r="B169" s="146" t="s">
        <v>110</v>
      </c>
      <c r="C169" s="89">
        <v>0</v>
      </c>
      <c r="D169" s="89">
        <v>0</v>
      </c>
      <c r="E169" s="89">
        <v>0</v>
      </c>
      <c r="F169" s="89">
        <f t="shared" si="12"/>
        <v>0</v>
      </c>
      <c r="G169" s="288"/>
    </row>
    <row r="170" spans="1:7" s="90" customFormat="1" ht="12">
      <c r="A170" s="142">
        <v>164</v>
      </c>
      <c r="B170" s="146" t="s">
        <v>111</v>
      </c>
      <c r="C170" s="89">
        <v>0</v>
      </c>
      <c r="D170" s="89">
        <v>0</v>
      </c>
      <c r="E170" s="89">
        <v>0</v>
      </c>
      <c r="F170" s="89">
        <f t="shared" si="12"/>
        <v>0</v>
      </c>
      <c r="G170" s="288"/>
    </row>
    <row r="171" spans="1:7" s="90" customFormat="1" ht="12">
      <c r="A171" s="142">
        <v>165</v>
      </c>
      <c r="B171" s="146" t="s">
        <v>112</v>
      </c>
      <c r="C171" s="89">
        <v>0</v>
      </c>
      <c r="D171" s="89">
        <v>0</v>
      </c>
      <c r="E171" s="89">
        <v>0</v>
      </c>
      <c r="F171" s="89">
        <f t="shared" si="12"/>
        <v>0</v>
      </c>
      <c r="G171" s="288"/>
    </row>
    <row r="172" spans="1:7" s="90" customFormat="1" ht="12">
      <c r="A172" s="142">
        <v>166</v>
      </c>
      <c r="B172" s="146" t="s">
        <v>119</v>
      </c>
      <c r="C172" s="89">
        <v>0</v>
      </c>
      <c r="D172" s="89">
        <f>SUM(D173:D184)</f>
        <v>0</v>
      </c>
      <c r="E172" s="89">
        <f>SUM(E173:E184)</f>
        <v>0</v>
      </c>
      <c r="F172" s="89">
        <f t="shared" si="12"/>
        <v>0</v>
      </c>
      <c r="G172" s="288"/>
    </row>
    <row r="173" spans="1:7" s="90" customFormat="1" ht="12">
      <c r="A173" s="142">
        <v>167</v>
      </c>
      <c r="B173" s="146" t="s">
        <v>120</v>
      </c>
      <c r="C173" s="89">
        <v>0</v>
      </c>
      <c r="D173" s="89">
        <v>0</v>
      </c>
      <c r="E173" s="89">
        <v>0</v>
      </c>
      <c r="F173" s="89">
        <f t="shared" si="12"/>
        <v>0</v>
      </c>
      <c r="G173" s="288"/>
    </row>
    <row r="174" spans="1:7" s="92" customFormat="1" ht="12.75">
      <c r="A174" s="142">
        <v>168</v>
      </c>
      <c r="B174" s="148" t="s">
        <v>121</v>
      </c>
      <c r="C174" s="91">
        <f>SUM(C175:C184)</f>
        <v>581341</v>
      </c>
      <c r="D174" s="91">
        <f>SUM(D175:D184)</f>
        <v>0</v>
      </c>
      <c r="E174" s="91">
        <f>SUM(E175:E184)</f>
        <v>0</v>
      </c>
      <c r="F174" s="91">
        <f>SUM(F175:F184)</f>
        <v>581341</v>
      </c>
      <c r="G174" s="294"/>
    </row>
    <row r="175" spans="1:7" s="90" customFormat="1" ht="12.75">
      <c r="A175" s="142">
        <v>169</v>
      </c>
      <c r="B175" s="146" t="s">
        <v>122</v>
      </c>
      <c r="C175" s="290">
        <v>0</v>
      </c>
      <c r="D175" s="290">
        <v>0</v>
      </c>
      <c r="E175" s="89">
        <v>0</v>
      </c>
      <c r="F175" s="89">
        <f aca="true" t="shared" si="13" ref="F175:F184">SUM(C175:E175)</f>
        <v>0</v>
      </c>
      <c r="G175" s="288"/>
    </row>
    <row r="176" spans="1:7" s="90" customFormat="1" ht="12.75">
      <c r="A176" s="142">
        <v>170</v>
      </c>
      <c r="B176" s="146" t="s">
        <v>123</v>
      </c>
      <c r="C176" s="290">
        <v>0</v>
      </c>
      <c r="D176" s="290">
        <v>0</v>
      </c>
      <c r="E176" s="89">
        <v>0</v>
      </c>
      <c r="F176" s="89">
        <f t="shared" si="13"/>
        <v>0</v>
      </c>
      <c r="G176" s="288"/>
    </row>
    <row r="177" spans="1:7" s="90" customFormat="1" ht="12.75">
      <c r="A177" s="142">
        <v>171</v>
      </c>
      <c r="B177" s="146" t="s">
        <v>124</v>
      </c>
      <c r="C177" s="290">
        <v>0</v>
      </c>
      <c r="D177" s="290">
        <v>0</v>
      </c>
      <c r="E177" s="89">
        <v>0</v>
      </c>
      <c r="F177" s="89">
        <f t="shared" si="13"/>
        <v>0</v>
      </c>
      <c r="G177" s="288"/>
    </row>
    <row r="178" spans="1:7" s="90" customFormat="1" ht="12.75">
      <c r="A178" s="142">
        <v>172</v>
      </c>
      <c r="B178" s="146" t="s">
        <v>125</v>
      </c>
      <c r="C178" s="290">
        <v>0</v>
      </c>
      <c r="D178" s="290">
        <v>0</v>
      </c>
      <c r="E178" s="89">
        <v>0</v>
      </c>
      <c r="F178" s="89">
        <f t="shared" si="13"/>
        <v>0</v>
      </c>
      <c r="G178" s="288"/>
    </row>
    <row r="179" spans="1:7" s="90" customFormat="1" ht="12.75">
      <c r="A179" s="142">
        <v>173</v>
      </c>
      <c r="B179" s="146" t="s">
        <v>126</v>
      </c>
      <c r="C179" s="290">
        <v>0</v>
      </c>
      <c r="D179" s="290">
        <v>0</v>
      </c>
      <c r="E179" s="89">
        <v>0</v>
      </c>
      <c r="F179" s="89">
        <f t="shared" si="13"/>
        <v>0</v>
      </c>
      <c r="G179" s="288"/>
    </row>
    <row r="180" spans="1:7" s="90" customFormat="1" ht="12.75">
      <c r="A180" s="142">
        <v>174</v>
      </c>
      <c r="B180" s="146" t="s">
        <v>127</v>
      </c>
      <c r="C180" s="290">
        <v>0</v>
      </c>
      <c r="D180" s="290">
        <v>0</v>
      </c>
      <c r="E180" s="89">
        <v>0</v>
      </c>
      <c r="F180" s="89">
        <f t="shared" si="13"/>
        <v>0</v>
      </c>
      <c r="G180" s="288"/>
    </row>
    <row r="181" spans="1:7" s="90" customFormat="1" ht="12.75">
      <c r="A181" s="142">
        <v>175</v>
      </c>
      <c r="B181" s="146" t="s">
        <v>128</v>
      </c>
      <c r="C181" s="290">
        <f>556341+25000</f>
        <v>581341</v>
      </c>
      <c r="D181" s="290">
        <v>0</v>
      </c>
      <c r="E181" s="89">
        <v>0</v>
      </c>
      <c r="F181" s="89">
        <f t="shared" si="13"/>
        <v>581341</v>
      </c>
      <c r="G181" s="288"/>
    </row>
    <row r="182" spans="1:7" s="90" customFormat="1" ht="12.75">
      <c r="A182" s="142">
        <v>176</v>
      </c>
      <c r="B182" s="146" t="s">
        <v>129</v>
      </c>
      <c r="C182" s="290">
        <v>0</v>
      </c>
      <c r="D182" s="290">
        <v>0</v>
      </c>
      <c r="E182" s="89">
        <v>0</v>
      </c>
      <c r="F182" s="89">
        <f t="shared" si="13"/>
        <v>0</v>
      </c>
      <c r="G182" s="288"/>
    </row>
    <row r="183" spans="1:7" s="90" customFormat="1" ht="12.75">
      <c r="A183" s="142">
        <v>177</v>
      </c>
      <c r="B183" s="146" t="s">
        <v>130</v>
      </c>
      <c r="C183" s="290">
        <v>0</v>
      </c>
      <c r="D183" s="290">
        <v>0</v>
      </c>
      <c r="E183" s="89">
        <v>0</v>
      </c>
      <c r="F183" s="89">
        <f t="shared" si="13"/>
        <v>0</v>
      </c>
      <c r="G183" s="288"/>
    </row>
    <row r="184" spans="1:7" s="90" customFormat="1" ht="12.75">
      <c r="A184" s="142">
        <v>178</v>
      </c>
      <c r="B184" s="146" t="s">
        <v>131</v>
      </c>
      <c r="C184" s="290">
        <v>0</v>
      </c>
      <c r="D184" s="290">
        <v>0</v>
      </c>
      <c r="E184" s="89">
        <v>0</v>
      </c>
      <c r="F184" s="89">
        <f t="shared" si="13"/>
        <v>0</v>
      </c>
      <c r="G184" s="288"/>
    </row>
    <row r="185" spans="1:7" s="88" customFormat="1" ht="36" customHeight="1">
      <c r="A185" s="142">
        <v>179</v>
      </c>
      <c r="B185" s="151" t="s">
        <v>916</v>
      </c>
      <c r="C185" s="100">
        <f>SUM(C186)</f>
        <v>111012</v>
      </c>
      <c r="D185" s="100">
        <f>SUM(D186)</f>
        <v>26144</v>
      </c>
      <c r="E185" s="100">
        <f>SUM(E186)</f>
        <v>12281</v>
      </c>
      <c r="F185" s="100">
        <f>SUM(F186)</f>
        <v>149437</v>
      </c>
      <c r="G185" s="99">
        <f>SUM(C185:E185)</f>
        <v>149437</v>
      </c>
    </row>
    <row r="186" spans="1:7" s="65" customFormat="1" ht="18" customHeight="1">
      <c r="A186" s="142">
        <v>180</v>
      </c>
      <c r="B186" s="144" t="s">
        <v>917</v>
      </c>
      <c r="C186" s="102">
        <f>SUM(C187:C188)</f>
        <v>111012</v>
      </c>
      <c r="D186" s="102">
        <f>SUM(D187:D188)</f>
        <v>26144</v>
      </c>
      <c r="E186" s="102">
        <f>SUM(E187:E188)</f>
        <v>12281</v>
      </c>
      <c r="F186" s="102">
        <f>SUM(F187:F188)</f>
        <v>149437</v>
      </c>
      <c r="G186" s="99">
        <f>SUM(C186:E186)</f>
        <v>149437</v>
      </c>
    </row>
    <row r="187" spans="1:7" s="61" customFormat="1" ht="14.25">
      <c r="A187" s="142">
        <v>181</v>
      </c>
      <c r="B187" s="150" t="s">
        <v>208</v>
      </c>
      <c r="C187" s="96">
        <f>85746+1427</f>
        <v>87173</v>
      </c>
      <c r="D187" s="96">
        <v>26144</v>
      </c>
      <c r="E187" s="95">
        <v>11862</v>
      </c>
      <c r="F187" s="95">
        <f>SUM(C187:E187)</f>
        <v>125179</v>
      </c>
      <c r="G187" s="99"/>
    </row>
    <row r="188" spans="1:7" s="61" customFormat="1" ht="14.25">
      <c r="A188" s="142">
        <v>182</v>
      </c>
      <c r="B188" s="150" t="s">
        <v>209</v>
      </c>
      <c r="C188" s="95">
        <f>11400+12439</f>
        <v>23839</v>
      </c>
      <c r="D188" s="95">
        <v>0</v>
      </c>
      <c r="E188" s="95">
        <v>419</v>
      </c>
      <c r="F188" s="95">
        <f>SUM(C188:E188)</f>
        <v>24258</v>
      </c>
      <c r="G188" s="99"/>
    </row>
    <row r="189" spans="1:7" s="88" customFormat="1" ht="57">
      <c r="A189" s="142">
        <v>183</v>
      </c>
      <c r="B189" s="151" t="s">
        <v>573</v>
      </c>
      <c r="C189" s="100">
        <f>SUM(C190,C193)</f>
        <v>0</v>
      </c>
      <c r="D189" s="100">
        <f>SUM(D190,D193)</f>
        <v>0</v>
      </c>
      <c r="E189" s="100">
        <f>SUM(E190,E193)</f>
        <v>0</v>
      </c>
      <c r="F189" s="100">
        <f>SUM(F190,F193)</f>
        <v>0</v>
      </c>
      <c r="G189" s="99">
        <f>SUM(C189:E189)</f>
        <v>0</v>
      </c>
    </row>
    <row r="190" spans="1:7" s="65" customFormat="1" ht="18" customHeight="1">
      <c r="A190" s="142">
        <v>184</v>
      </c>
      <c r="B190" s="144" t="s">
        <v>918</v>
      </c>
      <c r="C190" s="102">
        <f>SUM(C191:C192)</f>
        <v>0</v>
      </c>
      <c r="D190" s="102">
        <f>SUM(D191:D192)</f>
        <v>0</v>
      </c>
      <c r="E190" s="102">
        <f>SUM(E191:E192)</f>
        <v>0</v>
      </c>
      <c r="F190" s="102">
        <f>SUM(F191:F192)</f>
        <v>0</v>
      </c>
      <c r="G190" s="99">
        <f>SUM(C190:E190)</f>
        <v>0</v>
      </c>
    </row>
    <row r="191" spans="1:7" s="61" customFormat="1" ht="14.25">
      <c r="A191" s="142">
        <v>185</v>
      </c>
      <c r="B191" s="150" t="s">
        <v>211</v>
      </c>
      <c r="C191" s="96">
        <v>0</v>
      </c>
      <c r="D191" s="96">
        <v>0</v>
      </c>
      <c r="E191" s="95">
        <v>0</v>
      </c>
      <c r="F191" s="95">
        <f>SUM(C191:E191)</f>
        <v>0</v>
      </c>
      <c r="G191" s="99"/>
    </row>
    <row r="192" spans="1:7" s="61" customFormat="1" ht="14.25">
      <c r="A192" s="142">
        <v>186</v>
      </c>
      <c r="B192" s="150" t="s">
        <v>212</v>
      </c>
      <c r="C192" s="95">
        <v>0</v>
      </c>
      <c r="D192" s="95">
        <v>0</v>
      </c>
      <c r="E192" s="95">
        <v>0</v>
      </c>
      <c r="F192" s="95">
        <f>SUM(C192:E192)</f>
        <v>0</v>
      </c>
      <c r="G192" s="99"/>
    </row>
    <row r="193" spans="1:7" s="65" customFormat="1" ht="18" customHeight="1">
      <c r="A193" s="142">
        <v>187</v>
      </c>
      <c r="B193" s="144" t="s">
        <v>919</v>
      </c>
      <c r="C193" s="102">
        <f>SUM(C194:C195)</f>
        <v>0</v>
      </c>
      <c r="D193" s="102">
        <f>SUM(D194:D195)</f>
        <v>0</v>
      </c>
      <c r="E193" s="102">
        <f>SUM(E194:E195)</f>
        <v>0</v>
      </c>
      <c r="F193" s="102">
        <f>SUM(F194:F195)</f>
        <v>0</v>
      </c>
      <c r="G193" s="99">
        <f>SUM(C193:E193)</f>
        <v>0</v>
      </c>
    </row>
    <row r="194" spans="1:7" s="61" customFormat="1" ht="14.25">
      <c r="A194" s="142">
        <v>188</v>
      </c>
      <c r="B194" s="150" t="s">
        <v>290</v>
      </c>
      <c r="C194" s="95">
        <f>139060-139060</f>
        <v>0</v>
      </c>
      <c r="D194" s="95">
        <v>0</v>
      </c>
      <c r="E194" s="95">
        <v>0</v>
      </c>
      <c r="F194" s="95">
        <f>SUM(C194:E194)</f>
        <v>0</v>
      </c>
      <c r="G194" s="99"/>
    </row>
    <row r="195" spans="1:7" s="61" customFormat="1" ht="14.25">
      <c r="A195" s="142">
        <v>189</v>
      </c>
      <c r="B195" s="150" t="s">
        <v>223</v>
      </c>
      <c r="C195" s="95">
        <f>173314-163314-8775-1225</f>
        <v>0</v>
      </c>
      <c r="D195" s="95">
        <v>0</v>
      </c>
      <c r="E195" s="95">
        <v>0</v>
      </c>
      <c r="F195" s="95">
        <f>SUM(C195:E195)</f>
        <v>0</v>
      </c>
      <c r="G195" s="99"/>
    </row>
    <row r="196" spans="1:7" s="61" customFormat="1" ht="7.5" customHeight="1">
      <c r="A196" s="183"/>
      <c r="B196" s="156"/>
      <c r="C196" s="157"/>
      <c r="D196" s="157"/>
      <c r="E196" s="157"/>
      <c r="F196" s="157"/>
      <c r="G196" s="99"/>
    </row>
    <row r="197" spans="1:7" s="104" customFormat="1" ht="16.5">
      <c r="A197" s="142">
        <v>190</v>
      </c>
      <c r="B197" s="152" t="s">
        <v>291</v>
      </c>
      <c r="C197" s="153">
        <f>SUM(C7,C185,C189)</f>
        <v>6092733</v>
      </c>
      <c r="D197" s="153">
        <f>SUM(D7,D185,D189)</f>
        <v>28919</v>
      </c>
      <c r="E197" s="153">
        <f>SUM(E7,E185,E189)</f>
        <v>31668</v>
      </c>
      <c r="F197" s="153">
        <f>SUM(F7,F185,F189)</f>
        <v>6153320</v>
      </c>
      <c r="G197" s="99">
        <f>SUM(C197:E197)</f>
        <v>6153320</v>
      </c>
    </row>
    <row r="198" spans="1:6" ht="7.5" customHeight="1">
      <c r="A198" s="183"/>
      <c r="B198" s="154"/>
      <c r="C198" s="154"/>
      <c r="D198" s="154"/>
      <c r="E198" s="154"/>
      <c r="F198" s="155"/>
    </row>
    <row r="199" spans="1:6" ht="12">
      <c r="A199" s="308">
        <v>191</v>
      </c>
      <c r="B199" s="309" t="s">
        <v>574</v>
      </c>
      <c r="C199" s="310" t="s">
        <v>502</v>
      </c>
      <c r="D199" s="311">
        <f>348661-656-1009+2045+210-318+222-1334-21247-7657</f>
        <v>318917</v>
      </c>
      <c r="E199" s="311">
        <f>145733+4530+2000-48+4651+237+430+6051-3679</f>
        <v>159905</v>
      </c>
      <c r="F199" s="311">
        <f>SUM(D199:E199)</f>
        <v>478822</v>
      </c>
    </row>
  </sheetData>
  <sheetProtection/>
  <mergeCells count="1">
    <mergeCell ref="B2:F2"/>
  </mergeCells>
  <printOptions horizontalCentered="1"/>
  <pageMargins left="0.1968503937007874" right="0.1968503937007874" top="0.984251968503937" bottom="0.3937007874015748" header="0.1968503937007874" footer="0.1968503937007874"/>
  <pageSetup horizontalDpi="600" verticalDpi="600" orientation="portrait" paperSize="9" scale="80" r:id="rId1"/>
  <headerFooter alignWithMargins="0">
    <oddHeader>&amp;C&amp;P</oddHeader>
  </headerFooter>
  <rowBreaks count="1" manualBreakCount="1">
    <brk id="1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02">
      <selection activeCell="B2" sqref="B2"/>
    </sheetView>
  </sheetViews>
  <sheetFormatPr defaultColWidth="13.25390625" defaultRowHeight="12.75"/>
  <cols>
    <col min="1" max="1" width="4.625" style="603" customWidth="1"/>
    <col min="2" max="2" width="36.125" style="214" customWidth="1"/>
    <col min="3" max="3" width="15.00390625" style="214" customWidth="1"/>
    <col min="4" max="4" width="10.00390625" style="214" customWidth="1"/>
    <col min="5" max="5" width="11.875" style="214" customWidth="1"/>
    <col min="6" max="6" width="11.75390625" style="214" customWidth="1"/>
    <col min="7" max="7" width="11.25390625" style="214" customWidth="1"/>
    <col min="8" max="8" width="11.75390625" style="214" customWidth="1"/>
    <col min="9" max="9" width="15.375" style="214" customWidth="1"/>
    <col min="10" max="10" width="18.125" style="214" customWidth="1"/>
    <col min="11" max="11" width="9.25390625" style="214" customWidth="1"/>
    <col min="12" max="12" width="9.75390625" style="214" customWidth="1"/>
    <col min="13" max="13" width="7.875" style="214" customWidth="1"/>
    <col min="14" max="14" width="9.625" style="214" customWidth="1"/>
    <col min="15" max="15" width="15.875" style="214" customWidth="1"/>
    <col min="16" max="16" width="17.25390625" style="214" customWidth="1"/>
    <col min="17" max="16384" width="13.25390625" style="214" customWidth="1"/>
  </cols>
  <sheetData>
    <row r="1" spans="2:10" ht="15">
      <c r="B1" s="1128" t="s">
        <v>170</v>
      </c>
      <c r="C1" s="1128"/>
      <c r="D1" s="1128"/>
      <c r="E1" s="1128"/>
      <c r="F1" s="1128"/>
      <c r="G1" s="1128"/>
      <c r="H1" s="1128"/>
      <c r="I1" s="1128"/>
      <c r="J1" s="1128"/>
    </row>
    <row r="3" ht="27" customHeight="1"/>
    <row r="4" spans="2:10" ht="34.5" customHeight="1">
      <c r="B4" s="1129" t="s">
        <v>101</v>
      </c>
      <c r="C4" s="1129"/>
      <c r="D4" s="1129"/>
      <c r="E4" s="1129"/>
      <c r="F4" s="1129"/>
      <c r="G4" s="1129"/>
      <c r="H4" s="1129"/>
      <c r="I4" s="1129"/>
      <c r="J4" s="1129"/>
    </row>
    <row r="5" ht="6.75" customHeight="1" hidden="1" thickBot="1"/>
    <row r="6" ht="12.75" customHeight="1"/>
    <row r="7" ht="12.75" customHeight="1" thickBot="1"/>
    <row r="8" spans="1:10" ht="12.75" customHeight="1">
      <c r="A8" s="1143" t="s">
        <v>483</v>
      </c>
      <c r="B8" s="1130" t="s">
        <v>300</v>
      </c>
      <c r="C8" s="1133" t="s">
        <v>369</v>
      </c>
      <c r="D8" s="1134"/>
      <c r="E8" s="1134"/>
      <c r="F8" s="1134"/>
      <c r="G8" s="1134"/>
      <c r="H8" s="1135"/>
      <c r="I8" s="1136" t="s">
        <v>555</v>
      </c>
      <c r="J8" s="1136" t="s">
        <v>556</v>
      </c>
    </row>
    <row r="9" spans="1:16" s="215" customFormat="1" ht="12.75" customHeight="1">
      <c r="A9" s="1144"/>
      <c r="B9" s="1131"/>
      <c r="C9" s="1139" t="s">
        <v>439</v>
      </c>
      <c r="D9" s="1140" t="s">
        <v>358</v>
      </c>
      <c r="E9" s="1141"/>
      <c r="F9" s="1141"/>
      <c r="G9" s="1141"/>
      <c r="H9" s="1142"/>
      <c r="I9" s="1137"/>
      <c r="J9" s="1137"/>
      <c r="K9" s="214"/>
      <c r="L9" s="214"/>
      <c r="M9" s="214"/>
      <c r="N9" s="214"/>
      <c r="O9" s="214"/>
      <c r="P9" s="214"/>
    </row>
    <row r="10" spans="1:10" ht="59.25" customHeight="1">
      <c r="A10" s="1145"/>
      <c r="B10" s="1132"/>
      <c r="C10" s="1139"/>
      <c r="D10" s="627" t="s">
        <v>503</v>
      </c>
      <c r="E10" s="627" t="s">
        <v>499</v>
      </c>
      <c r="F10" s="627" t="s">
        <v>504</v>
      </c>
      <c r="G10" s="627" t="s">
        <v>505</v>
      </c>
      <c r="H10" s="644" t="s">
        <v>508</v>
      </c>
      <c r="I10" s="1138"/>
      <c r="J10" s="1138"/>
    </row>
    <row r="11" spans="1:10" ht="19.5" customHeight="1" thickBot="1">
      <c r="A11" s="610" t="s">
        <v>477</v>
      </c>
      <c r="B11" s="628" t="s">
        <v>478</v>
      </c>
      <c r="C11" s="643" t="s">
        <v>479</v>
      </c>
      <c r="D11" s="630" t="s">
        <v>480</v>
      </c>
      <c r="E11" s="629" t="s">
        <v>481</v>
      </c>
      <c r="F11" s="629" t="s">
        <v>482</v>
      </c>
      <c r="G11" s="629" t="s">
        <v>485</v>
      </c>
      <c r="H11" s="629" t="s">
        <v>486</v>
      </c>
      <c r="I11" s="645" t="s">
        <v>402</v>
      </c>
      <c r="J11" s="673" t="s">
        <v>403</v>
      </c>
    </row>
    <row r="12" spans="1:10" ht="29.25" customHeight="1" thickBot="1" thickTop="1">
      <c r="A12" s="626">
        <v>1</v>
      </c>
      <c r="B12" s="1120" t="s">
        <v>50</v>
      </c>
      <c r="C12" s="1121"/>
      <c r="D12" s="1121"/>
      <c r="E12" s="1121"/>
      <c r="F12" s="1121"/>
      <c r="G12" s="1121"/>
      <c r="H12" s="1121"/>
      <c r="I12" s="1121"/>
      <c r="J12" s="1122"/>
    </row>
    <row r="13" spans="1:10" ht="16.5" thickBot="1" thickTop="1">
      <c r="A13" s="606">
        <v>2</v>
      </c>
      <c r="B13" s="1117" t="s">
        <v>359</v>
      </c>
      <c r="C13" s="1118"/>
      <c r="D13" s="1118"/>
      <c r="E13" s="1118"/>
      <c r="F13" s="1118"/>
      <c r="G13" s="1118"/>
      <c r="H13" s="1118"/>
      <c r="I13" s="1119"/>
      <c r="J13" s="674"/>
    </row>
    <row r="14" spans="1:10" ht="14.25" customHeight="1">
      <c r="A14" s="604">
        <v>3</v>
      </c>
      <c r="B14" s="620" t="s">
        <v>360</v>
      </c>
      <c r="C14" s="591">
        <v>11369</v>
      </c>
      <c r="D14" s="592"/>
      <c r="E14" s="593">
        <v>511</v>
      </c>
      <c r="F14" s="593">
        <v>10858</v>
      </c>
      <c r="G14" s="593"/>
      <c r="H14" s="593"/>
      <c r="I14" s="594">
        <f>14005+532+9307+16</f>
        <v>23860</v>
      </c>
      <c r="J14" s="594">
        <v>0</v>
      </c>
    </row>
    <row r="15" spans="1:10" ht="14.25" customHeight="1" thickBot="1">
      <c r="A15" s="604">
        <v>4</v>
      </c>
      <c r="B15" s="618" t="s">
        <v>361</v>
      </c>
      <c r="C15" s="595">
        <v>64426</v>
      </c>
      <c r="D15" s="596"/>
      <c r="E15" s="597">
        <v>2896</v>
      </c>
      <c r="F15" s="597">
        <v>61530</v>
      </c>
      <c r="G15" s="597"/>
      <c r="H15" s="597"/>
      <c r="I15" s="598">
        <v>64426</v>
      </c>
      <c r="J15" s="598"/>
    </row>
    <row r="16" spans="1:10" ht="14.25" customHeight="1" thickBot="1">
      <c r="A16" s="604">
        <v>5</v>
      </c>
      <c r="B16" s="638" t="s">
        <v>362</v>
      </c>
      <c r="C16" s="639">
        <f>SUM(H16+G16+F16+E16+D16)</f>
        <v>75795</v>
      </c>
      <c r="D16" s="640">
        <f aca="true" t="shared" si="0" ref="D16:J16">SUM(D14+D15)</f>
        <v>0</v>
      </c>
      <c r="E16" s="640">
        <f t="shared" si="0"/>
        <v>3407</v>
      </c>
      <c r="F16" s="640">
        <f t="shared" si="0"/>
        <v>72388</v>
      </c>
      <c r="G16" s="640">
        <f t="shared" si="0"/>
        <v>0</v>
      </c>
      <c r="H16" s="641">
        <f t="shared" si="0"/>
        <v>0</v>
      </c>
      <c r="I16" s="642">
        <f t="shared" si="0"/>
        <v>88286</v>
      </c>
      <c r="J16" s="675">
        <f t="shared" si="0"/>
        <v>0</v>
      </c>
    </row>
    <row r="17" spans="1:10" ht="6" customHeight="1" thickBot="1">
      <c r="A17" s="604"/>
      <c r="B17" s="1112"/>
      <c r="C17" s="1146"/>
      <c r="D17" s="1113"/>
      <c r="E17" s="1113"/>
      <c r="F17" s="1113"/>
      <c r="G17" s="1113"/>
      <c r="H17" s="1113"/>
      <c r="I17" s="1147"/>
      <c r="J17" s="674"/>
    </row>
    <row r="18" spans="1:10" ht="14.25" customHeight="1">
      <c r="A18" s="609">
        <v>6</v>
      </c>
      <c r="B18" s="611" t="s">
        <v>552</v>
      </c>
      <c r="C18" s="591">
        <f>SUM(D18:H18)</f>
        <v>72182</v>
      </c>
      <c r="D18" s="612"/>
      <c r="E18" s="597">
        <v>3407</v>
      </c>
      <c r="F18" s="597">
        <v>68775</v>
      </c>
      <c r="G18" s="612"/>
      <c r="H18" s="612"/>
      <c r="I18" s="594"/>
      <c r="J18" s="594">
        <v>80294</v>
      </c>
    </row>
    <row r="19" spans="1:10" ht="14.25" customHeight="1">
      <c r="A19" s="609">
        <v>7</v>
      </c>
      <c r="B19" s="611" t="s">
        <v>553</v>
      </c>
      <c r="C19" s="595">
        <f>SUM(D19:H19)</f>
        <v>0</v>
      </c>
      <c r="D19" s="612"/>
      <c r="E19" s="612"/>
      <c r="F19" s="612"/>
      <c r="G19" s="612"/>
      <c r="H19" s="612"/>
      <c r="I19" s="649"/>
      <c r="J19" s="649">
        <v>2024</v>
      </c>
    </row>
    <row r="20" spans="1:10" ht="14.25" customHeight="1">
      <c r="A20" s="609">
        <v>8</v>
      </c>
      <c r="B20" s="622" t="s">
        <v>558</v>
      </c>
      <c r="C20" s="595">
        <f>SUM(D20:H20)</f>
        <v>3613</v>
      </c>
      <c r="D20" s="656"/>
      <c r="E20" s="656"/>
      <c r="F20" s="597">
        <v>3613</v>
      </c>
      <c r="G20" s="656"/>
      <c r="H20" s="656"/>
      <c r="I20" s="657"/>
      <c r="J20" s="657">
        <v>5926</v>
      </c>
    </row>
    <row r="21" spans="1:10" ht="14.25" customHeight="1" thickBot="1">
      <c r="A21" s="609">
        <v>9</v>
      </c>
      <c r="B21" s="622" t="s">
        <v>554</v>
      </c>
      <c r="C21" s="665">
        <f>SUM(D21:H21)</f>
        <v>0</v>
      </c>
      <c r="D21" s="624"/>
      <c r="E21" s="624"/>
      <c r="F21" s="624"/>
      <c r="G21" s="624"/>
      <c r="H21" s="624"/>
      <c r="I21" s="602"/>
      <c r="J21" s="602">
        <f>26+16</f>
        <v>42</v>
      </c>
    </row>
    <row r="22" spans="1:16" s="216" customFormat="1" ht="14.25" customHeight="1" thickBot="1">
      <c r="A22" s="607">
        <v>10</v>
      </c>
      <c r="B22" s="632" t="s">
        <v>324</v>
      </c>
      <c r="C22" s="633">
        <f>SUM(C18:C21)</f>
        <v>75795</v>
      </c>
      <c r="D22" s="631">
        <v>0</v>
      </c>
      <c r="E22" s="631">
        <f>SUM(E18:E21)</f>
        <v>3407</v>
      </c>
      <c r="F22" s="631">
        <f>SUM(F18:F21)</f>
        <v>72388</v>
      </c>
      <c r="G22" s="631">
        <v>0</v>
      </c>
      <c r="H22" s="631">
        <v>0</v>
      </c>
      <c r="I22" s="654">
        <f>SUM(I18:I21)</f>
        <v>0</v>
      </c>
      <c r="J22" s="634">
        <f>SUM(J18:J21)</f>
        <v>88286</v>
      </c>
      <c r="K22" s="214"/>
      <c r="L22" s="214"/>
      <c r="M22" s="214"/>
      <c r="N22" s="214"/>
      <c r="O22" s="214"/>
      <c r="P22" s="214"/>
    </row>
    <row r="23" spans="1:16" s="216" customFormat="1" ht="14.25" thickBot="1" thickTop="1">
      <c r="A23" s="616"/>
      <c r="B23" s="1123"/>
      <c r="C23" s="1124"/>
      <c r="D23" s="1124"/>
      <c r="E23" s="1124"/>
      <c r="F23" s="1124"/>
      <c r="G23" s="1124"/>
      <c r="H23" s="1124"/>
      <c r="I23" s="1124"/>
      <c r="J23" s="1125"/>
      <c r="K23" s="214"/>
      <c r="L23" s="214"/>
      <c r="M23" s="214"/>
      <c r="N23" s="214"/>
      <c r="O23" s="214"/>
      <c r="P23" s="214"/>
    </row>
    <row r="24" spans="1:10" ht="16.5" thickBot="1" thickTop="1">
      <c r="A24" s="625">
        <v>11</v>
      </c>
      <c r="B24" s="1117" t="s">
        <v>363</v>
      </c>
      <c r="C24" s="1118"/>
      <c r="D24" s="1118"/>
      <c r="E24" s="1118"/>
      <c r="F24" s="1118"/>
      <c r="G24" s="1118"/>
      <c r="H24" s="1118"/>
      <c r="I24" s="1119"/>
      <c r="J24" s="676"/>
    </row>
    <row r="25" spans="1:10" ht="14.25" customHeight="1">
      <c r="A25" s="604">
        <v>12</v>
      </c>
      <c r="B25" s="620" t="s">
        <v>364</v>
      </c>
      <c r="C25" s="671">
        <f>SUM(H25+G25+F25+E25+D25)</f>
        <v>556341</v>
      </c>
      <c r="D25" s="592"/>
      <c r="E25" s="593">
        <v>139387</v>
      </c>
      <c r="F25" s="593">
        <v>272571</v>
      </c>
      <c r="G25" s="593">
        <v>144383</v>
      </c>
      <c r="H25" s="593"/>
      <c r="I25" s="594">
        <f>581341+26+17</f>
        <v>581384</v>
      </c>
      <c r="J25" s="594">
        <v>0</v>
      </c>
    </row>
    <row r="26" spans="1:16" s="216" customFormat="1" ht="14.25" customHeight="1">
      <c r="A26" s="605">
        <v>13</v>
      </c>
      <c r="B26" s="618" t="s">
        <v>365</v>
      </c>
      <c r="C26" s="672">
        <f>SUM(H26+G26+F26+E26+D26)</f>
        <v>2481729</v>
      </c>
      <c r="D26" s="596"/>
      <c r="E26" s="597">
        <v>621776</v>
      </c>
      <c r="F26" s="597">
        <v>1215886</v>
      </c>
      <c r="G26" s="597">
        <v>644067</v>
      </c>
      <c r="H26" s="597"/>
      <c r="I26" s="598">
        <v>2481729</v>
      </c>
      <c r="J26" s="598"/>
      <c r="K26" s="214"/>
      <c r="L26" s="214"/>
      <c r="M26" s="214"/>
      <c r="N26" s="214"/>
      <c r="O26" s="214"/>
      <c r="P26" s="214"/>
    </row>
    <row r="27" spans="1:10" ht="14.25" customHeight="1" thickBot="1">
      <c r="A27" s="604">
        <v>14</v>
      </c>
      <c r="B27" s="618" t="s">
        <v>366</v>
      </c>
      <c r="C27" s="599"/>
      <c r="D27" s="600"/>
      <c r="E27" s="600"/>
      <c r="F27" s="600"/>
      <c r="G27" s="600"/>
      <c r="H27" s="600"/>
      <c r="I27" s="601">
        <v>827029</v>
      </c>
      <c r="J27" s="602"/>
    </row>
    <row r="28" spans="1:10" ht="14.25" customHeight="1" thickBot="1">
      <c r="A28" s="604">
        <v>15</v>
      </c>
      <c r="B28" s="638" t="s">
        <v>362</v>
      </c>
      <c r="C28" s="639">
        <f>SUM(C25:C27)</f>
        <v>3038070</v>
      </c>
      <c r="D28" s="640">
        <f>SUM(D25:D26)</f>
        <v>0</v>
      </c>
      <c r="E28" s="640">
        <f>SUM(E25:E26)</f>
        <v>761163</v>
      </c>
      <c r="F28" s="640">
        <f>SUM(F25:F26)</f>
        <v>1488457</v>
      </c>
      <c r="G28" s="640">
        <f>SUM(G25:G26)</f>
        <v>788450</v>
      </c>
      <c r="H28" s="641">
        <f>SUM(H25:H26)</f>
        <v>0</v>
      </c>
      <c r="I28" s="642">
        <f>SUM(I25:I27)</f>
        <v>3890142</v>
      </c>
      <c r="J28" s="675">
        <f>SUM(J25:J27)</f>
        <v>0</v>
      </c>
    </row>
    <row r="29" spans="1:16" s="215" customFormat="1" ht="6" customHeight="1" thickBot="1">
      <c r="A29" s="604"/>
      <c r="B29" s="1114"/>
      <c r="C29" s="1115"/>
      <c r="D29" s="1115"/>
      <c r="E29" s="1115"/>
      <c r="F29" s="1115"/>
      <c r="G29" s="1115"/>
      <c r="H29" s="1115"/>
      <c r="I29" s="1116"/>
      <c r="J29" s="674"/>
      <c r="K29" s="214"/>
      <c r="L29" s="214"/>
      <c r="M29" s="214"/>
      <c r="N29" s="214"/>
      <c r="O29" s="214"/>
      <c r="P29" s="214"/>
    </row>
    <row r="30" spans="1:16" s="215" customFormat="1" ht="15" customHeight="1">
      <c r="A30" s="609">
        <v>16</v>
      </c>
      <c r="B30" s="619" t="s">
        <v>552</v>
      </c>
      <c r="C30" s="591">
        <f>SUM(D30:H30)</f>
        <v>3038070</v>
      </c>
      <c r="D30" s="615"/>
      <c r="E30" s="593">
        <v>761163</v>
      </c>
      <c r="F30" s="593">
        <v>1488457</v>
      </c>
      <c r="G30" s="593">
        <v>788450</v>
      </c>
      <c r="H30" s="666"/>
      <c r="I30" s="594"/>
      <c r="J30" s="594">
        <v>3038070</v>
      </c>
      <c r="K30" s="214"/>
      <c r="L30" s="214"/>
      <c r="M30" s="214"/>
      <c r="N30" s="214"/>
      <c r="O30" s="214"/>
      <c r="P30" s="214"/>
    </row>
    <row r="31" spans="1:16" s="215" customFormat="1" ht="15" customHeight="1">
      <c r="A31" s="609">
        <v>17</v>
      </c>
      <c r="B31" s="655" t="s">
        <v>553</v>
      </c>
      <c r="C31" s="595"/>
      <c r="D31" s="614"/>
      <c r="E31" s="614"/>
      <c r="F31" s="614"/>
      <c r="G31" s="614"/>
      <c r="H31" s="667"/>
      <c r="I31" s="598"/>
      <c r="J31" s="598">
        <v>852029</v>
      </c>
      <c r="K31" s="214"/>
      <c r="L31" s="214"/>
      <c r="M31" s="214"/>
      <c r="N31" s="214"/>
      <c r="O31" s="214"/>
      <c r="P31" s="214"/>
    </row>
    <row r="32" spans="1:16" s="215" customFormat="1" ht="15" customHeight="1">
      <c r="A32" s="609">
        <v>18</v>
      </c>
      <c r="B32" s="622" t="s">
        <v>558</v>
      </c>
      <c r="C32" s="595"/>
      <c r="D32" s="614"/>
      <c r="E32" s="614"/>
      <c r="F32" s="614"/>
      <c r="G32" s="614"/>
      <c r="H32" s="667"/>
      <c r="I32" s="598"/>
      <c r="J32" s="598"/>
      <c r="K32" s="214"/>
      <c r="L32" s="214"/>
      <c r="M32" s="214"/>
      <c r="N32" s="214"/>
      <c r="O32" s="214"/>
      <c r="P32" s="214"/>
    </row>
    <row r="33" spans="1:10" ht="14.25" customHeight="1" thickBot="1">
      <c r="A33" s="609">
        <v>19</v>
      </c>
      <c r="B33" s="622" t="s">
        <v>554</v>
      </c>
      <c r="C33" s="665"/>
      <c r="D33" s="668"/>
      <c r="E33" s="668"/>
      <c r="F33" s="668"/>
      <c r="G33" s="668"/>
      <c r="H33" s="669"/>
      <c r="I33" s="670"/>
      <c r="J33" s="598">
        <v>43</v>
      </c>
    </row>
    <row r="34" spans="1:10" ht="14.25" customHeight="1" thickBot="1">
      <c r="A34" s="608">
        <v>20</v>
      </c>
      <c r="B34" s="635" t="s">
        <v>324</v>
      </c>
      <c r="C34" s="633">
        <f>SUM(H34+G34+F34+E34+D34)</f>
        <v>3038070</v>
      </c>
      <c r="D34" s="631">
        <v>0</v>
      </c>
      <c r="E34" s="631">
        <v>761163</v>
      </c>
      <c r="F34" s="631">
        <v>1488457</v>
      </c>
      <c r="G34" s="631">
        <v>788450</v>
      </c>
      <c r="H34" s="631">
        <v>0</v>
      </c>
      <c r="I34" s="633">
        <f>SUM(I33)</f>
        <v>0</v>
      </c>
      <c r="J34" s="634">
        <f>SUM(J30:J33)</f>
        <v>3890142</v>
      </c>
    </row>
    <row r="35" spans="1:10" ht="14.25" thickBot="1" thickTop="1">
      <c r="A35" s="617"/>
      <c r="B35" s="1123"/>
      <c r="C35" s="1124"/>
      <c r="D35" s="1124"/>
      <c r="E35" s="1124"/>
      <c r="F35" s="1124"/>
      <c r="G35" s="1124"/>
      <c r="H35" s="1124"/>
      <c r="I35" s="1124"/>
      <c r="J35" s="1125"/>
    </row>
    <row r="36" spans="1:10" ht="16.5" thickBot="1" thickTop="1">
      <c r="A36" s="625">
        <v>21</v>
      </c>
      <c r="B36" s="1109" t="s">
        <v>367</v>
      </c>
      <c r="C36" s="1110"/>
      <c r="D36" s="1110"/>
      <c r="E36" s="1110"/>
      <c r="F36" s="1110"/>
      <c r="G36" s="1110"/>
      <c r="H36" s="1110"/>
      <c r="I36" s="1111"/>
      <c r="J36" s="676"/>
    </row>
    <row r="37" spans="1:10" ht="14.25" customHeight="1">
      <c r="A37" s="604">
        <v>22</v>
      </c>
      <c r="B37" s="618" t="s">
        <v>360</v>
      </c>
      <c r="C37" s="591">
        <v>4398</v>
      </c>
      <c r="D37" s="592">
        <v>279</v>
      </c>
      <c r="E37" s="593">
        <v>4103</v>
      </c>
      <c r="F37" s="593">
        <v>16</v>
      </c>
      <c r="G37" s="593"/>
      <c r="H37" s="593"/>
      <c r="I37" s="594"/>
      <c r="J37" s="594"/>
    </row>
    <row r="38" spans="1:16" s="215" customFormat="1" ht="15.75" customHeight="1">
      <c r="A38" s="604">
        <v>23</v>
      </c>
      <c r="B38" s="618" t="s">
        <v>468</v>
      </c>
      <c r="C38" s="595"/>
      <c r="D38" s="596"/>
      <c r="E38" s="597"/>
      <c r="F38" s="597"/>
      <c r="G38" s="597"/>
      <c r="H38" s="597"/>
      <c r="I38" s="598">
        <f>1941+1</f>
        <v>1942</v>
      </c>
      <c r="J38" s="677"/>
      <c r="K38" s="214"/>
      <c r="L38" s="214"/>
      <c r="M38" s="214"/>
      <c r="N38" s="214"/>
      <c r="O38" s="214"/>
      <c r="P38" s="214"/>
    </row>
    <row r="39" spans="1:16" s="215" customFormat="1" ht="14.25" customHeight="1" thickBot="1">
      <c r="A39" s="604">
        <v>24</v>
      </c>
      <c r="B39" s="618" t="s">
        <v>361</v>
      </c>
      <c r="C39" s="595">
        <v>83563</v>
      </c>
      <c r="D39" s="596">
        <v>5300</v>
      </c>
      <c r="E39" s="597">
        <v>77966</v>
      </c>
      <c r="F39" s="597">
        <v>297</v>
      </c>
      <c r="G39" s="597"/>
      <c r="H39" s="597"/>
      <c r="I39" s="598"/>
      <c r="J39" s="598"/>
      <c r="K39" s="214"/>
      <c r="L39" s="214"/>
      <c r="M39" s="214"/>
      <c r="N39" s="214"/>
      <c r="O39" s="214"/>
      <c r="P39" s="214"/>
    </row>
    <row r="40" spans="1:10" ht="13.5" thickBot="1">
      <c r="A40" s="604">
        <v>25</v>
      </c>
      <c r="B40" s="638" t="s">
        <v>362</v>
      </c>
      <c r="C40" s="639">
        <f>SUM(H40+G40+F40+E40+D40)</f>
        <v>87961</v>
      </c>
      <c r="D40" s="640">
        <f>SUM(D37:D39)</f>
        <v>5579</v>
      </c>
      <c r="E40" s="640">
        <f>SUM(E37:E39)</f>
        <v>82069</v>
      </c>
      <c r="F40" s="640">
        <f>SUM(F37:F39)</f>
        <v>313</v>
      </c>
      <c r="G40" s="640">
        <f>SUM(G37:G39)</f>
        <v>0</v>
      </c>
      <c r="H40" s="641">
        <f>SUM(H37:H39)</f>
        <v>0</v>
      </c>
      <c r="I40" s="642">
        <f>SUM(I37+I38+I39)</f>
        <v>1942</v>
      </c>
      <c r="J40" s="675">
        <f>SUM(J37+J38+J39)</f>
        <v>0</v>
      </c>
    </row>
    <row r="41" spans="1:10" ht="5.25" customHeight="1" thickBot="1">
      <c r="A41" s="604"/>
      <c r="B41" s="1114"/>
      <c r="C41" s="1115"/>
      <c r="D41" s="1115"/>
      <c r="E41" s="1115"/>
      <c r="F41" s="1115"/>
      <c r="G41" s="1115"/>
      <c r="H41" s="1115"/>
      <c r="I41" s="1116"/>
      <c r="J41" s="674"/>
    </row>
    <row r="42" spans="1:10" ht="13.5" thickBot="1">
      <c r="A42" s="608">
        <v>26</v>
      </c>
      <c r="B42" s="635" t="s">
        <v>324</v>
      </c>
      <c r="C42" s="633">
        <f>SUM(H42+G42+F42+E42+D42)</f>
        <v>87961</v>
      </c>
      <c r="D42" s="631">
        <v>5579</v>
      </c>
      <c r="E42" s="631">
        <v>82069</v>
      </c>
      <c r="F42" s="631">
        <v>313</v>
      </c>
      <c r="G42" s="631">
        <v>0</v>
      </c>
      <c r="H42" s="631">
        <v>0</v>
      </c>
      <c r="I42" s="633">
        <v>0</v>
      </c>
      <c r="J42" s="634">
        <v>0</v>
      </c>
    </row>
    <row r="43" spans="1:10" ht="14.25" thickBot="1" thickTop="1">
      <c r="A43" s="617"/>
      <c r="B43" s="1123"/>
      <c r="C43" s="1124"/>
      <c r="D43" s="1124"/>
      <c r="E43" s="1124"/>
      <c r="F43" s="1124"/>
      <c r="G43" s="1124"/>
      <c r="H43" s="1124"/>
      <c r="I43" s="1124"/>
      <c r="J43" s="1125"/>
    </row>
    <row r="44" spans="1:10" ht="16.5" thickBot="1" thickTop="1">
      <c r="A44" s="625">
        <v>27</v>
      </c>
      <c r="B44" s="1117" t="s">
        <v>368</v>
      </c>
      <c r="C44" s="1118"/>
      <c r="D44" s="1118"/>
      <c r="E44" s="1118"/>
      <c r="F44" s="1118"/>
      <c r="G44" s="1118"/>
      <c r="H44" s="1118"/>
      <c r="I44" s="1119"/>
      <c r="J44" s="678"/>
    </row>
    <row r="45" spans="1:10" ht="14.25" customHeight="1">
      <c r="A45" s="604">
        <v>28</v>
      </c>
      <c r="B45" s="620" t="s">
        <v>360</v>
      </c>
      <c r="C45" s="591">
        <v>6991</v>
      </c>
      <c r="D45" s="592"/>
      <c r="E45" s="593">
        <v>6991</v>
      </c>
      <c r="F45" s="593"/>
      <c r="G45" s="593"/>
      <c r="H45" s="593"/>
      <c r="I45" s="594"/>
      <c r="J45" s="594"/>
    </row>
    <row r="46" spans="1:16" s="216" customFormat="1" ht="14.25" customHeight="1" thickBot="1">
      <c r="A46" s="605">
        <v>29</v>
      </c>
      <c r="B46" s="618" t="s">
        <v>361</v>
      </c>
      <c r="C46" s="595">
        <v>39615</v>
      </c>
      <c r="D46" s="596"/>
      <c r="E46" s="597">
        <v>39615</v>
      </c>
      <c r="F46" s="597"/>
      <c r="G46" s="597"/>
      <c r="H46" s="597"/>
      <c r="I46" s="598">
        <f>29711-1371</f>
        <v>28340</v>
      </c>
      <c r="J46" s="598"/>
      <c r="K46" s="214"/>
      <c r="L46" s="214"/>
      <c r="M46" s="214"/>
      <c r="N46" s="214"/>
      <c r="O46" s="214"/>
      <c r="P46" s="214"/>
    </row>
    <row r="47" spans="1:10" ht="13.5" thickBot="1">
      <c r="A47" s="604">
        <v>30</v>
      </c>
      <c r="B47" s="638" t="s">
        <v>362</v>
      </c>
      <c r="C47" s="639">
        <f>SUM(H47+G47+F47+E47+D47)</f>
        <v>46606</v>
      </c>
      <c r="D47" s="640">
        <f aca="true" t="shared" si="1" ref="D47:J47">SUM(D45:D46)</f>
        <v>0</v>
      </c>
      <c r="E47" s="640">
        <f t="shared" si="1"/>
        <v>46606</v>
      </c>
      <c r="F47" s="640">
        <f t="shared" si="1"/>
        <v>0</v>
      </c>
      <c r="G47" s="640">
        <f t="shared" si="1"/>
        <v>0</v>
      </c>
      <c r="H47" s="641">
        <f t="shared" si="1"/>
        <v>0</v>
      </c>
      <c r="I47" s="642">
        <f t="shared" si="1"/>
        <v>28340</v>
      </c>
      <c r="J47" s="675">
        <f t="shared" si="1"/>
        <v>0</v>
      </c>
    </row>
    <row r="48" spans="1:10" ht="6" customHeight="1" thickBot="1">
      <c r="A48" s="604"/>
      <c r="B48" s="1112"/>
      <c r="C48" s="1113"/>
      <c r="D48" s="1113"/>
      <c r="E48" s="1113"/>
      <c r="F48" s="1113"/>
      <c r="G48" s="1113"/>
      <c r="H48" s="1113"/>
      <c r="I48" s="1113"/>
      <c r="J48" s="674"/>
    </row>
    <row r="49" spans="1:10" ht="13.5" thickBot="1">
      <c r="A49" s="608">
        <v>31</v>
      </c>
      <c r="B49" s="632" t="s">
        <v>324</v>
      </c>
      <c r="C49" s="633">
        <v>46606</v>
      </c>
      <c r="D49" s="631">
        <v>0</v>
      </c>
      <c r="E49" s="631">
        <v>46606</v>
      </c>
      <c r="F49" s="631">
        <v>0</v>
      </c>
      <c r="G49" s="631">
        <v>0</v>
      </c>
      <c r="H49" s="631">
        <v>0</v>
      </c>
      <c r="I49" s="634">
        <v>0</v>
      </c>
      <c r="J49" s="634">
        <v>0</v>
      </c>
    </row>
    <row r="50" spans="1:10" ht="14.25" thickBot="1" thickTop="1">
      <c r="A50" s="617"/>
      <c r="B50" s="646"/>
      <c r="C50" s="647"/>
      <c r="D50" s="648"/>
      <c r="E50" s="648"/>
      <c r="F50" s="648"/>
      <c r="G50" s="648"/>
      <c r="H50" s="648"/>
      <c r="I50" s="647"/>
      <c r="J50" s="679"/>
    </row>
    <row r="51" spans="1:10" ht="16.5" thickBot="1" thickTop="1">
      <c r="A51" s="625">
        <v>32</v>
      </c>
      <c r="B51" s="653" t="s">
        <v>51</v>
      </c>
      <c r="C51" s="650"/>
      <c r="D51" s="650"/>
      <c r="E51" s="650"/>
      <c r="F51" s="650"/>
      <c r="G51" s="650"/>
      <c r="H51" s="650"/>
      <c r="I51" s="651"/>
      <c r="J51" s="676"/>
    </row>
    <row r="52" spans="1:10" ht="14.25" customHeight="1">
      <c r="A52" s="604">
        <v>33</v>
      </c>
      <c r="B52" s="652" t="s">
        <v>360</v>
      </c>
      <c r="C52" s="591">
        <f>SUM(D52:H52)</f>
        <v>14723</v>
      </c>
      <c r="D52" s="592">
        <v>219</v>
      </c>
      <c r="E52" s="593">
        <v>14504</v>
      </c>
      <c r="F52" s="593"/>
      <c r="G52" s="593"/>
      <c r="H52" s="593"/>
      <c r="I52" s="594"/>
      <c r="J52" s="594"/>
    </row>
    <row r="53" spans="1:16" s="215" customFormat="1" ht="15.75" customHeight="1">
      <c r="A53" s="604">
        <v>34</v>
      </c>
      <c r="B53" s="618" t="s">
        <v>468</v>
      </c>
      <c r="C53" s="595">
        <f>SUM(D53:H53)</f>
        <v>0</v>
      </c>
      <c r="D53" s="596"/>
      <c r="E53" s="597"/>
      <c r="F53" s="597"/>
      <c r="G53" s="597"/>
      <c r="H53" s="597"/>
      <c r="I53" s="598">
        <v>324</v>
      </c>
      <c r="J53" s="677"/>
      <c r="K53" s="214"/>
      <c r="L53" s="214"/>
      <c r="M53" s="214"/>
      <c r="N53" s="214"/>
      <c r="O53" s="214"/>
      <c r="P53" s="214"/>
    </row>
    <row r="54" spans="1:16" s="215" customFormat="1" ht="14.25" customHeight="1" thickBot="1">
      <c r="A54" s="604">
        <v>35</v>
      </c>
      <c r="B54" s="618" t="s">
        <v>361</v>
      </c>
      <c r="C54" s="665">
        <f>SUM(D54:H54)</f>
        <v>279727</v>
      </c>
      <c r="D54" s="596">
        <v>4156</v>
      </c>
      <c r="E54" s="597">
        <v>275571</v>
      </c>
      <c r="F54" s="597"/>
      <c r="G54" s="597"/>
      <c r="H54" s="597"/>
      <c r="I54" s="598"/>
      <c r="J54" s="598"/>
      <c r="K54" s="214"/>
      <c r="L54" s="214"/>
      <c r="M54" s="214"/>
      <c r="N54" s="214"/>
      <c r="O54" s="214"/>
      <c r="P54" s="214"/>
    </row>
    <row r="55" spans="1:10" ht="13.5" thickBot="1">
      <c r="A55" s="604">
        <v>36</v>
      </c>
      <c r="B55" s="638" t="s">
        <v>362</v>
      </c>
      <c r="C55" s="639">
        <f aca="true" t="shared" si="2" ref="C55:H55">SUM(C52:C54)</f>
        <v>294450</v>
      </c>
      <c r="D55" s="640">
        <f t="shared" si="2"/>
        <v>4375</v>
      </c>
      <c r="E55" s="640">
        <f t="shared" si="2"/>
        <v>290075</v>
      </c>
      <c r="F55" s="640">
        <f t="shared" si="2"/>
        <v>0</v>
      </c>
      <c r="G55" s="640">
        <f t="shared" si="2"/>
        <v>0</v>
      </c>
      <c r="H55" s="641">
        <f t="shared" si="2"/>
        <v>0</v>
      </c>
      <c r="I55" s="642">
        <f>SUM(I52+I53+I54)</f>
        <v>324</v>
      </c>
      <c r="J55" s="675">
        <f>SUM(J52+J53+J54)</f>
        <v>0</v>
      </c>
    </row>
    <row r="56" spans="1:10" ht="5.25" customHeight="1" thickBot="1">
      <c r="A56" s="604"/>
      <c r="B56" s="1114"/>
      <c r="C56" s="1115"/>
      <c r="D56" s="1115"/>
      <c r="E56" s="1115"/>
      <c r="F56" s="1115"/>
      <c r="G56" s="1115"/>
      <c r="H56" s="1115"/>
      <c r="I56" s="1116"/>
      <c r="J56" s="674">
        <v>0</v>
      </c>
    </row>
    <row r="57" spans="1:10" ht="14.25" customHeight="1" thickBot="1">
      <c r="A57" s="608">
        <v>37</v>
      </c>
      <c r="B57" s="635" t="s">
        <v>324</v>
      </c>
      <c r="C57" s="633">
        <f>SUM(H57+G57+F57+E57+D57)</f>
        <v>294450</v>
      </c>
      <c r="D57" s="631">
        <v>4375</v>
      </c>
      <c r="E57" s="631">
        <v>290075</v>
      </c>
      <c r="F57" s="631">
        <v>0</v>
      </c>
      <c r="G57" s="631">
        <v>0</v>
      </c>
      <c r="H57" s="631">
        <v>0</v>
      </c>
      <c r="I57" s="633">
        <v>0</v>
      </c>
      <c r="J57" s="634">
        <v>0</v>
      </c>
    </row>
    <row r="58" spans="1:10" ht="14.25" customHeight="1" thickBot="1" thickTop="1">
      <c r="A58" s="617"/>
      <c r="B58" s="646"/>
      <c r="C58" s="647"/>
      <c r="D58" s="648"/>
      <c r="E58" s="648"/>
      <c r="F58" s="648"/>
      <c r="G58" s="648"/>
      <c r="H58" s="648"/>
      <c r="I58" s="647"/>
      <c r="J58" s="679"/>
    </row>
    <row r="59" spans="1:10" ht="16.5" thickBot="1" thickTop="1">
      <c r="A59" s="625">
        <v>38</v>
      </c>
      <c r="B59" s="653" t="s">
        <v>560</v>
      </c>
      <c r="C59" s="650"/>
      <c r="D59" s="650"/>
      <c r="E59" s="650"/>
      <c r="F59" s="650"/>
      <c r="G59" s="650"/>
      <c r="H59" s="650"/>
      <c r="I59" s="651"/>
      <c r="J59" s="676"/>
    </row>
    <row r="60" spans="1:10" ht="12.75">
      <c r="A60" s="606">
        <v>39</v>
      </c>
      <c r="B60" s="652" t="s">
        <v>360</v>
      </c>
      <c r="C60" s="595">
        <f>SUM(D60:H60)</f>
        <v>0</v>
      </c>
      <c r="D60" s="592"/>
      <c r="E60" s="593"/>
      <c r="F60" s="593"/>
      <c r="G60" s="593"/>
      <c r="H60" s="593"/>
      <c r="I60" s="594">
        <v>318</v>
      </c>
      <c r="J60" s="594"/>
    </row>
    <row r="61" spans="1:16" s="215" customFormat="1" ht="14.25" customHeight="1" thickBot="1">
      <c r="A61" s="604">
        <v>40</v>
      </c>
      <c r="B61" s="618" t="s">
        <v>361</v>
      </c>
      <c r="C61" s="665">
        <f>SUM(D61:H61)</f>
        <v>21900</v>
      </c>
      <c r="D61" s="596"/>
      <c r="E61" s="597"/>
      <c r="F61" s="597"/>
      <c r="G61" s="597">
        <v>2670</v>
      </c>
      <c r="H61" s="597">
        <v>19230</v>
      </c>
      <c r="I61" s="598">
        <v>2670</v>
      </c>
      <c r="J61" s="598"/>
      <c r="K61" s="214"/>
      <c r="L61" s="214"/>
      <c r="M61" s="214"/>
      <c r="N61" s="214"/>
      <c r="O61" s="214"/>
      <c r="P61" s="214"/>
    </row>
    <row r="62" spans="1:10" ht="13.5" thickBot="1">
      <c r="A62" s="604">
        <v>41</v>
      </c>
      <c r="B62" s="638" t="s">
        <v>362</v>
      </c>
      <c r="C62" s="639">
        <f>SUM(C60:C61)</f>
        <v>21900</v>
      </c>
      <c r="D62" s="640">
        <f>SUM(D61:D61)</f>
        <v>0</v>
      </c>
      <c r="E62" s="640">
        <f>SUM(E61:E61)</f>
        <v>0</v>
      </c>
      <c r="F62" s="640">
        <f>SUM(F61:F61)</f>
        <v>0</v>
      </c>
      <c r="G62" s="640">
        <f>SUM(G61:G61)</f>
        <v>2670</v>
      </c>
      <c r="H62" s="641">
        <f>SUM(H61:H61)</f>
        <v>19230</v>
      </c>
      <c r="I62" s="642">
        <f>SUM(I60:I61)</f>
        <v>2988</v>
      </c>
      <c r="J62" s="675">
        <v>0</v>
      </c>
    </row>
    <row r="63" spans="1:10" ht="5.25" customHeight="1" thickBot="1">
      <c r="A63" s="604"/>
      <c r="B63" s="1114"/>
      <c r="C63" s="1115"/>
      <c r="D63" s="1115"/>
      <c r="E63" s="1115"/>
      <c r="F63" s="1115"/>
      <c r="G63" s="1115"/>
      <c r="H63" s="1115"/>
      <c r="I63" s="1116"/>
      <c r="J63" s="674">
        <v>0</v>
      </c>
    </row>
    <row r="64" spans="1:10" ht="14.25" customHeight="1">
      <c r="A64" s="609">
        <v>42</v>
      </c>
      <c r="B64" s="619" t="s">
        <v>552</v>
      </c>
      <c r="C64" s="591">
        <f>SUM(D64:H64)</f>
        <v>2000</v>
      </c>
      <c r="D64" s="615"/>
      <c r="E64" s="593"/>
      <c r="F64" s="593"/>
      <c r="G64" s="593"/>
      <c r="H64" s="729">
        <v>2000</v>
      </c>
      <c r="I64" s="594"/>
      <c r="J64" s="594"/>
    </row>
    <row r="65" spans="1:10" ht="14.25" customHeight="1">
      <c r="A65" s="609">
        <v>43</v>
      </c>
      <c r="B65" s="655" t="s">
        <v>553</v>
      </c>
      <c r="C65" s="595">
        <f>SUM(D65:H65)</f>
        <v>0</v>
      </c>
      <c r="D65" s="614"/>
      <c r="E65" s="614"/>
      <c r="F65" s="614"/>
      <c r="G65" s="614"/>
      <c r="H65" s="667"/>
      <c r="I65" s="598"/>
      <c r="J65" s="598"/>
    </row>
    <row r="66" spans="1:10" ht="14.25" customHeight="1">
      <c r="A66" s="609">
        <v>44</v>
      </c>
      <c r="B66" s="622" t="s">
        <v>558</v>
      </c>
      <c r="C66" s="595">
        <f>SUM(D66:H66)</f>
        <v>19900</v>
      </c>
      <c r="D66" s="614"/>
      <c r="E66" s="614"/>
      <c r="F66" s="614"/>
      <c r="G66" s="597">
        <v>2670</v>
      </c>
      <c r="H66" s="728">
        <v>17230</v>
      </c>
      <c r="I66" s="598"/>
      <c r="J66" s="598">
        <v>2670</v>
      </c>
    </row>
    <row r="67" spans="1:10" ht="14.25" customHeight="1" thickBot="1">
      <c r="A67" s="609">
        <v>45</v>
      </c>
      <c r="B67" s="622" t="s">
        <v>554</v>
      </c>
      <c r="C67" s="665">
        <f>SUM(D67:H67)</f>
        <v>0</v>
      </c>
      <c r="D67" s="668"/>
      <c r="E67" s="668"/>
      <c r="F67" s="668"/>
      <c r="G67" s="668"/>
      <c r="H67" s="669"/>
      <c r="I67" s="670"/>
      <c r="J67" s="598">
        <v>318</v>
      </c>
    </row>
    <row r="68" spans="1:10" ht="14.25" customHeight="1" thickBot="1">
      <c r="A68" s="608">
        <v>46</v>
      </c>
      <c r="B68" s="635" t="s">
        <v>324</v>
      </c>
      <c r="C68" s="633">
        <f>SUM(H68+G68+F68+E68+D68)</f>
        <v>21900</v>
      </c>
      <c r="D68" s="631">
        <f>SUM(D64:D67)</f>
        <v>0</v>
      </c>
      <c r="E68" s="631">
        <f>SUM(E64:E67)</f>
        <v>0</v>
      </c>
      <c r="F68" s="631">
        <f>SUM(F64:F67)</f>
        <v>0</v>
      </c>
      <c r="G68" s="631">
        <f>SUM(G64:G67)</f>
        <v>2670</v>
      </c>
      <c r="H68" s="631">
        <f>SUM(H64:H67)</f>
        <v>19230</v>
      </c>
      <c r="I68" s="633">
        <f>SUM(I67)</f>
        <v>0</v>
      </c>
      <c r="J68" s="634">
        <f>SUM(J64:J67)</f>
        <v>2988</v>
      </c>
    </row>
    <row r="69" spans="1:10" ht="14.25" customHeight="1" thickBot="1" thickTop="1">
      <c r="A69" s="617"/>
      <c r="B69" s="646"/>
      <c r="C69" s="647"/>
      <c r="D69" s="648"/>
      <c r="E69" s="648"/>
      <c r="F69" s="648"/>
      <c r="G69" s="648"/>
      <c r="H69" s="648"/>
      <c r="I69" s="647"/>
      <c r="J69" s="679"/>
    </row>
    <row r="70" spans="1:10" ht="16.5" thickBot="1" thickTop="1">
      <c r="A70" s="625">
        <v>47</v>
      </c>
      <c r="B70" s="1117" t="s">
        <v>561</v>
      </c>
      <c r="C70" s="1118"/>
      <c r="D70" s="1118"/>
      <c r="E70" s="1118"/>
      <c r="F70" s="1118"/>
      <c r="G70" s="1118"/>
      <c r="H70" s="1118"/>
      <c r="I70" s="1119"/>
      <c r="J70" s="678"/>
    </row>
    <row r="71" spans="1:10" ht="14.25" customHeight="1">
      <c r="A71" s="604">
        <v>48</v>
      </c>
      <c r="B71" s="620" t="s">
        <v>360</v>
      </c>
      <c r="C71" s="591">
        <f>SUM(D71:H71)</f>
        <v>0</v>
      </c>
      <c r="D71" s="592"/>
      <c r="E71" s="593"/>
      <c r="F71" s="593"/>
      <c r="G71" s="593"/>
      <c r="H71" s="593"/>
      <c r="I71" s="594"/>
      <c r="J71" s="594"/>
    </row>
    <row r="72" spans="1:16" s="216" customFormat="1" ht="14.25" customHeight="1" thickBot="1">
      <c r="A72" s="605">
        <v>49</v>
      </c>
      <c r="B72" s="618" t="s">
        <v>361</v>
      </c>
      <c r="C72" s="665">
        <f>SUM(D72:H72)</f>
        <v>23313</v>
      </c>
      <c r="D72" s="596"/>
      <c r="E72" s="597">
        <v>13599</v>
      </c>
      <c r="F72" s="597">
        <v>9714</v>
      </c>
      <c r="G72" s="597"/>
      <c r="H72" s="597"/>
      <c r="I72" s="598">
        <v>10965</v>
      </c>
      <c r="J72" s="598"/>
      <c r="K72" s="214"/>
      <c r="L72" s="214"/>
      <c r="M72" s="214"/>
      <c r="N72" s="214"/>
      <c r="O72" s="214"/>
      <c r="P72" s="214"/>
    </row>
    <row r="73" spans="1:10" ht="13.5" thickBot="1">
      <c r="A73" s="604">
        <v>50</v>
      </c>
      <c r="B73" s="638" t="s">
        <v>362</v>
      </c>
      <c r="C73" s="639">
        <f aca="true" t="shared" si="3" ref="C73:J73">SUM(C71:C72)</f>
        <v>23313</v>
      </c>
      <c r="D73" s="640">
        <f t="shared" si="3"/>
        <v>0</v>
      </c>
      <c r="E73" s="640">
        <f t="shared" si="3"/>
        <v>13599</v>
      </c>
      <c r="F73" s="640">
        <f t="shared" si="3"/>
        <v>9714</v>
      </c>
      <c r="G73" s="640">
        <f t="shared" si="3"/>
        <v>0</v>
      </c>
      <c r="H73" s="640">
        <f t="shared" si="3"/>
        <v>0</v>
      </c>
      <c r="I73" s="642">
        <f t="shared" si="3"/>
        <v>10965</v>
      </c>
      <c r="J73" s="675">
        <f t="shared" si="3"/>
        <v>0</v>
      </c>
    </row>
    <row r="74" spans="1:10" ht="6" customHeight="1" thickBot="1">
      <c r="A74" s="604"/>
      <c r="B74" s="1112"/>
      <c r="C74" s="1113"/>
      <c r="D74" s="1113"/>
      <c r="E74" s="1113"/>
      <c r="F74" s="1113"/>
      <c r="G74" s="1113"/>
      <c r="H74" s="1113"/>
      <c r="I74" s="1113"/>
      <c r="J74" s="674"/>
    </row>
    <row r="75" spans="1:10" ht="13.5" thickBot="1">
      <c r="A75" s="608">
        <v>51</v>
      </c>
      <c r="B75" s="632" t="s">
        <v>324</v>
      </c>
      <c r="C75" s="633">
        <f>SUM(D75:H75)</f>
        <v>23313</v>
      </c>
      <c r="D75" s="631">
        <v>0</v>
      </c>
      <c r="E75" s="631">
        <v>13599</v>
      </c>
      <c r="F75" s="631">
        <v>9714</v>
      </c>
      <c r="G75" s="631">
        <v>0</v>
      </c>
      <c r="H75" s="631">
        <v>0</v>
      </c>
      <c r="I75" s="634">
        <v>0</v>
      </c>
      <c r="J75" s="634">
        <v>0</v>
      </c>
    </row>
    <row r="76" spans="1:10" ht="9.75" customHeight="1" thickBot="1" thickTop="1">
      <c r="A76" s="751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6.5" thickBot="1" thickTop="1">
      <c r="A77" s="625">
        <v>52</v>
      </c>
      <c r="B77" s="1109" t="s">
        <v>664</v>
      </c>
      <c r="C77" s="1110"/>
      <c r="D77" s="1110"/>
      <c r="E77" s="1110"/>
      <c r="F77" s="1110"/>
      <c r="G77" s="1110"/>
      <c r="H77" s="1110"/>
      <c r="I77" s="1111"/>
      <c r="J77" s="676"/>
    </row>
    <row r="78" spans="1:10" ht="14.25" customHeight="1">
      <c r="A78" s="604">
        <v>53</v>
      </c>
      <c r="B78" s="618" t="s">
        <v>360</v>
      </c>
      <c r="C78" s="591">
        <v>66350</v>
      </c>
      <c r="D78" s="592"/>
      <c r="E78" s="593"/>
      <c r="F78" s="593"/>
      <c r="G78" s="593"/>
      <c r="H78" s="593"/>
      <c r="I78" s="594">
        <v>75894</v>
      </c>
      <c r="J78" s="594"/>
    </row>
    <row r="79" spans="1:16" s="215" customFormat="1" ht="14.25" customHeight="1" thickBot="1">
      <c r="A79" s="604">
        <v>54</v>
      </c>
      <c r="B79" s="618" t="s">
        <v>361</v>
      </c>
      <c r="C79" s="595">
        <v>373150</v>
      </c>
      <c r="D79" s="596"/>
      <c r="E79" s="597"/>
      <c r="F79" s="597"/>
      <c r="G79" s="597"/>
      <c r="H79" s="597"/>
      <c r="I79" s="598"/>
      <c r="J79" s="598"/>
      <c r="K79" s="214"/>
      <c r="L79" s="214"/>
      <c r="M79" s="214"/>
      <c r="N79" s="214"/>
      <c r="O79" s="214"/>
      <c r="P79" s="214"/>
    </row>
    <row r="80" spans="1:10" ht="13.5" thickBot="1">
      <c r="A80" s="604">
        <v>55</v>
      </c>
      <c r="B80" s="638" t="s">
        <v>362</v>
      </c>
      <c r="C80" s="639">
        <f aca="true" t="shared" si="4" ref="C80:I80">SUM(C78:C79)</f>
        <v>439500</v>
      </c>
      <c r="D80" s="640">
        <f t="shared" si="4"/>
        <v>0</v>
      </c>
      <c r="E80" s="640">
        <f t="shared" si="4"/>
        <v>0</v>
      </c>
      <c r="F80" s="640">
        <f t="shared" si="4"/>
        <v>0</v>
      </c>
      <c r="G80" s="640">
        <f t="shared" si="4"/>
        <v>0</v>
      </c>
      <c r="H80" s="641">
        <f t="shared" si="4"/>
        <v>0</v>
      </c>
      <c r="I80" s="642">
        <f t="shared" si="4"/>
        <v>75894</v>
      </c>
      <c r="J80" s="675">
        <v>0</v>
      </c>
    </row>
    <row r="81" spans="1:10" ht="5.25" customHeight="1" thickBot="1">
      <c r="A81" s="604"/>
      <c r="B81" s="1114"/>
      <c r="C81" s="1115"/>
      <c r="D81" s="1115"/>
      <c r="E81" s="1115"/>
      <c r="F81" s="1115"/>
      <c r="G81" s="1115"/>
      <c r="H81" s="1115"/>
      <c r="I81" s="1116"/>
      <c r="J81" s="674"/>
    </row>
    <row r="82" spans="1:16" s="215" customFormat="1" ht="15" customHeight="1">
      <c r="A82" s="609">
        <v>56</v>
      </c>
      <c r="B82" s="619" t="s">
        <v>552</v>
      </c>
      <c r="C82" s="591">
        <v>439000</v>
      </c>
      <c r="D82" s="615"/>
      <c r="E82" s="593"/>
      <c r="F82" s="593"/>
      <c r="G82" s="593"/>
      <c r="H82" s="666"/>
      <c r="I82" s="594"/>
      <c r="J82" s="594">
        <v>75866</v>
      </c>
      <c r="K82" s="214"/>
      <c r="L82" s="214"/>
      <c r="M82" s="214"/>
      <c r="N82" s="214"/>
      <c r="O82" s="214"/>
      <c r="P82" s="214"/>
    </row>
    <row r="83" spans="1:16" s="215" customFormat="1" ht="15" customHeight="1" thickBot="1">
      <c r="A83" s="609">
        <v>57</v>
      </c>
      <c r="B83" s="655" t="s">
        <v>553</v>
      </c>
      <c r="C83" s="595">
        <v>500</v>
      </c>
      <c r="D83" s="614"/>
      <c r="E83" s="614"/>
      <c r="F83" s="614"/>
      <c r="G83" s="614"/>
      <c r="H83" s="667"/>
      <c r="I83" s="598"/>
      <c r="J83" s="598">
        <v>28</v>
      </c>
      <c r="K83" s="214"/>
      <c r="L83" s="214"/>
      <c r="M83" s="214"/>
      <c r="N83" s="214"/>
      <c r="O83" s="214"/>
      <c r="P83" s="214"/>
    </row>
    <row r="84" spans="1:10" ht="13.5" thickBot="1">
      <c r="A84" s="608">
        <v>58</v>
      </c>
      <c r="B84" s="635" t="s">
        <v>324</v>
      </c>
      <c r="C84" s="633">
        <f>SUM(C82:C83)</f>
        <v>439500</v>
      </c>
      <c r="D84" s="631">
        <f>SUM(D82:D83)</f>
        <v>0</v>
      </c>
      <c r="E84" s="631">
        <f>SUM(E82:E83)</f>
        <v>0</v>
      </c>
      <c r="F84" s="631">
        <f>SUM(F82:F83)</f>
        <v>0</v>
      </c>
      <c r="G84" s="631">
        <v>0</v>
      </c>
      <c r="H84" s="631">
        <v>0</v>
      </c>
      <c r="I84" s="633">
        <f>SUM(I82:I83)</f>
        <v>0</v>
      </c>
      <c r="J84" s="634">
        <f>SUM(J82:J83)</f>
        <v>75894</v>
      </c>
    </row>
    <row r="85" spans="1:10" ht="14.25" thickBot="1" thickTop="1">
      <c r="A85" s="617"/>
      <c r="B85" s="1123"/>
      <c r="C85" s="1124"/>
      <c r="D85" s="1124"/>
      <c r="E85" s="1124"/>
      <c r="F85" s="1124"/>
      <c r="G85" s="1124"/>
      <c r="H85" s="1124"/>
      <c r="I85" s="1124"/>
      <c r="J85" s="1125"/>
    </row>
    <row r="86" spans="1:10" ht="16.5" thickBot="1" thickTop="1">
      <c r="A86" s="625">
        <v>59</v>
      </c>
      <c r="B86" s="1117" t="s">
        <v>665</v>
      </c>
      <c r="C86" s="1118"/>
      <c r="D86" s="1118"/>
      <c r="E86" s="1118"/>
      <c r="F86" s="1118"/>
      <c r="G86" s="1118"/>
      <c r="H86" s="1118"/>
      <c r="I86" s="1119"/>
      <c r="J86" s="678"/>
    </row>
    <row r="87" spans="1:10" ht="14.25" customHeight="1">
      <c r="A87" s="604">
        <v>60</v>
      </c>
      <c r="B87" s="620" t="s">
        <v>360</v>
      </c>
      <c r="C87" s="591">
        <v>2195</v>
      </c>
      <c r="D87" s="592"/>
      <c r="E87" s="593"/>
      <c r="F87" s="593"/>
      <c r="G87" s="593"/>
      <c r="H87" s="593"/>
      <c r="I87" s="594">
        <v>2176</v>
      </c>
      <c r="J87" s="594"/>
    </row>
    <row r="88" spans="1:16" s="216" customFormat="1" ht="14.25" customHeight="1" thickBot="1">
      <c r="A88" s="605">
        <v>61</v>
      </c>
      <c r="B88" s="618" t="s">
        <v>361</v>
      </c>
      <c r="C88" s="595">
        <v>8128</v>
      </c>
      <c r="D88" s="596"/>
      <c r="E88" s="597"/>
      <c r="F88" s="597"/>
      <c r="G88" s="597"/>
      <c r="H88" s="597"/>
      <c r="I88" s="598"/>
      <c r="J88" s="598"/>
      <c r="K88" s="214"/>
      <c r="L88" s="214"/>
      <c r="M88" s="214"/>
      <c r="N88" s="214"/>
      <c r="O88" s="214"/>
      <c r="P88" s="214"/>
    </row>
    <row r="89" spans="1:10" ht="13.5" thickBot="1">
      <c r="A89" s="604">
        <v>62</v>
      </c>
      <c r="B89" s="638" t="s">
        <v>362</v>
      </c>
      <c r="C89" s="639">
        <f>SUM(C87:C88)</f>
        <v>10323</v>
      </c>
      <c r="D89" s="640">
        <f aca="true" t="shared" si="5" ref="D89:J89">SUM(D87:D88)</f>
        <v>0</v>
      </c>
      <c r="E89" s="640">
        <f t="shared" si="5"/>
        <v>0</v>
      </c>
      <c r="F89" s="640">
        <f t="shared" si="5"/>
        <v>0</v>
      </c>
      <c r="G89" s="640">
        <f t="shared" si="5"/>
        <v>0</v>
      </c>
      <c r="H89" s="641">
        <f t="shared" si="5"/>
        <v>0</v>
      </c>
      <c r="I89" s="642">
        <f t="shared" si="5"/>
        <v>2176</v>
      </c>
      <c r="J89" s="675">
        <f t="shared" si="5"/>
        <v>0</v>
      </c>
    </row>
    <row r="90" spans="1:10" ht="6" customHeight="1" thickBot="1">
      <c r="A90" s="604"/>
      <c r="B90" s="1112"/>
      <c r="C90" s="1113"/>
      <c r="D90" s="1113"/>
      <c r="E90" s="1113"/>
      <c r="F90" s="1113"/>
      <c r="G90" s="1113"/>
      <c r="H90" s="1113"/>
      <c r="I90" s="1113"/>
      <c r="J90" s="674"/>
    </row>
    <row r="91" spans="1:16" s="215" customFormat="1" ht="15" customHeight="1" thickBot="1">
      <c r="A91" s="609">
        <v>63</v>
      </c>
      <c r="B91" s="619" t="s">
        <v>552</v>
      </c>
      <c r="C91" s="591">
        <v>10323</v>
      </c>
      <c r="D91" s="615"/>
      <c r="E91" s="593"/>
      <c r="F91" s="593"/>
      <c r="G91" s="593"/>
      <c r="H91" s="666"/>
      <c r="I91" s="594"/>
      <c r="J91" s="594"/>
      <c r="K91" s="214"/>
      <c r="L91" s="214"/>
      <c r="M91" s="214"/>
      <c r="N91" s="214"/>
      <c r="O91" s="214"/>
      <c r="P91" s="214"/>
    </row>
    <row r="92" spans="1:16" s="215" customFormat="1" ht="15" customHeight="1" thickBot="1">
      <c r="A92" s="609">
        <v>64</v>
      </c>
      <c r="B92" s="655" t="s">
        <v>553</v>
      </c>
      <c r="C92" s="764">
        <v>0</v>
      </c>
      <c r="D92" s="765"/>
      <c r="E92" s="766"/>
      <c r="F92" s="766"/>
      <c r="G92" s="766"/>
      <c r="H92" s="767"/>
      <c r="I92" s="768"/>
      <c r="J92" s="768">
        <v>2158</v>
      </c>
      <c r="K92" s="214"/>
      <c r="L92" s="214"/>
      <c r="M92" s="214"/>
      <c r="N92" s="214"/>
      <c r="O92" s="214"/>
      <c r="P92" s="214"/>
    </row>
    <row r="93" spans="1:16" s="215" customFormat="1" ht="15" customHeight="1" thickBot="1">
      <c r="A93" s="609">
        <v>65</v>
      </c>
      <c r="B93" s="622" t="s">
        <v>554</v>
      </c>
      <c r="C93" s="764">
        <v>0</v>
      </c>
      <c r="D93" s="765"/>
      <c r="E93" s="766"/>
      <c r="F93" s="766"/>
      <c r="G93" s="766"/>
      <c r="H93" s="767"/>
      <c r="I93" s="768"/>
      <c r="J93" s="768">
        <v>18</v>
      </c>
      <c r="K93" s="214"/>
      <c r="L93" s="214"/>
      <c r="M93" s="214"/>
      <c r="N93" s="214"/>
      <c r="O93" s="214"/>
      <c r="P93" s="214"/>
    </row>
    <row r="94" spans="1:10" ht="13.5" thickBot="1">
      <c r="A94" s="608">
        <v>66</v>
      </c>
      <c r="B94" s="632" t="s">
        <v>324</v>
      </c>
      <c r="C94" s="633">
        <f aca="true" t="shared" si="6" ref="C94:J94">SUM(C91:C93)</f>
        <v>10323</v>
      </c>
      <c r="D94" s="631">
        <f t="shared" si="6"/>
        <v>0</v>
      </c>
      <c r="E94" s="631">
        <f t="shared" si="6"/>
        <v>0</v>
      </c>
      <c r="F94" s="631">
        <f t="shared" si="6"/>
        <v>0</v>
      </c>
      <c r="G94" s="631">
        <f t="shared" si="6"/>
        <v>0</v>
      </c>
      <c r="H94" s="631">
        <f t="shared" si="6"/>
        <v>0</v>
      </c>
      <c r="I94" s="769">
        <f t="shared" si="6"/>
        <v>0</v>
      </c>
      <c r="J94" s="770">
        <f t="shared" si="6"/>
        <v>2176</v>
      </c>
    </row>
    <row r="95" spans="1:10" ht="14.25" thickBot="1" thickTop="1">
      <c r="A95" s="617"/>
      <c r="B95" s="646"/>
      <c r="C95" s="762"/>
      <c r="D95" s="648"/>
      <c r="E95" s="648"/>
      <c r="F95" s="648"/>
      <c r="G95" s="648"/>
      <c r="H95" s="648"/>
      <c r="I95" s="762"/>
      <c r="J95" s="763"/>
    </row>
    <row r="96" spans="1:10" ht="16.5" thickBot="1" thickTop="1">
      <c r="A96" s="625">
        <v>67</v>
      </c>
      <c r="B96" s="1148" t="s">
        <v>666</v>
      </c>
      <c r="C96" s="1149"/>
      <c r="D96" s="1149"/>
      <c r="E96" s="1149"/>
      <c r="F96" s="1149"/>
      <c r="G96" s="1149"/>
      <c r="H96" s="1149"/>
      <c r="I96" s="1149"/>
      <c r="J96" s="1150"/>
    </row>
    <row r="97" spans="1:10" ht="14.25" customHeight="1">
      <c r="A97" s="604">
        <v>68</v>
      </c>
      <c r="B97" s="652" t="s">
        <v>360</v>
      </c>
      <c r="C97" s="591">
        <v>2276</v>
      </c>
      <c r="D97" s="592"/>
      <c r="E97" s="593"/>
      <c r="F97" s="593"/>
      <c r="G97" s="593"/>
      <c r="H97" s="593"/>
      <c r="I97" s="594">
        <v>2324</v>
      </c>
      <c r="J97" s="594"/>
    </row>
    <row r="98" spans="1:16" s="215" customFormat="1" ht="14.25" customHeight="1" thickBot="1">
      <c r="A98" s="604">
        <v>69</v>
      </c>
      <c r="B98" s="618" t="s">
        <v>361</v>
      </c>
      <c r="C98" s="665">
        <v>11195</v>
      </c>
      <c r="D98" s="596"/>
      <c r="E98" s="597"/>
      <c r="F98" s="597"/>
      <c r="G98" s="597"/>
      <c r="H98" s="597"/>
      <c r="I98" s="598"/>
      <c r="J98" s="598"/>
      <c r="K98" s="214"/>
      <c r="L98" s="214"/>
      <c r="M98" s="214"/>
      <c r="N98" s="214"/>
      <c r="O98" s="214"/>
      <c r="P98" s="214"/>
    </row>
    <row r="99" spans="1:10" ht="13.5" thickBot="1">
      <c r="A99" s="604">
        <v>70</v>
      </c>
      <c r="B99" s="638" t="s">
        <v>362</v>
      </c>
      <c r="C99" s="639">
        <f aca="true" t="shared" si="7" ref="C99:H99">SUM(C97:C98)</f>
        <v>13471</v>
      </c>
      <c r="D99" s="640">
        <f t="shared" si="7"/>
        <v>0</v>
      </c>
      <c r="E99" s="640">
        <f t="shared" si="7"/>
        <v>0</v>
      </c>
      <c r="F99" s="640">
        <f t="shared" si="7"/>
        <v>0</v>
      </c>
      <c r="G99" s="640">
        <f t="shared" si="7"/>
        <v>0</v>
      </c>
      <c r="H99" s="641">
        <f t="shared" si="7"/>
        <v>0</v>
      </c>
      <c r="I99" s="642">
        <f>SUM(I97+I98)</f>
        <v>2324</v>
      </c>
      <c r="J99" s="675">
        <f>SUM(J97+J98)</f>
        <v>0</v>
      </c>
    </row>
    <row r="100" spans="1:10" ht="5.25" customHeight="1" thickBot="1">
      <c r="A100" s="604"/>
      <c r="B100" s="1114"/>
      <c r="C100" s="1115"/>
      <c r="D100" s="1115"/>
      <c r="E100" s="1115"/>
      <c r="F100" s="1115"/>
      <c r="G100" s="1115"/>
      <c r="H100" s="1115"/>
      <c r="I100" s="1116"/>
      <c r="J100" s="674">
        <v>0</v>
      </c>
    </row>
    <row r="101" spans="1:16" s="215" customFormat="1" ht="15" customHeight="1">
      <c r="A101" s="609">
        <v>71</v>
      </c>
      <c r="B101" s="619" t="s">
        <v>552</v>
      </c>
      <c r="C101" s="591">
        <v>13171</v>
      </c>
      <c r="D101" s="615"/>
      <c r="E101" s="593"/>
      <c r="F101" s="593"/>
      <c r="G101" s="593"/>
      <c r="H101" s="666"/>
      <c r="I101" s="594"/>
      <c r="J101" s="594">
        <v>2324</v>
      </c>
      <c r="K101" s="214"/>
      <c r="L101" s="214"/>
      <c r="M101" s="214"/>
      <c r="N101" s="214"/>
      <c r="O101" s="214"/>
      <c r="P101" s="214"/>
    </row>
    <row r="102" spans="1:16" s="215" customFormat="1" ht="15" customHeight="1" thickBot="1">
      <c r="A102" s="609">
        <v>72</v>
      </c>
      <c r="B102" s="655" t="s">
        <v>553</v>
      </c>
      <c r="C102" s="595">
        <v>300</v>
      </c>
      <c r="D102" s="614"/>
      <c r="E102" s="614"/>
      <c r="F102" s="614"/>
      <c r="G102" s="614"/>
      <c r="H102" s="667"/>
      <c r="I102" s="598"/>
      <c r="J102" s="598"/>
      <c r="K102" s="214"/>
      <c r="L102" s="214"/>
      <c r="M102" s="214"/>
      <c r="N102" s="214"/>
      <c r="O102" s="214"/>
      <c r="P102" s="214"/>
    </row>
    <row r="103" spans="1:10" ht="14.25" customHeight="1" thickBot="1">
      <c r="A103" s="608">
        <v>73</v>
      </c>
      <c r="B103" s="635" t="s">
        <v>324</v>
      </c>
      <c r="C103" s="633">
        <f>SUM(C101:C102)</f>
        <v>13471</v>
      </c>
      <c r="D103" s="631">
        <v>0</v>
      </c>
      <c r="E103" s="631">
        <v>0</v>
      </c>
      <c r="F103" s="631">
        <v>0</v>
      </c>
      <c r="G103" s="631">
        <v>0</v>
      </c>
      <c r="H103" s="631">
        <v>0</v>
      </c>
      <c r="I103" s="633">
        <v>0</v>
      </c>
      <c r="J103" s="634">
        <f>SUM(J100:J102)</f>
        <v>2324</v>
      </c>
    </row>
    <row r="104" spans="1:10" ht="15" customHeight="1" thickBot="1" thickTop="1">
      <c r="A104" s="760"/>
      <c r="B104" s="761"/>
      <c r="C104" s="761"/>
      <c r="D104" s="761"/>
      <c r="E104" s="761"/>
      <c r="F104" s="761"/>
      <c r="G104" s="761"/>
      <c r="H104" s="761"/>
      <c r="I104" s="761"/>
      <c r="J104" s="761"/>
    </row>
    <row r="105" spans="1:10" ht="16.5" thickBot="1" thickTop="1">
      <c r="A105" s="625">
        <v>74</v>
      </c>
      <c r="B105" s="1148" t="s">
        <v>669</v>
      </c>
      <c r="C105" s="1149"/>
      <c r="D105" s="1149"/>
      <c r="E105" s="1149"/>
      <c r="F105" s="1149"/>
      <c r="G105" s="1149"/>
      <c r="H105" s="1149"/>
      <c r="I105" s="1149"/>
      <c r="J105" s="1150"/>
    </row>
    <row r="106" spans="1:10" ht="15.75" thickBot="1">
      <c r="A106" s="606">
        <v>75</v>
      </c>
      <c r="B106" s="773"/>
      <c r="C106" s="1151" t="s">
        <v>668</v>
      </c>
      <c r="D106" s="1126"/>
      <c r="E106" s="1126"/>
      <c r="F106" s="1126"/>
      <c r="G106" s="1126"/>
      <c r="H106" s="1127"/>
      <c r="I106" s="1126" t="s">
        <v>671</v>
      </c>
      <c r="J106" s="1127"/>
    </row>
    <row r="107" spans="1:10" ht="14.25" customHeight="1">
      <c r="A107" s="604">
        <v>76</v>
      </c>
      <c r="B107" s="774" t="s">
        <v>360</v>
      </c>
      <c r="C107" s="775">
        <v>5822.7</v>
      </c>
      <c r="D107" s="592"/>
      <c r="E107" s="593"/>
      <c r="F107" s="593"/>
      <c r="G107" s="593"/>
      <c r="H107" s="593"/>
      <c r="I107" s="594">
        <f>1650+6+110</f>
        <v>1766</v>
      </c>
      <c r="J107" s="594"/>
    </row>
    <row r="108" spans="1:10" ht="14.25" customHeight="1">
      <c r="A108" s="604">
        <v>77</v>
      </c>
      <c r="B108" s="652" t="s">
        <v>667</v>
      </c>
      <c r="C108" s="776">
        <v>11645.4</v>
      </c>
      <c r="D108" s="771"/>
      <c r="E108" s="772"/>
      <c r="F108" s="772"/>
      <c r="G108" s="772"/>
      <c r="H108" s="772"/>
      <c r="I108" s="649">
        <v>3493</v>
      </c>
      <c r="J108" s="649"/>
    </row>
    <row r="109" spans="1:16" s="215" customFormat="1" ht="14.25" customHeight="1" thickBot="1">
      <c r="A109" s="604">
        <v>78</v>
      </c>
      <c r="B109" s="618" t="s">
        <v>670</v>
      </c>
      <c r="C109" s="777">
        <v>98985.9</v>
      </c>
      <c r="D109" s="596"/>
      <c r="E109" s="597"/>
      <c r="F109" s="597"/>
      <c r="G109" s="597"/>
      <c r="H109" s="597"/>
      <c r="I109" s="598">
        <v>4465</v>
      </c>
      <c r="J109" s="598"/>
      <c r="K109" s="214"/>
      <c r="L109" s="214"/>
      <c r="M109" s="214"/>
      <c r="N109" s="214"/>
      <c r="O109" s="214"/>
      <c r="P109" s="214"/>
    </row>
    <row r="110" spans="1:10" ht="13.5" thickBot="1">
      <c r="A110" s="604">
        <v>79</v>
      </c>
      <c r="B110" s="638" t="s">
        <v>362</v>
      </c>
      <c r="C110" s="778">
        <f aca="true" t="shared" si="8" ref="C110:I110">SUM(C107:C109)</f>
        <v>116454</v>
      </c>
      <c r="D110" s="790">
        <f t="shared" si="8"/>
        <v>0</v>
      </c>
      <c r="E110" s="790">
        <f t="shared" si="8"/>
        <v>0</v>
      </c>
      <c r="F110" s="790">
        <f t="shared" si="8"/>
        <v>0</v>
      </c>
      <c r="G110" s="790">
        <f t="shared" si="8"/>
        <v>0</v>
      </c>
      <c r="H110" s="790">
        <f t="shared" si="8"/>
        <v>0</v>
      </c>
      <c r="I110" s="642">
        <f t="shared" si="8"/>
        <v>9724</v>
      </c>
      <c r="J110" s="675">
        <f>SUM(J107+J109)</f>
        <v>0</v>
      </c>
    </row>
    <row r="111" spans="1:10" ht="5.25" customHeight="1" thickBot="1">
      <c r="A111" s="604"/>
      <c r="B111" s="1114"/>
      <c r="C111" s="1115"/>
      <c r="D111" s="1115"/>
      <c r="E111" s="1115"/>
      <c r="F111" s="1115"/>
      <c r="G111" s="1115"/>
      <c r="H111" s="1115"/>
      <c r="I111" s="1116"/>
      <c r="J111" s="674">
        <v>0</v>
      </c>
    </row>
    <row r="112" spans="1:16" s="215" customFormat="1" ht="15" customHeight="1">
      <c r="A112" s="609">
        <v>80</v>
      </c>
      <c r="B112" s="875" t="s">
        <v>672</v>
      </c>
      <c r="C112" s="787">
        <v>82240</v>
      </c>
      <c r="D112" s="615"/>
      <c r="E112" s="593"/>
      <c r="F112" s="593"/>
      <c r="G112" s="593"/>
      <c r="H112" s="666"/>
      <c r="I112" s="594"/>
      <c r="J112" s="594">
        <f>1650+7580</f>
        <v>9230</v>
      </c>
      <c r="K112" s="214"/>
      <c r="L112" s="214"/>
      <c r="M112" s="214"/>
      <c r="N112" s="214"/>
      <c r="O112" s="214"/>
      <c r="P112" s="214"/>
    </row>
    <row r="113" spans="1:16" s="215" customFormat="1" ht="15" customHeight="1">
      <c r="A113" s="609">
        <v>81</v>
      </c>
      <c r="B113" s="786" t="s">
        <v>673</v>
      </c>
      <c r="C113" s="788">
        <v>0</v>
      </c>
      <c r="D113" s="614"/>
      <c r="E113" s="614"/>
      <c r="F113" s="614"/>
      <c r="G113" s="614"/>
      <c r="H113" s="667"/>
      <c r="I113" s="598"/>
      <c r="J113" s="598">
        <v>6</v>
      </c>
      <c r="K113" s="214"/>
      <c r="L113" s="214"/>
      <c r="M113" s="214"/>
      <c r="N113" s="214"/>
      <c r="O113" s="214"/>
      <c r="P113" s="214"/>
    </row>
    <row r="114" spans="1:16" s="215" customFormat="1" ht="15" customHeight="1">
      <c r="A114" s="609">
        <v>82</v>
      </c>
      <c r="B114" s="786" t="s">
        <v>675</v>
      </c>
      <c r="C114" s="789">
        <v>5140</v>
      </c>
      <c r="D114" s="612"/>
      <c r="E114" s="612"/>
      <c r="F114" s="612"/>
      <c r="G114" s="612"/>
      <c r="H114" s="784"/>
      <c r="I114" s="785"/>
      <c r="J114" s="649"/>
      <c r="K114" s="214"/>
      <c r="L114" s="214"/>
      <c r="M114" s="214"/>
      <c r="N114" s="214"/>
      <c r="O114" s="214"/>
      <c r="P114" s="214"/>
    </row>
    <row r="115" spans="1:16" s="215" customFormat="1" ht="15" customHeight="1">
      <c r="A115" s="609">
        <v>83</v>
      </c>
      <c r="B115" s="786" t="s">
        <v>674</v>
      </c>
      <c r="C115" s="789">
        <v>9480</v>
      </c>
      <c r="D115" s="612"/>
      <c r="E115" s="612"/>
      <c r="F115" s="612"/>
      <c r="G115" s="612"/>
      <c r="H115" s="784"/>
      <c r="I115" s="785"/>
      <c r="J115" s="649"/>
      <c r="K115" s="214"/>
      <c r="L115" s="214"/>
      <c r="M115" s="214"/>
      <c r="N115" s="214"/>
      <c r="O115" s="214"/>
      <c r="P115" s="214"/>
    </row>
    <row r="116" spans="1:16" s="215" customFormat="1" ht="15" customHeight="1">
      <c r="A116" s="609">
        <v>84</v>
      </c>
      <c r="B116" s="786" t="s">
        <v>558</v>
      </c>
      <c r="C116" s="789">
        <v>19594</v>
      </c>
      <c r="D116" s="612"/>
      <c r="E116" s="612"/>
      <c r="F116" s="612"/>
      <c r="G116" s="612"/>
      <c r="H116" s="784"/>
      <c r="I116" s="785"/>
      <c r="J116" s="649">
        <v>378</v>
      </c>
      <c r="K116" s="214"/>
      <c r="L116" s="214"/>
      <c r="M116" s="214"/>
      <c r="N116" s="214"/>
      <c r="O116" s="214"/>
      <c r="P116" s="214"/>
    </row>
    <row r="117" spans="1:16" s="215" customFormat="1" ht="15" customHeight="1" thickBot="1">
      <c r="A117" s="609">
        <v>85</v>
      </c>
      <c r="B117" s="780" t="s">
        <v>554</v>
      </c>
      <c r="C117" s="781">
        <v>0</v>
      </c>
      <c r="D117" s="656"/>
      <c r="E117" s="656"/>
      <c r="F117" s="656"/>
      <c r="G117" s="656"/>
      <c r="H117" s="782"/>
      <c r="I117" s="783"/>
      <c r="J117" s="657">
        <v>110</v>
      </c>
      <c r="K117" s="214"/>
      <c r="L117" s="214"/>
      <c r="M117" s="214"/>
      <c r="N117" s="214"/>
      <c r="O117" s="214"/>
      <c r="P117" s="214"/>
    </row>
    <row r="118" spans="1:10" ht="14.25" customHeight="1" thickBot="1">
      <c r="A118" s="608">
        <v>86</v>
      </c>
      <c r="B118" s="635" t="s">
        <v>324</v>
      </c>
      <c r="C118" s="779">
        <f aca="true" t="shared" si="9" ref="C118:H118">SUM(C112:C117)</f>
        <v>116454</v>
      </c>
      <c r="D118" s="791">
        <f t="shared" si="9"/>
        <v>0</v>
      </c>
      <c r="E118" s="791">
        <f t="shared" si="9"/>
        <v>0</v>
      </c>
      <c r="F118" s="791">
        <f t="shared" si="9"/>
        <v>0</v>
      </c>
      <c r="G118" s="791">
        <f t="shared" si="9"/>
        <v>0</v>
      </c>
      <c r="H118" s="791">
        <f t="shared" si="9"/>
        <v>0</v>
      </c>
      <c r="I118" s="633">
        <v>0</v>
      </c>
      <c r="J118" s="634">
        <f>SUM(J111:J117)</f>
        <v>9724</v>
      </c>
    </row>
    <row r="119" spans="1:10" ht="15" customHeight="1" thickBot="1" thickTop="1">
      <c r="A119" s="752"/>
      <c r="B119" s="755"/>
      <c r="C119" s="755"/>
      <c r="D119" s="755"/>
      <c r="E119" s="755"/>
      <c r="F119" s="755"/>
      <c r="G119" s="755"/>
      <c r="H119" s="755"/>
      <c r="I119" s="755"/>
      <c r="J119" s="755"/>
    </row>
    <row r="120" spans="1:10" ht="14.25" customHeight="1" thickBot="1" thickTop="1">
      <c r="A120" s="617">
        <v>87</v>
      </c>
      <c r="B120" s="1120" t="s">
        <v>309</v>
      </c>
      <c r="C120" s="1121"/>
      <c r="D120" s="1121"/>
      <c r="E120" s="1121"/>
      <c r="F120" s="1121"/>
      <c r="G120" s="1121"/>
      <c r="H120" s="1121"/>
      <c r="I120" s="1121"/>
      <c r="J120" s="1122"/>
    </row>
    <row r="121" spans="1:16" s="215" customFormat="1" ht="16.5" thickBot="1" thickTop="1">
      <c r="A121" s="625">
        <v>88</v>
      </c>
      <c r="B121" s="1109" t="s">
        <v>296</v>
      </c>
      <c r="C121" s="1110"/>
      <c r="D121" s="1110"/>
      <c r="E121" s="1110"/>
      <c r="F121" s="1110"/>
      <c r="G121" s="1110"/>
      <c r="H121" s="1110"/>
      <c r="I121" s="1111"/>
      <c r="J121" s="674"/>
      <c r="K121" s="214"/>
      <c r="L121" s="214"/>
      <c r="M121" s="214"/>
      <c r="N121" s="214"/>
      <c r="O121" s="214"/>
      <c r="P121" s="214"/>
    </row>
    <row r="122" spans="1:10" ht="14.25" customHeight="1">
      <c r="A122" s="604">
        <v>89</v>
      </c>
      <c r="B122" s="618" t="s">
        <v>360</v>
      </c>
      <c r="C122" s="591"/>
      <c r="D122" s="592"/>
      <c r="E122" s="593"/>
      <c r="F122" s="593"/>
      <c r="G122" s="593"/>
      <c r="H122" s="593"/>
      <c r="I122" s="594"/>
      <c r="J122" s="594"/>
    </row>
    <row r="123" spans="1:10" ht="14.25" customHeight="1" thickBot="1">
      <c r="A123" s="604">
        <v>90</v>
      </c>
      <c r="B123" s="636" t="s">
        <v>361</v>
      </c>
      <c r="C123" s="623">
        <v>16837</v>
      </c>
      <c r="D123" s="600"/>
      <c r="E123" s="637"/>
      <c r="F123" s="637"/>
      <c r="G123" s="637">
        <v>11771</v>
      </c>
      <c r="H123" s="637">
        <v>5066</v>
      </c>
      <c r="I123" s="602">
        <v>11771</v>
      </c>
      <c r="J123" s="602"/>
    </row>
    <row r="124" spans="1:10" ht="13.5" thickBot="1">
      <c r="A124" s="604">
        <v>91</v>
      </c>
      <c r="B124" s="638" t="s">
        <v>362</v>
      </c>
      <c r="C124" s="639">
        <f>SUM(H124+G124+F124+E124+D124)</f>
        <v>16837</v>
      </c>
      <c r="D124" s="640">
        <f>SUM(D122+D123)</f>
        <v>0</v>
      </c>
      <c r="E124" s="640">
        <f>SUM(E122+E123)</f>
        <v>0</v>
      </c>
      <c r="F124" s="640">
        <f>SUM(F122+F123)</f>
        <v>0</v>
      </c>
      <c r="G124" s="640">
        <f>SUM(G122+G123)</f>
        <v>11771</v>
      </c>
      <c r="H124" s="641">
        <f>SUM(H122+H123)</f>
        <v>5066</v>
      </c>
      <c r="I124" s="642">
        <f>SUM(I122:I123)</f>
        <v>11771</v>
      </c>
      <c r="J124" s="675">
        <f>SUM(J122:J123)</f>
        <v>0</v>
      </c>
    </row>
    <row r="125" spans="1:16" s="216" customFormat="1" ht="6.75" customHeight="1" thickBot="1">
      <c r="A125" s="605"/>
      <c r="B125" s="1112"/>
      <c r="C125" s="1113"/>
      <c r="D125" s="1113"/>
      <c r="E125" s="1113"/>
      <c r="F125" s="1113"/>
      <c r="G125" s="1113"/>
      <c r="H125" s="1113"/>
      <c r="I125" s="1113"/>
      <c r="J125" s="674"/>
      <c r="K125" s="214"/>
      <c r="L125" s="214"/>
      <c r="M125" s="214"/>
      <c r="N125" s="214"/>
      <c r="O125" s="214"/>
      <c r="P125" s="214"/>
    </row>
    <row r="126" spans="1:10" ht="14.25" customHeight="1">
      <c r="A126" s="609">
        <v>92</v>
      </c>
      <c r="B126" s="619" t="s">
        <v>552</v>
      </c>
      <c r="C126" s="591">
        <f>SUM(D126:H126)</f>
        <v>1072</v>
      </c>
      <c r="D126" s="615"/>
      <c r="E126" s="615"/>
      <c r="F126" s="658"/>
      <c r="G126" s="661">
        <v>1072</v>
      </c>
      <c r="H126" s="661"/>
      <c r="I126" s="594"/>
      <c r="J126" s="594">
        <v>1072</v>
      </c>
    </row>
    <row r="127" spans="1:10" ht="14.25" customHeight="1">
      <c r="A127" s="609">
        <v>93</v>
      </c>
      <c r="B127" s="622" t="s">
        <v>445</v>
      </c>
      <c r="C127" s="595">
        <f>SUM(D127:H127)</f>
        <v>6622</v>
      </c>
      <c r="D127" s="624"/>
      <c r="E127" s="624"/>
      <c r="F127" s="659"/>
      <c r="G127" s="662">
        <v>5805</v>
      </c>
      <c r="H127" s="662">
        <v>817</v>
      </c>
      <c r="I127" s="602"/>
      <c r="J127" s="602">
        <v>5805</v>
      </c>
    </row>
    <row r="128" spans="1:10" ht="15" customHeight="1">
      <c r="A128" s="609">
        <v>94</v>
      </c>
      <c r="B128" s="613" t="s">
        <v>446</v>
      </c>
      <c r="C128" s="595">
        <f>SUM(D128:H128)</f>
        <v>1788</v>
      </c>
      <c r="D128" s="614"/>
      <c r="E128" s="614"/>
      <c r="F128" s="660"/>
      <c r="G128" s="663">
        <v>1567</v>
      </c>
      <c r="H128" s="663">
        <v>221</v>
      </c>
      <c r="I128" s="598"/>
      <c r="J128" s="598">
        <v>1567</v>
      </c>
    </row>
    <row r="129" spans="1:16" s="216" customFormat="1" ht="15" customHeight="1" thickBot="1">
      <c r="A129" s="621">
        <v>95</v>
      </c>
      <c r="B129" s="622" t="s">
        <v>558</v>
      </c>
      <c r="C129" s="665">
        <f>SUM(D129:H129)</f>
        <v>7355</v>
      </c>
      <c r="D129" s="624"/>
      <c r="E129" s="624"/>
      <c r="F129" s="659"/>
      <c r="G129" s="664">
        <v>3327</v>
      </c>
      <c r="H129" s="664">
        <v>4028</v>
      </c>
      <c r="I129" s="602"/>
      <c r="J129" s="602">
        <v>3327</v>
      </c>
      <c r="K129" s="214"/>
      <c r="L129" s="214"/>
      <c r="M129" s="214"/>
      <c r="N129" s="214"/>
      <c r="O129" s="214"/>
      <c r="P129" s="214"/>
    </row>
    <row r="130" spans="1:10" ht="14.25" customHeight="1" thickBot="1">
      <c r="A130" s="608">
        <v>96</v>
      </c>
      <c r="B130" s="635" t="s">
        <v>324</v>
      </c>
      <c r="C130" s="633">
        <f>SUM(C126:C129)</f>
        <v>16837</v>
      </c>
      <c r="D130" s="631">
        <v>0</v>
      </c>
      <c r="E130" s="631">
        <v>0</v>
      </c>
      <c r="F130" s="631">
        <v>0</v>
      </c>
      <c r="G130" s="631">
        <v>11771</v>
      </c>
      <c r="H130" s="631">
        <f>SUM(H126:H129)</f>
        <v>5066</v>
      </c>
      <c r="I130" s="634">
        <f>SUM(I126:I129)</f>
        <v>0</v>
      </c>
      <c r="J130" s="680">
        <f>SUM(J126:J129)</f>
        <v>11771</v>
      </c>
    </row>
    <row r="131" ht="13.5" thickTop="1"/>
  </sheetData>
  <sheetProtection/>
  <mergeCells count="39">
    <mergeCell ref="B100:I100"/>
    <mergeCell ref="B105:J105"/>
    <mergeCell ref="B111:I111"/>
    <mergeCell ref="B77:I77"/>
    <mergeCell ref="B81:I81"/>
    <mergeCell ref="B85:J85"/>
    <mergeCell ref="B86:I86"/>
    <mergeCell ref="B90:I90"/>
    <mergeCell ref="B96:J96"/>
    <mergeCell ref="C106:H106"/>
    <mergeCell ref="A8:A10"/>
    <mergeCell ref="I8:I10"/>
    <mergeCell ref="B29:I29"/>
    <mergeCell ref="B36:I36"/>
    <mergeCell ref="B12:J12"/>
    <mergeCell ref="B13:I13"/>
    <mergeCell ref="B17:I17"/>
    <mergeCell ref="B24:I24"/>
    <mergeCell ref="B23:J23"/>
    <mergeCell ref="B35:J35"/>
    <mergeCell ref="B70:I70"/>
    <mergeCell ref="B74:I74"/>
    <mergeCell ref="B1:J1"/>
    <mergeCell ref="B4:J4"/>
    <mergeCell ref="B8:B10"/>
    <mergeCell ref="C8:H8"/>
    <mergeCell ref="J8:J10"/>
    <mergeCell ref="C9:C10"/>
    <mergeCell ref="D9:H9"/>
    <mergeCell ref="B121:I121"/>
    <mergeCell ref="B125:I125"/>
    <mergeCell ref="B41:I41"/>
    <mergeCell ref="B44:I44"/>
    <mergeCell ref="B48:I48"/>
    <mergeCell ref="B120:J120"/>
    <mergeCell ref="B43:J43"/>
    <mergeCell ref="B56:I56"/>
    <mergeCell ref="B63:I63"/>
    <mergeCell ref="I106:J10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3" width="58.625" style="0" customWidth="1"/>
    <col min="6" max="6" width="11.125" style="0" bestFit="1" customWidth="1"/>
    <col min="11" max="11" width="11.125" style="0" bestFit="1" customWidth="1"/>
    <col min="12" max="12" width="20.125" style="0" customWidth="1"/>
    <col min="14" max="14" width="11.125" style="0" bestFit="1" customWidth="1"/>
  </cols>
  <sheetData>
    <row r="1" spans="1:14" ht="15">
      <c r="A1" s="792"/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908" t="s">
        <v>171</v>
      </c>
      <c r="M1" s="793"/>
      <c r="N1" s="793"/>
    </row>
    <row r="2" spans="1:14" ht="15.75">
      <c r="A2" s="1160" t="s">
        <v>677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794"/>
      <c r="M2" s="795"/>
      <c r="N2" s="795"/>
    </row>
    <row r="3" spans="1:14" ht="15.75">
      <c r="A3" s="1161" t="s">
        <v>678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796"/>
      <c r="M3" s="795"/>
      <c r="N3" s="795"/>
    </row>
    <row r="4" spans="1:14" ht="12.75">
      <c r="A4" s="792"/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</row>
    <row r="5" spans="1:14" ht="12.75">
      <c r="A5" s="1162" t="s">
        <v>679</v>
      </c>
      <c r="B5" s="1162"/>
      <c r="C5" s="1163"/>
      <c r="D5" s="1164" t="s">
        <v>506</v>
      </c>
      <c r="E5" s="1162"/>
      <c r="F5" s="1165"/>
      <c r="G5" s="1166" t="s">
        <v>309</v>
      </c>
      <c r="H5" s="1167"/>
      <c r="I5" s="1167"/>
      <c r="J5" s="1168"/>
      <c r="K5" s="1169"/>
      <c r="L5" s="1152" t="s">
        <v>305</v>
      </c>
      <c r="M5" s="802"/>
      <c r="N5" s="802" t="s">
        <v>680</v>
      </c>
    </row>
    <row r="6" spans="1:14" ht="25.5">
      <c r="A6" s="1154" t="s">
        <v>681</v>
      </c>
      <c r="B6" s="1155"/>
      <c r="C6" s="797" t="s">
        <v>682</v>
      </c>
      <c r="D6" s="798" t="s">
        <v>683</v>
      </c>
      <c r="E6" s="800" t="s">
        <v>684</v>
      </c>
      <c r="F6" s="801" t="s">
        <v>685</v>
      </c>
      <c r="G6" s="798" t="s">
        <v>686</v>
      </c>
      <c r="H6" s="799" t="s">
        <v>687</v>
      </c>
      <c r="I6" s="799" t="s">
        <v>688</v>
      </c>
      <c r="J6" s="799" t="s">
        <v>687</v>
      </c>
      <c r="K6" s="801" t="s">
        <v>689</v>
      </c>
      <c r="L6" s="1153"/>
      <c r="M6" s="802"/>
      <c r="N6" s="802"/>
    </row>
    <row r="7" spans="1:14" ht="12.75">
      <c r="A7" s="1156"/>
      <c r="B7" s="1157"/>
      <c r="C7" s="803" t="s">
        <v>477</v>
      </c>
      <c r="D7" s="804" t="s">
        <v>478</v>
      </c>
      <c r="E7" s="805" t="s">
        <v>479</v>
      </c>
      <c r="F7" s="806" t="s">
        <v>480</v>
      </c>
      <c r="G7" s="804" t="s">
        <v>481</v>
      </c>
      <c r="H7" s="807" t="s">
        <v>690</v>
      </c>
      <c r="I7" s="807" t="s">
        <v>485</v>
      </c>
      <c r="J7" s="807" t="s">
        <v>486</v>
      </c>
      <c r="K7" s="806" t="s">
        <v>402</v>
      </c>
      <c r="L7" s="808" t="s">
        <v>403</v>
      </c>
      <c r="M7" s="809"/>
      <c r="N7" s="809"/>
    </row>
    <row r="8" spans="1:14" ht="15" customHeight="1">
      <c r="A8" s="810" t="s">
        <v>691</v>
      </c>
      <c r="B8" s="811"/>
      <c r="C8" s="812" t="s">
        <v>692</v>
      </c>
      <c r="D8" s="813"/>
      <c r="E8" s="814"/>
      <c r="F8" s="815">
        <f>SUM(F16,F17)</f>
        <v>175023624</v>
      </c>
      <c r="G8" s="813"/>
      <c r="H8" s="816"/>
      <c r="I8" s="816"/>
      <c r="J8" s="814"/>
      <c r="K8" s="815"/>
      <c r="L8" s="816">
        <f aca="true" t="shared" si="0" ref="L8:L15">F8+K8</f>
        <v>175023624</v>
      </c>
      <c r="M8" s="817"/>
      <c r="N8" s="817">
        <f>SUM(N9:N17)</f>
        <v>175023624</v>
      </c>
    </row>
    <row r="9" spans="1:14" ht="15.75" customHeight="1">
      <c r="A9" s="818"/>
      <c r="B9" s="819" t="s">
        <v>693</v>
      </c>
      <c r="C9" s="820" t="s">
        <v>550</v>
      </c>
      <c r="D9" s="821">
        <v>28.36</v>
      </c>
      <c r="E9" s="822">
        <v>4580000</v>
      </c>
      <c r="F9" s="823">
        <f>D9*E9</f>
        <v>129888800</v>
      </c>
      <c r="G9" s="821"/>
      <c r="H9" s="824"/>
      <c r="I9" s="824"/>
      <c r="J9" s="822"/>
      <c r="K9" s="823"/>
      <c r="L9" s="824">
        <f t="shared" si="0"/>
        <v>129888800</v>
      </c>
      <c r="M9" s="825"/>
      <c r="N9" s="826">
        <f>SUM(L9)</f>
        <v>129888800</v>
      </c>
    </row>
    <row r="10" spans="1:14" ht="18.75" customHeight="1">
      <c r="A10" s="818"/>
      <c r="B10" s="819" t="s">
        <v>694</v>
      </c>
      <c r="C10" s="820" t="s">
        <v>695</v>
      </c>
      <c r="D10" s="821"/>
      <c r="E10" s="822"/>
      <c r="F10" s="823">
        <f>SUM(F11:F14)</f>
        <v>53229764</v>
      </c>
      <c r="G10" s="821"/>
      <c r="H10" s="824"/>
      <c r="I10" s="824"/>
      <c r="J10" s="822"/>
      <c r="K10" s="823"/>
      <c r="L10" s="824">
        <f t="shared" si="0"/>
        <v>53229764</v>
      </c>
      <c r="M10" s="825"/>
      <c r="N10" s="826">
        <f>SUM(L11:L14)</f>
        <v>53229764</v>
      </c>
    </row>
    <row r="11" spans="1:14" ht="27.75" customHeight="1">
      <c r="A11" s="827"/>
      <c r="B11" s="828" t="s">
        <v>696</v>
      </c>
      <c r="C11" s="829" t="s">
        <v>697</v>
      </c>
      <c r="D11" s="830"/>
      <c r="E11" s="831"/>
      <c r="F11" s="832">
        <v>18127132</v>
      </c>
      <c r="G11" s="830"/>
      <c r="H11" s="833"/>
      <c r="I11" s="833"/>
      <c r="J11" s="831"/>
      <c r="K11" s="832"/>
      <c r="L11" s="833">
        <f t="shared" si="0"/>
        <v>18127132</v>
      </c>
      <c r="M11" s="834"/>
      <c r="N11" s="826"/>
    </row>
    <row r="12" spans="1:14" ht="12.75">
      <c r="A12" s="827"/>
      <c r="B12" s="828" t="s">
        <v>698</v>
      </c>
      <c r="C12" s="835" t="s">
        <v>699</v>
      </c>
      <c r="D12" s="830"/>
      <c r="E12" s="831"/>
      <c r="F12" s="832">
        <v>29250632</v>
      </c>
      <c r="G12" s="830"/>
      <c r="H12" s="833"/>
      <c r="I12" s="833"/>
      <c r="J12" s="831"/>
      <c r="K12" s="832"/>
      <c r="L12" s="833">
        <f t="shared" si="0"/>
        <v>29250632</v>
      </c>
      <c r="M12" s="834"/>
      <c r="N12" s="826"/>
    </row>
    <row r="13" spans="1:14" ht="12.75">
      <c r="A13" s="827"/>
      <c r="B13" s="828" t="s">
        <v>700</v>
      </c>
      <c r="C13" s="835" t="s">
        <v>701</v>
      </c>
      <c r="D13" s="830"/>
      <c r="E13" s="831"/>
      <c r="F13" s="832">
        <v>0</v>
      </c>
      <c r="G13" s="830"/>
      <c r="H13" s="833"/>
      <c r="I13" s="833"/>
      <c r="J13" s="831"/>
      <c r="K13" s="832"/>
      <c r="L13" s="833">
        <f t="shared" si="0"/>
        <v>0</v>
      </c>
      <c r="M13" s="834"/>
      <c r="N13" s="826"/>
    </row>
    <row r="14" spans="1:14" ht="12.75">
      <c r="A14" s="827"/>
      <c r="B14" s="828" t="s">
        <v>702</v>
      </c>
      <c r="C14" s="835" t="s">
        <v>703</v>
      </c>
      <c r="D14" s="830"/>
      <c r="E14" s="831"/>
      <c r="F14" s="832">
        <v>5852000</v>
      </c>
      <c r="G14" s="830"/>
      <c r="H14" s="833"/>
      <c r="I14" s="833"/>
      <c r="J14" s="831"/>
      <c r="K14" s="832"/>
      <c r="L14" s="833">
        <f t="shared" si="0"/>
        <v>5852000</v>
      </c>
      <c r="M14" s="834"/>
      <c r="N14" s="826"/>
    </row>
    <row r="15" spans="1:14" ht="12.75">
      <c r="A15" s="818"/>
      <c r="B15" s="819" t="s">
        <v>704</v>
      </c>
      <c r="C15" s="836" t="s">
        <v>705</v>
      </c>
      <c r="D15" s="821"/>
      <c r="E15" s="837"/>
      <c r="F15" s="823">
        <f>-33377740</f>
        <v>-33377740</v>
      </c>
      <c r="G15" s="821"/>
      <c r="H15" s="824"/>
      <c r="I15" s="824"/>
      <c r="J15" s="822"/>
      <c r="K15" s="823"/>
      <c r="L15" s="824">
        <f t="shared" si="0"/>
        <v>-33377740</v>
      </c>
      <c r="M15" s="825"/>
      <c r="N15" s="826">
        <f>SUM(L15)</f>
        <v>-33377740</v>
      </c>
    </row>
    <row r="16" spans="1:14" ht="12.75">
      <c r="A16" s="838"/>
      <c r="B16" s="839"/>
      <c r="C16" s="840" t="s">
        <v>706</v>
      </c>
      <c r="D16" s="841"/>
      <c r="E16" s="837"/>
      <c r="F16" s="842">
        <f>SUM(F15,F10,F9)</f>
        <v>149740824</v>
      </c>
      <c r="G16" s="841"/>
      <c r="H16" s="843"/>
      <c r="I16" s="843"/>
      <c r="J16" s="837"/>
      <c r="K16" s="842"/>
      <c r="L16" s="843"/>
      <c r="M16" s="844"/>
      <c r="N16" s="845"/>
    </row>
    <row r="17" spans="1:14" ht="12.75">
      <c r="A17" s="818"/>
      <c r="B17" s="819" t="s">
        <v>707</v>
      </c>
      <c r="C17" s="836" t="s">
        <v>708</v>
      </c>
      <c r="D17" s="821">
        <v>9364</v>
      </c>
      <c r="E17" s="822">
        <v>2700</v>
      </c>
      <c r="F17" s="823">
        <f>D17*E17</f>
        <v>25282800</v>
      </c>
      <c r="G17" s="821"/>
      <c r="H17" s="824"/>
      <c r="I17" s="824"/>
      <c r="J17" s="822"/>
      <c r="K17" s="823"/>
      <c r="L17" s="824">
        <f>F17+K17</f>
        <v>25282800</v>
      </c>
      <c r="M17" s="825"/>
      <c r="N17" s="826">
        <f>SUM(L17)</f>
        <v>25282800</v>
      </c>
    </row>
    <row r="18" spans="1:14" ht="8.25" customHeight="1">
      <c r="A18" s="827"/>
      <c r="B18" s="846"/>
      <c r="C18" s="847"/>
      <c r="D18" s="830"/>
      <c r="E18" s="831"/>
      <c r="F18" s="832"/>
      <c r="G18" s="830"/>
      <c r="H18" s="833"/>
      <c r="I18" s="833"/>
      <c r="J18" s="831"/>
      <c r="K18" s="832"/>
      <c r="L18" s="824"/>
      <c r="M18" s="834"/>
      <c r="N18" s="834"/>
    </row>
    <row r="19" spans="1:14" ht="32.25" customHeight="1">
      <c r="A19" s="810" t="s">
        <v>709</v>
      </c>
      <c r="B19" s="848"/>
      <c r="C19" s="812" t="s">
        <v>710</v>
      </c>
      <c r="D19" s="849"/>
      <c r="E19" s="850"/>
      <c r="F19" s="851">
        <f>SUM(F20,F25,F26)</f>
        <v>34476000</v>
      </c>
      <c r="G19" s="849"/>
      <c r="H19" s="852"/>
      <c r="I19" s="852"/>
      <c r="J19" s="850"/>
      <c r="K19" s="851">
        <f>SUM(K20,K25,K26)</f>
        <v>116856200</v>
      </c>
      <c r="L19" s="853">
        <f>F19+K19</f>
        <v>151332200</v>
      </c>
      <c r="M19" s="834"/>
      <c r="N19" s="825">
        <f>SUM(N20:N26)</f>
        <v>145544000</v>
      </c>
    </row>
    <row r="20" spans="1:14" ht="28.5" customHeight="1">
      <c r="A20" s="854"/>
      <c r="B20" s="819" t="s">
        <v>711</v>
      </c>
      <c r="C20" s="820" t="s">
        <v>551</v>
      </c>
      <c r="D20" s="821"/>
      <c r="E20" s="822"/>
      <c r="F20" s="823"/>
      <c r="G20" s="821"/>
      <c r="H20" s="824"/>
      <c r="I20" s="824"/>
      <c r="J20" s="822"/>
      <c r="K20" s="823">
        <f>SUM(K21:K24)</f>
        <v>88764200</v>
      </c>
      <c r="L20" s="824">
        <f>SUM(K20,F20)</f>
        <v>88764200</v>
      </c>
      <c r="M20" s="825"/>
      <c r="N20" s="826">
        <f>SUM(L21:L22)</f>
        <v>82976000</v>
      </c>
    </row>
    <row r="21" spans="1:14" ht="14.25" customHeight="1">
      <c r="A21" s="827"/>
      <c r="B21" s="828" t="s">
        <v>712</v>
      </c>
      <c r="C21" s="829" t="s">
        <v>713</v>
      </c>
      <c r="D21" s="830"/>
      <c r="E21" s="855"/>
      <c r="F21" s="832"/>
      <c r="G21" s="830">
        <v>22</v>
      </c>
      <c r="H21" s="833">
        <v>2832000</v>
      </c>
      <c r="I21" s="833">
        <v>22</v>
      </c>
      <c r="J21" s="831">
        <v>2832000</v>
      </c>
      <c r="K21" s="832">
        <f>(G21/12*8*H21)+(I21/12*4*J21)</f>
        <v>62304000</v>
      </c>
      <c r="L21" s="833">
        <f aca="true" t="shared" si="1" ref="L21:L35">F21+K21</f>
        <v>62304000</v>
      </c>
      <c r="M21" s="834"/>
      <c r="N21" s="826"/>
    </row>
    <row r="22" spans="1:14" ht="18" customHeight="1">
      <c r="A22" s="827"/>
      <c r="B22" s="828" t="s">
        <v>714</v>
      </c>
      <c r="C22" s="829" t="s">
        <v>715</v>
      </c>
      <c r="D22" s="830"/>
      <c r="E22" s="855"/>
      <c r="F22" s="832"/>
      <c r="G22" s="830">
        <v>11</v>
      </c>
      <c r="H22" s="833">
        <v>1632000</v>
      </c>
      <c r="I22" s="833">
        <v>16</v>
      </c>
      <c r="J22" s="831">
        <v>1632000</v>
      </c>
      <c r="K22" s="832">
        <f>(G22/12*8*H22)+(I22/12*4*J22)</f>
        <v>20672000</v>
      </c>
      <c r="L22" s="833">
        <f t="shared" si="1"/>
        <v>20672000</v>
      </c>
      <c r="M22" s="834"/>
      <c r="N22" s="826"/>
    </row>
    <row r="23" spans="1:14" ht="13.5" customHeight="1">
      <c r="A23" s="827"/>
      <c r="B23" s="828"/>
      <c r="C23" s="829" t="s">
        <v>737</v>
      </c>
      <c r="D23" s="830"/>
      <c r="E23" s="855"/>
      <c r="F23" s="832"/>
      <c r="G23" s="830"/>
      <c r="H23" s="833"/>
      <c r="I23" s="833"/>
      <c r="K23" s="831">
        <v>6051300</v>
      </c>
      <c r="L23" s="833">
        <f t="shared" si="1"/>
        <v>6051300</v>
      </c>
      <c r="M23" s="834"/>
      <c r="N23" s="826"/>
    </row>
    <row r="24" spans="1:14" ht="14.25" customHeight="1">
      <c r="A24" s="827"/>
      <c r="B24" s="828"/>
      <c r="C24" s="829" t="s">
        <v>738</v>
      </c>
      <c r="D24" s="830"/>
      <c r="E24" s="855"/>
      <c r="F24" s="832"/>
      <c r="G24" s="830"/>
      <c r="H24" s="833"/>
      <c r="I24" s="833"/>
      <c r="J24" s="831"/>
      <c r="K24" s="832">
        <v>-263100</v>
      </c>
      <c r="L24" s="833">
        <f t="shared" si="1"/>
        <v>-263100</v>
      </c>
      <c r="M24" s="834"/>
      <c r="N24" s="826"/>
    </row>
    <row r="25" spans="1:14" ht="12.75">
      <c r="A25" s="818"/>
      <c r="B25" s="819" t="s">
        <v>716</v>
      </c>
      <c r="C25" s="836" t="s">
        <v>559</v>
      </c>
      <c r="D25" s="841"/>
      <c r="E25" s="837"/>
      <c r="F25" s="823"/>
      <c r="G25" s="821">
        <v>255</v>
      </c>
      <c r="H25" s="824">
        <v>54000</v>
      </c>
      <c r="I25" s="824">
        <v>246</v>
      </c>
      <c r="J25" s="822">
        <v>54000</v>
      </c>
      <c r="K25" s="823">
        <f>(G25/12*8*H25)+(I25/12*4*J25)</f>
        <v>13608000</v>
      </c>
      <c r="L25" s="824">
        <f t="shared" si="1"/>
        <v>13608000</v>
      </c>
      <c r="M25" s="825"/>
      <c r="N25" s="826">
        <f>SUM(L25)</f>
        <v>13608000</v>
      </c>
    </row>
    <row r="26" spans="1:14" ht="12.75">
      <c r="A26" s="818"/>
      <c r="B26" s="819" t="s">
        <v>717</v>
      </c>
      <c r="C26" s="836" t="s">
        <v>718</v>
      </c>
      <c r="D26" s="841"/>
      <c r="E26" s="837"/>
      <c r="F26" s="823">
        <f>SUM(F29:F30)</f>
        <v>34476000</v>
      </c>
      <c r="G26" s="821"/>
      <c r="H26" s="824"/>
      <c r="I26" s="824"/>
      <c r="J26" s="822"/>
      <c r="K26" s="823">
        <f>SUM(K27:K30)</f>
        <v>14484000</v>
      </c>
      <c r="L26" s="824">
        <f t="shared" si="1"/>
        <v>48960000</v>
      </c>
      <c r="M26" s="825"/>
      <c r="N26" s="826">
        <f>SUM(L27:L30)</f>
        <v>48960000</v>
      </c>
    </row>
    <row r="27" spans="1:14" ht="12.75">
      <c r="A27" s="827"/>
      <c r="B27" s="828"/>
      <c r="C27" s="835" t="s">
        <v>719</v>
      </c>
      <c r="D27" s="830"/>
      <c r="E27" s="831"/>
      <c r="F27" s="832"/>
      <c r="G27" s="830">
        <v>5</v>
      </c>
      <c r="H27" s="833">
        <v>102000</v>
      </c>
      <c r="I27" s="833">
        <v>5</v>
      </c>
      <c r="J27" s="831">
        <v>102000</v>
      </c>
      <c r="K27" s="856">
        <f>(G27/12*8*H27)+(I27/12*4*J27)</f>
        <v>510000</v>
      </c>
      <c r="L27" s="833">
        <f>F27+K27</f>
        <v>510000</v>
      </c>
      <c r="M27" s="834"/>
      <c r="N27" s="834"/>
    </row>
    <row r="28" spans="1:14" ht="12.75">
      <c r="A28" s="827"/>
      <c r="B28" s="846"/>
      <c r="C28" s="835" t="s">
        <v>720</v>
      </c>
      <c r="D28" s="830"/>
      <c r="E28" s="831"/>
      <c r="F28" s="832"/>
      <c r="G28" s="830">
        <v>137</v>
      </c>
      <c r="H28" s="833">
        <v>102000</v>
      </c>
      <c r="I28" s="833">
        <v>137</v>
      </c>
      <c r="J28" s="831">
        <v>102000</v>
      </c>
      <c r="K28" s="856">
        <f>(G28/12*8*H28)+(I28/12*4*J28)</f>
        <v>13974000</v>
      </c>
      <c r="L28" s="833">
        <f>F28+K28</f>
        <v>13974000</v>
      </c>
      <c r="M28" s="834"/>
      <c r="N28" s="834"/>
    </row>
    <row r="29" spans="1:14" ht="12.75">
      <c r="A29" s="827"/>
      <c r="B29" s="846"/>
      <c r="C29" s="835" t="s">
        <v>721</v>
      </c>
      <c r="D29" s="830">
        <f>308+17+5</f>
        <v>330</v>
      </c>
      <c r="E29" s="831">
        <v>102000</v>
      </c>
      <c r="F29" s="832">
        <f>D29*E29</f>
        <v>33660000</v>
      </c>
      <c r="G29" s="830"/>
      <c r="H29" s="833"/>
      <c r="I29" s="833"/>
      <c r="J29" s="831"/>
      <c r="K29" s="856"/>
      <c r="L29" s="833">
        <f t="shared" si="1"/>
        <v>33660000</v>
      </c>
      <c r="M29" s="834"/>
      <c r="N29" s="834"/>
    </row>
    <row r="30" spans="1:14" ht="12.75">
      <c r="A30" s="827"/>
      <c r="B30" s="846"/>
      <c r="C30" s="835" t="s">
        <v>722</v>
      </c>
      <c r="D30" s="830">
        <f>7+1</f>
        <v>8</v>
      </c>
      <c r="E30" s="831">
        <v>102000</v>
      </c>
      <c r="F30" s="832">
        <f>D30*E30</f>
        <v>816000</v>
      </c>
      <c r="G30" s="830"/>
      <c r="H30" s="833"/>
      <c r="I30" s="833"/>
      <c r="J30" s="831"/>
      <c r="K30" s="856"/>
      <c r="L30" s="833">
        <f t="shared" si="1"/>
        <v>816000</v>
      </c>
      <c r="M30" s="834"/>
      <c r="N30" s="834"/>
    </row>
    <row r="31" spans="1:14" ht="12.75">
      <c r="A31" s="827"/>
      <c r="B31" s="846"/>
      <c r="C31" s="847"/>
      <c r="D31" s="830"/>
      <c r="E31" s="831"/>
      <c r="F31" s="832"/>
      <c r="G31" s="830"/>
      <c r="H31" s="833"/>
      <c r="I31" s="833"/>
      <c r="J31" s="831"/>
      <c r="K31" s="856"/>
      <c r="L31" s="833"/>
      <c r="M31" s="834"/>
      <c r="N31" s="834"/>
    </row>
    <row r="32" spans="1:14" ht="24.75" customHeight="1">
      <c r="A32" s="810" t="s">
        <v>723</v>
      </c>
      <c r="B32" s="857"/>
      <c r="C32" s="812" t="s">
        <v>724</v>
      </c>
      <c r="D32" s="858"/>
      <c r="E32" s="859"/>
      <c r="F32" s="851">
        <f>SUM(F33:F35)</f>
        <v>221572034</v>
      </c>
      <c r="G32" s="860"/>
      <c r="H32" s="853"/>
      <c r="I32" s="861"/>
      <c r="J32" s="859"/>
      <c r="K32" s="851">
        <f>SUM(K33:K35)</f>
        <v>5929200</v>
      </c>
      <c r="L32" s="853">
        <f t="shared" si="1"/>
        <v>227501234</v>
      </c>
      <c r="M32" s="825"/>
      <c r="N32" s="825">
        <f>SUM(N33:N35)</f>
        <v>227501234</v>
      </c>
    </row>
    <row r="33" spans="1:14" ht="12.75">
      <c r="A33" s="818"/>
      <c r="B33" s="819" t="s">
        <v>725</v>
      </c>
      <c r="C33" s="836" t="s">
        <v>564</v>
      </c>
      <c r="D33" s="821"/>
      <c r="E33" s="822"/>
      <c r="F33" s="823">
        <v>137772552</v>
      </c>
      <c r="G33" s="821"/>
      <c r="H33" s="824"/>
      <c r="I33" s="824"/>
      <c r="J33" s="822"/>
      <c r="K33" s="823"/>
      <c r="L33" s="824">
        <f t="shared" si="1"/>
        <v>137772552</v>
      </c>
      <c r="M33" s="825"/>
      <c r="N33" s="826">
        <f>SUM(L33)</f>
        <v>137772552</v>
      </c>
    </row>
    <row r="34" spans="1:14" ht="12.75">
      <c r="A34" s="818"/>
      <c r="B34" s="819" t="s">
        <v>726</v>
      </c>
      <c r="C34" s="836" t="s">
        <v>562</v>
      </c>
      <c r="D34" s="821"/>
      <c r="E34" s="822"/>
      <c r="F34" s="823">
        <v>76401922</v>
      </c>
      <c r="G34" s="821"/>
      <c r="H34" s="824"/>
      <c r="I34" s="862"/>
      <c r="J34" s="822"/>
      <c r="K34" s="823"/>
      <c r="L34" s="824">
        <f t="shared" si="1"/>
        <v>76401922</v>
      </c>
      <c r="M34" s="825"/>
      <c r="N34" s="826">
        <f>SUM(L34)</f>
        <v>76401922</v>
      </c>
    </row>
    <row r="35" spans="1:14" ht="12.75">
      <c r="A35" s="818"/>
      <c r="B35" s="819" t="s">
        <v>727</v>
      </c>
      <c r="C35" s="836" t="s">
        <v>563</v>
      </c>
      <c r="D35" s="821"/>
      <c r="E35" s="822"/>
      <c r="F35" s="823">
        <f>SUM(F36:F38)</f>
        <v>7397560</v>
      </c>
      <c r="G35" s="863"/>
      <c r="H35" s="824"/>
      <c r="I35" s="862"/>
      <c r="J35" s="822"/>
      <c r="K35" s="823">
        <f>SUM(K36:K38)</f>
        <v>5929200</v>
      </c>
      <c r="L35" s="824">
        <f t="shared" si="1"/>
        <v>13326760</v>
      </c>
      <c r="M35" s="825"/>
      <c r="N35" s="826">
        <f>SUM(L36:L38)</f>
        <v>13326760</v>
      </c>
    </row>
    <row r="36" spans="1:14" ht="12.75">
      <c r="A36" s="827"/>
      <c r="B36" s="828" t="s">
        <v>728</v>
      </c>
      <c r="C36" s="835" t="s">
        <v>524</v>
      </c>
      <c r="D36" s="830"/>
      <c r="E36" s="831"/>
      <c r="F36" s="832">
        <v>3698780</v>
      </c>
      <c r="G36" s="864"/>
      <c r="H36" s="833"/>
      <c r="I36" s="865"/>
      <c r="J36" s="831"/>
      <c r="K36" s="832"/>
      <c r="L36" s="833">
        <f>F36+K36</f>
        <v>3698780</v>
      </c>
      <c r="M36" s="834"/>
      <c r="N36" s="834"/>
    </row>
    <row r="37" spans="1:14" ht="12.75">
      <c r="A37" s="827"/>
      <c r="B37" s="828" t="s">
        <v>729</v>
      </c>
      <c r="C37" s="835" t="s">
        <v>730</v>
      </c>
      <c r="D37" s="830"/>
      <c r="E37" s="831"/>
      <c r="F37" s="832">
        <v>3698780</v>
      </c>
      <c r="G37" s="864"/>
      <c r="H37" s="833"/>
      <c r="I37" s="865"/>
      <c r="J37" s="831"/>
      <c r="K37" s="832"/>
      <c r="L37" s="833">
        <f>F37+K37</f>
        <v>3698780</v>
      </c>
      <c r="M37" s="834"/>
      <c r="N37" s="834"/>
    </row>
    <row r="38" spans="1:14" ht="12.75">
      <c r="A38" s="827"/>
      <c r="B38" s="828" t="s">
        <v>731</v>
      </c>
      <c r="C38" s="835" t="s">
        <v>509</v>
      </c>
      <c r="D38" s="830"/>
      <c r="E38" s="831"/>
      <c r="F38" s="832"/>
      <c r="G38" s="830">
        <v>12</v>
      </c>
      <c r="H38" s="833">
        <v>494100</v>
      </c>
      <c r="I38" s="833">
        <v>12</v>
      </c>
      <c r="J38" s="831">
        <v>494100</v>
      </c>
      <c r="K38" s="856">
        <f>(G38/12*8*H38)+(I38/12*4*J38)</f>
        <v>5929200</v>
      </c>
      <c r="L38" s="833">
        <f>F38+K38</f>
        <v>5929200</v>
      </c>
      <c r="M38" s="834"/>
      <c r="N38" s="834"/>
    </row>
    <row r="39" spans="1:14" ht="12.75">
      <c r="A39" s="827"/>
      <c r="B39" s="828"/>
      <c r="C39" s="835"/>
      <c r="D39" s="830"/>
      <c r="E39" s="831"/>
      <c r="F39" s="832"/>
      <c r="G39" s="830"/>
      <c r="H39" s="833"/>
      <c r="I39" s="833"/>
      <c r="J39" s="831"/>
      <c r="K39" s="832"/>
      <c r="L39" s="833"/>
      <c r="M39" s="834"/>
      <c r="N39" s="834"/>
    </row>
    <row r="40" spans="1:14" ht="33.75" customHeight="1">
      <c r="A40" s="810" t="s">
        <v>732</v>
      </c>
      <c r="B40" s="857"/>
      <c r="C40" s="812" t="s">
        <v>733</v>
      </c>
      <c r="D40" s="858"/>
      <c r="E40" s="859"/>
      <c r="F40" s="851">
        <f>SUM(F41:F42)</f>
        <v>11074960</v>
      </c>
      <c r="G40" s="860"/>
      <c r="H40" s="853"/>
      <c r="I40" s="861"/>
      <c r="J40" s="859"/>
      <c r="K40" s="851"/>
      <c r="L40" s="853">
        <f>F40+K40</f>
        <v>11074960</v>
      </c>
      <c r="M40" s="825"/>
      <c r="N40" s="825">
        <f>SUM(L41)</f>
        <v>10674960</v>
      </c>
    </row>
    <row r="41" spans="1:14" ht="27.75" customHeight="1">
      <c r="A41" s="827"/>
      <c r="B41" s="828" t="s">
        <v>707</v>
      </c>
      <c r="C41" s="829" t="s">
        <v>734</v>
      </c>
      <c r="D41" s="830">
        <v>9364</v>
      </c>
      <c r="E41" s="831">
        <v>1140</v>
      </c>
      <c r="F41" s="832">
        <f>D41*E41</f>
        <v>10674960</v>
      </c>
      <c r="G41" s="866"/>
      <c r="H41" s="867"/>
      <c r="I41" s="865"/>
      <c r="J41" s="855"/>
      <c r="K41" s="832"/>
      <c r="L41" s="833">
        <f>F41+K41</f>
        <v>10674960</v>
      </c>
      <c r="M41" s="834"/>
      <c r="N41" s="834"/>
    </row>
    <row r="42" spans="1:14" ht="16.5" customHeight="1">
      <c r="A42" s="827"/>
      <c r="B42" s="828"/>
      <c r="C42" s="829" t="s">
        <v>739</v>
      </c>
      <c r="D42" s="830"/>
      <c r="E42" s="831"/>
      <c r="F42" s="832">
        <v>400000</v>
      </c>
      <c r="G42" s="866"/>
      <c r="H42" s="867"/>
      <c r="I42" s="865"/>
      <c r="J42" s="855"/>
      <c r="K42" s="832"/>
      <c r="L42" s="833">
        <f>F42+K42</f>
        <v>400000</v>
      </c>
      <c r="M42" s="834"/>
      <c r="N42" s="834"/>
    </row>
    <row r="43" spans="1:14" ht="15">
      <c r="A43" s="1158" t="s">
        <v>735</v>
      </c>
      <c r="B43" s="1158"/>
      <c r="C43" s="1159"/>
      <c r="D43" s="868" t="s">
        <v>736</v>
      </c>
      <c r="E43" s="869" t="s">
        <v>736</v>
      </c>
      <c r="F43" s="870">
        <f>SUM(F40,F32,F19,F8)</f>
        <v>442146618</v>
      </c>
      <c r="G43" s="868" t="s">
        <v>736</v>
      </c>
      <c r="H43" s="871" t="s">
        <v>736</v>
      </c>
      <c r="I43" s="871" t="s">
        <v>736</v>
      </c>
      <c r="J43" s="869" t="s">
        <v>736</v>
      </c>
      <c r="K43" s="870">
        <f>SUM(K40,K32,K19,K8)</f>
        <v>122785400</v>
      </c>
      <c r="L43" s="872">
        <f>SUM(L40,L32,L19,L8)</f>
        <v>564932018</v>
      </c>
      <c r="M43" s="873"/>
      <c r="N43" s="874">
        <f>SUM(N40,N32,N19,N8)</f>
        <v>558743818</v>
      </c>
    </row>
    <row r="44" spans="1:14" ht="12.75">
      <c r="A44" s="792"/>
      <c r="B44" s="793"/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</row>
    <row r="45" spans="1:14" ht="12.75">
      <c r="A45" s="792"/>
      <c r="B45" s="793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834">
        <f>SUM(K43,F43)</f>
        <v>564932018</v>
      </c>
    </row>
    <row r="46" spans="1:14" ht="12.75">
      <c r="A46" s="792"/>
      <c r="B46" s="793"/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</row>
  </sheetData>
  <sheetProtection/>
  <mergeCells count="8">
    <mergeCell ref="L5:L6"/>
    <mergeCell ref="A6:B7"/>
    <mergeCell ref="A43:C43"/>
    <mergeCell ref="A2:K2"/>
    <mergeCell ref="A3:K3"/>
    <mergeCell ref="A5:C5"/>
    <mergeCell ref="D5:F5"/>
    <mergeCell ref="G5:K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44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9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161" bestFit="1" customWidth="1"/>
    <col min="2" max="2" width="77.375" style="7" customWidth="1"/>
    <col min="3" max="3" width="16.75390625" style="7" customWidth="1"/>
    <col min="4" max="6" width="14.75390625" style="7" customWidth="1"/>
    <col min="7" max="7" width="8.875" style="7" customWidth="1"/>
    <col min="8" max="8" width="13.875" style="86" bestFit="1" customWidth="1"/>
    <col min="9" max="9" width="8.875" style="7" customWidth="1"/>
    <col min="10" max="10" width="12.75390625" style="7" bestFit="1" customWidth="1"/>
    <col min="11" max="16384" width="8.875" style="7" customWidth="1"/>
  </cols>
  <sheetData>
    <row r="1" spans="3:9" ht="21" customHeight="1">
      <c r="C1" s="915" t="s">
        <v>162</v>
      </c>
      <c r="D1" s="915"/>
      <c r="E1" s="915"/>
      <c r="F1" s="915"/>
      <c r="G1" s="913"/>
      <c r="H1" s="914"/>
      <c r="I1" s="914"/>
    </row>
    <row r="2" ht="16.5" customHeight="1"/>
    <row r="3" spans="2:6" ht="16.5">
      <c r="B3" s="912" t="s">
        <v>270</v>
      </c>
      <c r="C3" s="912"/>
      <c r="D3" s="912"/>
      <c r="E3" s="912"/>
      <c r="F3" s="912"/>
    </row>
    <row r="4" spans="2:6" ht="16.5">
      <c r="B4" s="533"/>
      <c r="C4" s="533"/>
      <c r="D4" s="533"/>
      <c r="E4" s="533"/>
      <c r="F4" s="533"/>
    </row>
    <row r="5" spans="2:6" ht="16.5">
      <c r="B5" s="533"/>
      <c r="C5" s="533"/>
      <c r="D5" s="533"/>
      <c r="E5" s="533"/>
      <c r="F5" s="533"/>
    </row>
    <row r="6" ht="12.75">
      <c r="F6" s="8"/>
    </row>
    <row r="7" spans="1:8" s="9" customFormat="1" ht="60" customHeight="1">
      <c r="A7" s="141" t="s">
        <v>483</v>
      </c>
      <c r="B7" s="140" t="s">
        <v>292</v>
      </c>
      <c r="C7" s="141" t="s">
        <v>507</v>
      </c>
      <c r="D7" s="141" t="s">
        <v>337</v>
      </c>
      <c r="E7" s="141" t="s">
        <v>309</v>
      </c>
      <c r="F7" s="140" t="s">
        <v>305</v>
      </c>
      <c r="H7" s="86" t="s">
        <v>226</v>
      </c>
    </row>
    <row r="8" spans="1:8" s="138" customFormat="1" ht="12">
      <c r="A8" s="162"/>
      <c r="B8" s="142" t="s">
        <v>477</v>
      </c>
      <c r="C8" s="158" t="s">
        <v>478</v>
      </c>
      <c r="D8" s="158" t="s">
        <v>479</v>
      </c>
      <c r="E8" s="158" t="s">
        <v>480</v>
      </c>
      <c r="F8" s="158" t="s">
        <v>481</v>
      </c>
      <c r="H8" s="160"/>
    </row>
    <row r="9" spans="1:8" s="88" customFormat="1" ht="18" customHeight="1">
      <c r="A9" s="162">
        <v>1</v>
      </c>
      <c r="B9" s="143" t="s">
        <v>7</v>
      </c>
      <c r="C9" s="100">
        <f>SUM(C10,C29)</f>
        <v>5577834</v>
      </c>
      <c r="D9" s="100">
        <f>SUM(D10,D29)</f>
        <v>347836</v>
      </c>
      <c r="E9" s="100">
        <f>SUM(E10,E29)</f>
        <v>191573</v>
      </c>
      <c r="F9" s="103">
        <f>SUM(C9:E9)</f>
        <v>6117243</v>
      </c>
      <c r="H9" s="86">
        <f>SUM(C9:E9)</f>
        <v>6117243</v>
      </c>
    </row>
    <row r="10" spans="1:8" s="65" customFormat="1" ht="18" customHeight="1">
      <c r="A10" s="162">
        <v>2</v>
      </c>
      <c r="B10" s="144" t="s">
        <v>224</v>
      </c>
      <c r="C10" s="101">
        <f>SUM(C11:C15)</f>
        <v>1443639</v>
      </c>
      <c r="D10" s="101">
        <f>SUM(D11:D15)</f>
        <v>347836</v>
      </c>
      <c r="E10" s="101">
        <f>SUM(E11:E15)</f>
        <v>189811</v>
      </c>
      <c r="F10" s="103">
        <f>SUM(C10:E10)</f>
        <v>1981286</v>
      </c>
      <c r="H10" s="86">
        <f>SUM(C10:E10)</f>
        <v>1981286</v>
      </c>
    </row>
    <row r="11" spans="1:8" s="66" customFormat="1" ht="18" customHeight="1">
      <c r="A11" s="162">
        <v>3</v>
      </c>
      <c r="B11" s="163" t="s">
        <v>543</v>
      </c>
      <c r="C11" s="103">
        <f>103156-1702-119+12155+23+425+284+377+289+112484+218-2606-4277+4277+43+469+3700+453+227+76+82+34+51+37+945-1102+76+73+240+155-155-604-133+9-848-39</f>
        <v>228773</v>
      </c>
      <c r="D11" s="103">
        <f>90010+1271+1080-1402+1333+133+144+148+16+11-164</f>
        <v>92580</v>
      </c>
      <c r="E11" s="103">
        <f>85147-3842+24+1240+1000+3567+1575+5805-42+160+182-342+2265+339+4765+2460-2015</f>
        <v>102288</v>
      </c>
      <c r="F11" s="103">
        <f>SUM(C11:E11)</f>
        <v>423641</v>
      </c>
      <c r="H11" s="86"/>
    </row>
    <row r="12" spans="1:8" s="66" customFormat="1" ht="18" customHeight="1">
      <c r="A12" s="162">
        <v>4</v>
      </c>
      <c r="B12" s="163" t="s">
        <v>946</v>
      </c>
      <c r="C12" s="103">
        <f>25548-460-16+1641+6+115+76+102+78+15185+15+59-351-577+577-412-138-275+12+126+499+61+30+21+22+9+14+10+255-298+47+48+10+292-44-22-228+51-51-341+2</f>
        <v>41698</v>
      </c>
      <c r="D12" s="103">
        <f>22880-379+343+292+360+36+39-137-550-138-138+40+4+3+164</f>
        <v>22819</v>
      </c>
      <c r="E12" s="103">
        <f>22943-1037+6+335+270+963+425+1567-6+612+91+1286+664-686</f>
        <v>27433</v>
      </c>
      <c r="F12" s="103">
        <f aca="true" t="shared" si="0" ref="F12:F27">SUM(C12:E12)</f>
        <v>91950</v>
      </c>
      <c r="H12" s="86"/>
    </row>
    <row r="13" spans="1:8" s="66" customFormat="1" ht="18" customHeight="1">
      <c r="A13" s="162">
        <v>5</v>
      </c>
      <c r="B13" s="163" t="s">
        <v>947</v>
      </c>
      <c r="C13" s="103">
        <f>228624-10103+4033+8393+3604+8+240+65+77+4112+10+1720+839+703558+2905+892+9300+22+34+26+9+98+64-1000+97-400+1086+55+82+2352+606+1396+318-136+279+14822+95+412+138+275+318-1000-300-387-214-306+150-859-450-1396-1215+400+1470+58+970+26+16-100+4363+121+856+1400+39+22+3+215-205-129+1050-1050+900-300-496+144-44+3840+242+12160+88+367+2282+378+110+192+17+155+7+498+13-189-208-240-292+22+44+228+5926+341+509+133+837</f>
        <v>1010537</v>
      </c>
      <c r="D13" s="103">
        <f>36535-1614+370+100+210+137+550+138+138-318-7657</f>
        <v>28589</v>
      </c>
      <c r="E13" s="103">
        <f>53425-3287+2269+614+678+183+1203+325+3327+1624+237-155+34-3124-978</f>
        <v>56375</v>
      </c>
      <c r="F13" s="103">
        <f t="shared" si="0"/>
        <v>1095501</v>
      </c>
      <c r="H13" s="86">
        <f>SUM(C13:E13)</f>
        <v>1095501</v>
      </c>
    </row>
    <row r="14" spans="1:8" s="66" customFormat="1" ht="18" customHeight="1">
      <c r="A14" s="162">
        <v>6</v>
      </c>
      <c r="B14" s="163" t="s">
        <v>952</v>
      </c>
      <c r="C14" s="103">
        <f>2795-500+135+346-124+151+5-5</f>
        <v>2803</v>
      </c>
      <c r="D14" s="103">
        <f>202050-656-1009-1334+12-12+670-13596-7352-890-79</f>
        <v>177804</v>
      </c>
      <c r="E14" s="103">
        <v>0</v>
      </c>
      <c r="F14" s="103">
        <f>SUM(C14:E14)</f>
        <v>180607</v>
      </c>
      <c r="H14" s="86"/>
    </row>
    <row r="15" spans="1:8" s="66" customFormat="1" ht="18" customHeight="1">
      <c r="A15" s="162">
        <v>7</v>
      </c>
      <c r="B15" s="163" t="s">
        <v>953</v>
      </c>
      <c r="C15" s="103">
        <f>SUM(C16:C23)</f>
        <v>159828</v>
      </c>
      <c r="D15" s="103">
        <f>SUM(D16:D23)</f>
        <v>26044</v>
      </c>
      <c r="E15" s="103">
        <f>SUM(E16:E23)</f>
        <v>3715</v>
      </c>
      <c r="F15" s="103">
        <f t="shared" si="0"/>
        <v>189587</v>
      </c>
      <c r="H15" s="86">
        <f>SUM(C15:E15)</f>
        <v>189587</v>
      </c>
    </row>
    <row r="16" spans="1:10" s="67" customFormat="1" ht="18" customHeight="1">
      <c r="A16" s="162">
        <v>8</v>
      </c>
      <c r="B16" s="164" t="s">
        <v>954</v>
      </c>
      <c r="C16" s="302">
        <v>0</v>
      </c>
      <c r="D16" s="302">
        <v>0</v>
      </c>
      <c r="E16" s="302">
        <v>0</v>
      </c>
      <c r="F16" s="302">
        <f t="shared" si="0"/>
        <v>0</v>
      </c>
      <c r="G16" s="304"/>
      <c r="H16" s="305"/>
      <c r="I16" s="303">
        <f>SUM(E16:H16)</f>
        <v>0</v>
      </c>
      <c r="J16" s="302">
        <f>SUM(F16:I16)</f>
        <v>0</v>
      </c>
    </row>
    <row r="17" spans="1:8" s="67" customFormat="1" ht="18" customHeight="1">
      <c r="A17" s="162">
        <v>9</v>
      </c>
      <c r="B17" s="164" t="s">
        <v>955</v>
      </c>
      <c r="C17" s="302">
        <v>1677</v>
      </c>
      <c r="D17" s="302">
        <v>0</v>
      </c>
      <c r="E17" s="302">
        <v>0</v>
      </c>
      <c r="F17" s="302">
        <f t="shared" si="0"/>
        <v>1677</v>
      </c>
      <c r="H17" s="87"/>
    </row>
    <row r="18" spans="1:8" s="67" customFormat="1" ht="18" customHeight="1">
      <c r="A18" s="162">
        <v>10</v>
      </c>
      <c r="B18" s="164" t="s">
        <v>956</v>
      </c>
      <c r="C18" s="302">
        <v>0</v>
      </c>
      <c r="D18" s="302">
        <v>0</v>
      </c>
      <c r="E18" s="302">
        <v>0</v>
      </c>
      <c r="F18" s="302">
        <f t="shared" si="0"/>
        <v>0</v>
      </c>
      <c r="H18" s="87"/>
    </row>
    <row r="19" spans="1:8" s="67" customFormat="1" ht="18" customHeight="1">
      <c r="A19" s="162">
        <v>11</v>
      </c>
      <c r="B19" s="164" t="s">
        <v>957</v>
      </c>
      <c r="C19" s="302">
        <f>326+1610+44+1427</f>
        <v>3407</v>
      </c>
      <c r="D19" s="302">
        <f>13994+12050</f>
        <v>26044</v>
      </c>
      <c r="E19" s="302">
        <v>3715</v>
      </c>
      <c r="F19" s="302">
        <f t="shared" si="0"/>
        <v>33166</v>
      </c>
      <c r="H19" s="87"/>
    </row>
    <row r="20" spans="1:8" s="67" customFormat="1" ht="18" customHeight="1">
      <c r="A20" s="162">
        <v>12</v>
      </c>
      <c r="B20" s="164" t="s">
        <v>958</v>
      </c>
      <c r="C20" s="302">
        <v>0</v>
      </c>
      <c r="D20" s="302">
        <v>0</v>
      </c>
      <c r="E20" s="302">
        <v>0</v>
      </c>
      <c r="F20" s="302">
        <f t="shared" si="0"/>
        <v>0</v>
      </c>
      <c r="H20" s="87"/>
    </row>
    <row r="21" spans="1:8" s="67" customFormat="1" ht="18" customHeight="1">
      <c r="A21" s="162">
        <v>13</v>
      </c>
      <c r="B21" s="164" t="s">
        <v>959</v>
      </c>
      <c r="C21" s="302">
        <v>10000</v>
      </c>
      <c r="D21" s="302">
        <v>0</v>
      </c>
      <c r="E21" s="302">
        <v>0</v>
      </c>
      <c r="F21" s="302">
        <f t="shared" si="0"/>
        <v>10000</v>
      </c>
      <c r="H21" s="87"/>
    </row>
    <row r="22" spans="1:8" s="67" customFormat="1" ht="18" customHeight="1">
      <c r="A22" s="162">
        <v>14</v>
      </c>
      <c r="B22" s="164" t="s">
        <v>960</v>
      </c>
      <c r="C22" s="302">
        <f>207771-75676+1100+1000+400+33+859+2129+2129-33</f>
        <v>139712</v>
      </c>
      <c r="D22" s="302">
        <v>0</v>
      </c>
      <c r="E22" s="302">
        <v>0</v>
      </c>
      <c r="F22" s="302">
        <f t="shared" si="0"/>
        <v>139712</v>
      </c>
      <c r="H22" s="87"/>
    </row>
    <row r="23" spans="1:8" s="67" customFormat="1" ht="18" customHeight="1">
      <c r="A23" s="162">
        <v>15</v>
      </c>
      <c r="B23" s="164" t="s">
        <v>961</v>
      </c>
      <c r="C23" s="302">
        <f>SUM(C24:C28)</f>
        <v>5032</v>
      </c>
      <c r="D23" s="302">
        <f>SUM(D24:D28)</f>
        <v>0</v>
      </c>
      <c r="E23" s="302">
        <f>SUM(E24:E28)</f>
        <v>0</v>
      </c>
      <c r="F23" s="302">
        <f t="shared" si="0"/>
        <v>5032</v>
      </c>
      <c r="H23" s="87"/>
    </row>
    <row r="24" spans="1:8" s="67" customFormat="1" ht="18" customHeight="1">
      <c r="A24" s="162">
        <v>16</v>
      </c>
      <c r="B24" s="306" t="s">
        <v>948</v>
      </c>
      <c r="C24" s="302">
        <f>1000-500-64-97-55-82-210+198-18-150-22</f>
        <v>0</v>
      </c>
      <c r="D24" s="302">
        <v>0</v>
      </c>
      <c r="E24" s="302">
        <v>0</v>
      </c>
      <c r="F24" s="302">
        <f t="shared" si="0"/>
        <v>0</v>
      </c>
      <c r="H24" s="87"/>
    </row>
    <row r="25" spans="1:8" s="67" customFormat="1" ht="18" customHeight="1">
      <c r="A25" s="162">
        <v>17</v>
      </c>
      <c r="B25" s="306" t="s">
        <v>949</v>
      </c>
      <c r="C25" s="302">
        <f>1650+3000-1650</f>
        <v>3000</v>
      </c>
      <c r="D25" s="302">
        <v>0</v>
      </c>
      <c r="E25" s="302">
        <v>0</v>
      </c>
      <c r="F25" s="302">
        <f t="shared" si="0"/>
        <v>3000</v>
      </c>
      <c r="H25" s="87"/>
    </row>
    <row r="26" spans="1:8" s="67" customFormat="1" ht="18" customHeight="1">
      <c r="A26" s="162">
        <v>18</v>
      </c>
      <c r="B26" s="306" t="s">
        <v>950</v>
      </c>
      <c r="C26" s="302">
        <f>1000-500-4033-100+15765-892-9300-82-24+2054-3888+240+10+1-74-95-82+60-710+1770-122-116-882</f>
        <v>0</v>
      </c>
      <c r="D26" s="302">
        <v>0</v>
      </c>
      <c r="E26" s="302">
        <v>0</v>
      </c>
      <c r="F26" s="302">
        <f t="shared" si="0"/>
        <v>0</v>
      </c>
      <c r="H26" s="87"/>
    </row>
    <row r="27" spans="1:8" s="67" customFormat="1" ht="18" customHeight="1">
      <c r="A27" s="162">
        <v>19</v>
      </c>
      <c r="B27" s="306" t="s">
        <v>951</v>
      </c>
      <c r="C27" s="302">
        <f>800+1232</f>
        <v>2032</v>
      </c>
      <c r="D27" s="302">
        <v>0</v>
      </c>
      <c r="E27" s="302">
        <v>0</v>
      </c>
      <c r="F27" s="302">
        <f t="shared" si="0"/>
        <v>2032</v>
      </c>
      <c r="H27" s="87"/>
    </row>
    <row r="28" spans="1:8" s="67" customFormat="1" ht="18" customHeight="1">
      <c r="A28" s="162">
        <v>20</v>
      </c>
      <c r="B28" s="306" t="s">
        <v>522</v>
      </c>
      <c r="C28" s="302">
        <f>98185-8393-3999-4844-2572-508-546-8775-2610-305-7733-4334-1720-51846</f>
        <v>0</v>
      </c>
      <c r="D28" s="302">
        <f>26144-100-13994-12050</f>
        <v>0</v>
      </c>
      <c r="E28" s="302">
        <f>12281-30-1575-3302-861-2798-3715</f>
        <v>0</v>
      </c>
      <c r="F28" s="302"/>
      <c r="H28" s="87"/>
    </row>
    <row r="29" spans="1:8" s="65" customFormat="1" ht="18" customHeight="1">
      <c r="A29" s="162">
        <v>21</v>
      </c>
      <c r="B29" s="165" t="s">
        <v>225</v>
      </c>
      <c r="C29" s="101">
        <f>SUM(C30:C32)</f>
        <v>4134195</v>
      </c>
      <c r="D29" s="101">
        <f>SUM(D30:D32)</f>
        <v>0</v>
      </c>
      <c r="E29" s="101">
        <f>SUM(E30:E32)</f>
        <v>1762</v>
      </c>
      <c r="F29" s="101">
        <f>SUM(F30:F32)</f>
        <v>4135957</v>
      </c>
      <c r="H29" s="86">
        <f>SUM(C29:E29)</f>
        <v>4135957</v>
      </c>
    </row>
    <row r="30" spans="1:8" s="66" customFormat="1" ht="18" customHeight="1">
      <c r="A30" s="162">
        <v>22</v>
      </c>
      <c r="B30" s="163" t="s">
        <v>206</v>
      </c>
      <c r="C30" s="103">
        <f>107077+15275+508+546+3038070+116721+703558+25000+6750+38612+532+2158+64426-1974-14822-95+9307-7620+306+450+9000+129+2740+28+116-5926+95+39</f>
        <v>4111006</v>
      </c>
      <c r="D30" s="103">
        <f>159-159</f>
        <v>0</v>
      </c>
      <c r="E30" s="103">
        <f>330+89+844+228+150+121</f>
        <v>1762</v>
      </c>
      <c r="F30" s="103">
        <f>SUM(C30:E30)</f>
        <v>4112768</v>
      </c>
      <c r="H30" s="86"/>
    </row>
    <row r="31" spans="1:8" s="66" customFormat="1" ht="18" customHeight="1">
      <c r="A31" s="162">
        <v>23</v>
      </c>
      <c r="B31" s="163" t="s">
        <v>219</v>
      </c>
      <c r="C31" s="103">
        <f>3999+232+1650+7580+6</f>
        <v>13467</v>
      </c>
      <c r="D31" s="103">
        <v>0</v>
      </c>
      <c r="E31" s="103">
        <v>0</v>
      </c>
      <c r="F31" s="103">
        <f>SUM(C31:E31)</f>
        <v>13467</v>
      </c>
      <c r="H31" s="86"/>
    </row>
    <row r="32" spans="1:8" s="66" customFormat="1" ht="18" customHeight="1">
      <c r="A32" s="162">
        <v>24</v>
      </c>
      <c r="B32" s="163" t="s">
        <v>523</v>
      </c>
      <c r="C32" s="103">
        <f>SUM(C33:C42)</f>
        <v>9722</v>
      </c>
      <c r="D32" s="103">
        <f>SUM(D33:D42)</f>
        <v>0</v>
      </c>
      <c r="E32" s="103">
        <f>SUM(E33:E42)</f>
        <v>0</v>
      </c>
      <c r="F32" s="103">
        <f>SUM(F33:F42)</f>
        <v>9722</v>
      </c>
      <c r="H32" s="86">
        <f>SUM(C32:E32)</f>
        <v>9722</v>
      </c>
    </row>
    <row r="33" spans="1:8" s="66" customFormat="1" ht="18" customHeight="1">
      <c r="A33" s="162">
        <v>25</v>
      </c>
      <c r="B33" s="164" t="s">
        <v>964</v>
      </c>
      <c r="C33" s="302">
        <v>0</v>
      </c>
      <c r="D33" s="302">
        <v>0</v>
      </c>
      <c r="E33" s="302">
        <v>0</v>
      </c>
      <c r="F33" s="302">
        <f>SUM(C33:E33)</f>
        <v>0</v>
      </c>
      <c r="H33" s="86"/>
    </row>
    <row r="34" spans="1:8" s="66" customFormat="1" ht="18" customHeight="1">
      <c r="A34" s="162">
        <v>26</v>
      </c>
      <c r="B34" s="164" t="s">
        <v>963</v>
      </c>
      <c r="C34" s="302">
        <v>0</v>
      </c>
      <c r="D34" s="302">
        <v>0</v>
      </c>
      <c r="E34" s="302">
        <v>0</v>
      </c>
      <c r="F34" s="302">
        <f aca="true" t="shared" si="1" ref="F34:F42">SUM(C34:E34)</f>
        <v>0</v>
      </c>
      <c r="H34" s="86"/>
    </row>
    <row r="35" spans="1:8" s="66" customFormat="1" ht="18" customHeight="1">
      <c r="A35" s="162">
        <v>27</v>
      </c>
      <c r="B35" s="164" t="s">
        <v>0</v>
      </c>
      <c r="C35" s="302">
        <v>0</v>
      </c>
      <c r="D35" s="302">
        <v>0</v>
      </c>
      <c r="E35" s="302">
        <v>0</v>
      </c>
      <c r="F35" s="302">
        <f t="shared" si="1"/>
        <v>0</v>
      </c>
      <c r="H35" s="86"/>
    </row>
    <row r="36" spans="1:8" s="66" customFormat="1" ht="18" customHeight="1">
      <c r="A36" s="162">
        <v>28</v>
      </c>
      <c r="B36" s="164" t="s">
        <v>1</v>
      </c>
      <c r="C36" s="302">
        <v>0</v>
      </c>
      <c r="D36" s="302">
        <v>0</v>
      </c>
      <c r="E36" s="302">
        <v>0</v>
      </c>
      <c r="F36" s="302">
        <f t="shared" si="1"/>
        <v>0</v>
      </c>
      <c r="H36" s="86"/>
    </row>
    <row r="37" spans="1:8" s="66" customFormat="1" ht="18" customHeight="1">
      <c r="A37" s="162">
        <v>29</v>
      </c>
      <c r="B37" s="164" t="s">
        <v>2</v>
      </c>
      <c r="C37" s="302">
        <v>0</v>
      </c>
      <c r="D37" s="302">
        <v>0</v>
      </c>
      <c r="E37" s="302">
        <v>0</v>
      </c>
      <c r="F37" s="302">
        <f t="shared" si="1"/>
        <v>0</v>
      </c>
      <c r="H37" s="86"/>
    </row>
    <row r="38" spans="1:8" s="67" customFormat="1" ht="18" customHeight="1">
      <c r="A38" s="162">
        <v>30</v>
      </c>
      <c r="B38" s="164" t="s">
        <v>3</v>
      </c>
      <c r="C38" s="302">
        <v>0</v>
      </c>
      <c r="D38" s="302">
        <v>0</v>
      </c>
      <c r="E38" s="302">
        <v>0</v>
      </c>
      <c r="F38" s="302">
        <f t="shared" si="1"/>
        <v>0</v>
      </c>
      <c r="H38" s="87"/>
    </row>
    <row r="39" spans="1:8" s="67" customFormat="1" ht="18" customHeight="1">
      <c r="A39" s="162">
        <v>31</v>
      </c>
      <c r="B39" s="164" t="s">
        <v>962</v>
      </c>
      <c r="C39" s="302">
        <v>0</v>
      </c>
      <c r="D39" s="302">
        <v>0</v>
      </c>
      <c r="E39" s="302">
        <v>0</v>
      </c>
      <c r="F39" s="302">
        <f t="shared" si="1"/>
        <v>0</v>
      </c>
      <c r="H39" s="87"/>
    </row>
    <row r="40" spans="1:8" s="67" customFormat="1" ht="18" customHeight="1">
      <c r="A40" s="162">
        <v>32</v>
      </c>
      <c r="B40" s="164" t="s">
        <v>4</v>
      </c>
      <c r="C40" s="302">
        <f>7796+226-7500+33+9067</f>
        <v>9622</v>
      </c>
      <c r="D40" s="302">
        <v>0</v>
      </c>
      <c r="E40" s="302">
        <v>0</v>
      </c>
      <c r="F40" s="302">
        <f t="shared" si="1"/>
        <v>9622</v>
      </c>
      <c r="H40" s="87"/>
    </row>
    <row r="41" spans="1:8" s="67" customFormat="1" ht="18" customHeight="1">
      <c r="A41" s="162">
        <v>33</v>
      </c>
      <c r="B41" s="164" t="s">
        <v>5</v>
      </c>
      <c r="C41" s="302">
        <v>0</v>
      </c>
      <c r="D41" s="302">
        <v>0</v>
      </c>
      <c r="E41" s="302">
        <v>0</v>
      </c>
      <c r="F41" s="302">
        <f t="shared" si="1"/>
        <v>0</v>
      </c>
      <c r="H41" s="87"/>
    </row>
    <row r="42" spans="1:8" s="67" customFormat="1" ht="18" customHeight="1">
      <c r="A42" s="162">
        <v>34</v>
      </c>
      <c r="B42" s="164" t="s">
        <v>6</v>
      </c>
      <c r="C42" s="302">
        <v>100</v>
      </c>
      <c r="D42" s="302">
        <v>0</v>
      </c>
      <c r="E42" s="302">
        <v>0</v>
      </c>
      <c r="F42" s="302">
        <f t="shared" si="1"/>
        <v>100</v>
      </c>
      <c r="H42" s="87"/>
    </row>
    <row r="43" spans="1:8" s="88" customFormat="1" ht="18" customHeight="1">
      <c r="A43" s="162">
        <v>35</v>
      </c>
      <c r="B43" s="143" t="s">
        <v>572</v>
      </c>
      <c r="C43" s="100">
        <f>SUM(C44,C48)</f>
        <v>36077</v>
      </c>
      <c r="D43" s="100">
        <f>SUM(D44,D48)</f>
        <v>0</v>
      </c>
      <c r="E43" s="100">
        <f>SUM(E44,E48)</f>
        <v>0</v>
      </c>
      <c r="F43" s="100">
        <f aca="true" t="shared" si="2" ref="F43:F50">SUM(C43:E43)</f>
        <v>36077</v>
      </c>
      <c r="H43" s="86">
        <f>SUM(C43:E43)</f>
        <v>36077</v>
      </c>
    </row>
    <row r="44" spans="1:8" s="65" customFormat="1" ht="18" customHeight="1">
      <c r="A44" s="162">
        <v>36</v>
      </c>
      <c r="B44" s="144" t="s">
        <v>743</v>
      </c>
      <c r="C44" s="101">
        <f>SUM(C45:C47)</f>
        <v>20324</v>
      </c>
      <c r="D44" s="101">
        <f>SUM(D45:D47)</f>
        <v>0</v>
      </c>
      <c r="E44" s="101">
        <f>SUM(E45:E47)</f>
        <v>0</v>
      </c>
      <c r="F44" s="101">
        <f t="shared" si="2"/>
        <v>20324</v>
      </c>
      <c r="H44" s="86">
        <f>SUM(C44:E44)</f>
        <v>20324</v>
      </c>
    </row>
    <row r="45" spans="1:8" s="66" customFormat="1" ht="18" customHeight="1">
      <c r="A45" s="162">
        <v>37</v>
      </c>
      <c r="B45" s="163" t="s">
        <v>740</v>
      </c>
      <c r="C45" s="103">
        <v>0</v>
      </c>
      <c r="D45" s="103">
        <v>0</v>
      </c>
      <c r="E45" s="103">
        <v>0</v>
      </c>
      <c r="F45" s="103">
        <f t="shared" si="2"/>
        <v>0</v>
      </c>
      <c r="H45" s="86"/>
    </row>
    <row r="46" spans="1:8" s="66" customFormat="1" ht="18" customHeight="1">
      <c r="A46" s="162">
        <v>38</v>
      </c>
      <c r="B46" s="163" t="s">
        <v>741</v>
      </c>
      <c r="C46" s="103">
        <v>0</v>
      </c>
      <c r="D46" s="103">
        <v>0</v>
      </c>
      <c r="E46" s="103">
        <v>0</v>
      </c>
      <c r="F46" s="103">
        <f t="shared" si="2"/>
        <v>0</v>
      </c>
      <c r="H46" s="86"/>
    </row>
    <row r="47" spans="1:8" s="66" customFormat="1" ht="18" customHeight="1">
      <c r="A47" s="162">
        <v>39</v>
      </c>
      <c r="B47" s="163" t="s">
        <v>222</v>
      </c>
      <c r="C47" s="103">
        <f>43500-22331+462071-462071-845</f>
        <v>20324</v>
      </c>
      <c r="D47" s="103">
        <v>0</v>
      </c>
      <c r="E47" s="103">
        <v>0</v>
      </c>
      <c r="F47" s="103">
        <f t="shared" si="2"/>
        <v>20324</v>
      </c>
      <c r="H47" s="86"/>
    </row>
    <row r="48" spans="1:8" s="65" customFormat="1" ht="18" customHeight="1">
      <c r="A48" s="162">
        <v>40</v>
      </c>
      <c r="B48" s="144" t="s">
        <v>742</v>
      </c>
      <c r="C48" s="101">
        <f>SUM(C49:C50)</f>
        <v>15753</v>
      </c>
      <c r="D48" s="101">
        <f>SUM(D49:D50)</f>
        <v>0</v>
      </c>
      <c r="E48" s="101">
        <f>SUM(E49:E50)</f>
        <v>0</v>
      </c>
      <c r="F48" s="101">
        <f t="shared" si="2"/>
        <v>15753</v>
      </c>
      <c r="H48" s="86">
        <f>SUM(C48:E48)</f>
        <v>15753</v>
      </c>
    </row>
    <row r="49" spans="1:8" s="66" customFormat="1" ht="18" customHeight="1">
      <c r="A49" s="162">
        <v>41</v>
      </c>
      <c r="B49" s="163" t="s">
        <v>220</v>
      </c>
      <c r="C49" s="103">
        <v>0</v>
      </c>
      <c r="D49" s="103">
        <v>0</v>
      </c>
      <c r="E49" s="103">
        <v>0</v>
      </c>
      <c r="F49" s="103">
        <f t="shared" si="2"/>
        <v>0</v>
      </c>
      <c r="H49" s="86"/>
    </row>
    <row r="50" spans="1:8" s="66" customFormat="1" ht="18" customHeight="1">
      <c r="A50" s="162">
        <v>42</v>
      </c>
      <c r="B50" s="163" t="s">
        <v>221</v>
      </c>
      <c r="C50" s="103">
        <f>6061-3111+11750+1053</f>
        <v>15753</v>
      </c>
      <c r="D50" s="103">
        <v>0</v>
      </c>
      <c r="E50" s="103">
        <v>0</v>
      </c>
      <c r="F50" s="103">
        <f t="shared" si="2"/>
        <v>15753</v>
      </c>
      <c r="H50" s="86"/>
    </row>
    <row r="51" spans="1:8" s="10" customFormat="1" ht="6.75" customHeight="1">
      <c r="A51" s="168"/>
      <c r="B51" s="169"/>
      <c r="C51" s="170"/>
      <c r="D51" s="170"/>
      <c r="E51" s="170"/>
      <c r="F51" s="170"/>
      <c r="H51" s="86"/>
    </row>
    <row r="52" spans="1:8" s="105" customFormat="1" ht="19.5" customHeight="1">
      <c r="A52" s="162">
        <v>43</v>
      </c>
      <c r="B52" s="166" t="s">
        <v>476</v>
      </c>
      <c r="C52" s="167">
        <f>SUM(C9,C43)</f>
        <v>5613911</v>
      </c>
      <c r="D52" s="167">
        <f>SUM(D9,D43)</f>
        <v>347836</v>
      </c>
      <c r="E52" s="167">
        <f>SUM(E9,E43)</f>
        <v>191573</v>
      </c>
      <c r="F52" s="167">
        <f>SUM(C52:E52)</f>
        <v>6153320</v>
      </c>
      <c r="H52" s="86">
        <f>SUM(C52:E52)</f>
        <v>6153320</v>
      </c>
    </row>
    <row r="53" spans="3:4" ht="15">
      <c r="C53" s="12"/>
      <c r="D53" s="12"/>
    </row>
    <row r="54" spans="3:4" ht="15">
      <c r="C54" s="12"/>
      <c r="D54" s="12"/>
    </row>
    <row r="55" spans="3:4" ht="15">
      <c r="C55" s="12"/>
      <c r="D55" s="12"/>
    </row>
    <row r="56" spans="3:4" ht="15">
      <c r="C56" s="12"/>
      <c r="D56" s="12"/>
    </row>
    <row r="57" spans="3:4" ht="15">
      <c r="C57" s="12"/>
      <c r="D57" s="12"/>
    </row>
    <row r="58" spans="3:4" ht="15">
      <c r="C58" s="12"/>
      <c r="D58" s="12"/>
    </row>
    <row r="59" spans="3:4" ht="15">
      <c r="C59" s="12"/>
      <c r="D59" s="12"/>
    </row>
    <row r="60" spans="3:4" ht="15">
      <c r="C60" s="12"/>
      <c r="D60" s="12"/>
    </row>
    <row r="61" spans="3:4" ht="15">
      <c r="C61" s="12"/>
      <c r="D61" s="12"/>
    </row>
    <row r="62" spans="3:4" ht="15">
      <c r="C62" s="12"/>
      <c r="D62" s="12"/>
    </row>
    <row r="63" spans="3:4" ht="15">
      <c r="C63" s="12"/>
      <c r="D63" s="12"/>
    </row>
    <row r="64" spans="3:4" ht="15">
      <c r="C64" s="12"/>
      <c r="D64" s="12"/>
    </row>
    <row r="65" spans="3:4" ht="15">
      <c r="C65" s="12"/>
      <c r="D65" s="12"/>
    </row>
    <row r="66" spans="3:4" ht="15">
      <c r="C66" s="12"/>
      <c r="D66" s="12"/>
    </row>
    <row r="67" spans="3:4" ht="15">
      <c r="C67" s="12"/>
      <c r="D67" s="12"/>
    </row>
    <row r="68" spans="3:4" ht="15">
      <c r="C68" s="12"/>
      <c r="D68" s="12"/>
    </row>
    <row r="69" spans="3:4" ht="15">
      <c r="C69" s="12"/>
      <c r="D69" s="12"/>
    </row>
    <row r="70" spans="3:4" ht="15">
      <c r="C70" s="12"/>
      <c r="D70" s="12"/>
    </row>
    <row r="71" spans="3:4" ht="15">
      <c r="C71" s="12"/>
      <c r="D71" s="12"/>
    </row>
    <row r="72" spans="3:4" ht="15">
      <c r="C72" s="12"/>
      <c r="D72" s="12"/>
    </row>
    <row r="73" spans="3:4" ht="15">
      <c r="C73" s="12"/>
      <c r="D73" s="12"/>
    </row>
    <row r="74" spans="3:4" ht="15">
      <c r="C74" s="12"/>
      <c r="D74" s="12"/>
    </row>
    <row r="75" spans="3:4" ht="15">
      <c r="C75" s="12"/>
      <c r="D75" s="12"/>
    </row>
    <row r="76" spans="3:4" ht="15">
      <c r="C76" s="12"/>
      <c r="D76" s="12"/>
    </row>
    <row r="77" spans="3:4" ht="15">
      <c r="C77" s="12"/>
      <c r="D77" s="12"/>
    </row>
    <row r="78" spans="3:4" ht="15">
      <c r="C78" s="12"/>
      <c r="D78" s="12"/>
    </row>
    <row r="79" spans="3:4" ht="15">
      <c r="C79" s="12"/>
      <c r="D79" s="12"/>
    </row>
    <row r="80" spans="3:4" ht="15">
      <c r="C80" s="12"/>
      <c r="D80" s="12"/>
    </row>
    <row r="81" spans="3:4" ht="15">
      <c r="C81" s="12"/>
      <c r="D81" s="12"/>
    </row>
    <row r="82" spans="3:4" ht="15">
      <c r="C82" s="12"/>
      <c r="D82" s="12"/>
    </row>
    <row r="83" spans="3:4" ht="15">
      <c r="C83" s="12"/>
      <c r="D83" s="12"/>
    </row>
    <row r="84" spans="3:4" ht="15">
      <c r="C84" s="12"/>
      <c r="D84" s="12"/>
    </row>
    <row r="85" spans="3:4" ht="15">
      <c r="C85" s="12"/>
      <c r="D85" s="12"/>
    </row>
    <row r="86" spans="3:4" ht="15">
      <c r="C86" s="12"/>
      <c r="D86" s="12"/>
    </row>
    <row r="87" spans="3:4" ht="15">
      <c r="C87" s="12"/>
      <c r="D87" s="12"/>
    </row>
    <row r="88" spans="3:4" ht="15">
      <c r="C88" s="12"/>
      <c r="D88" s="12"/>
    </row>
    <row r="89" spans="3:4" ht="15">
      <c r="C89" s="12"/>
      <c r="D89" s="12"/>
    </row>
    <row r="90" spans="3:4" ht="15">
      <c r="C90" s="12"/>
      <c r="D90" s="12"/>
    </row>
    <row r="91" spans="3:4" ht="15">
      <c r="C91" s="12"/>
      <c r="D91" s="12"/>
    </row>
    <row r="92" spans="3:4" ht="15">
      <c r="C92" s="12"/>
      <c r="D92" s="12"/>
    </row>
    <row r="93" spans="3:4" ht="15">
      <c r="C93" s="12"/>
      <c r="D93" s="12"/>
    </row>
    <row r="94" spans="3:4" ht="15">
      <c r="C94" s="12"/>
      <c r="D94" s="12"/>
    </row>
    <row r="95" spans="3:4" ht="15">
      <c r="C95" s="12"/>
      <c r="D95" s="12"/>
    </row>
    <row r="96" spans="3:4" ht="15">
      <c r="C96" s="12"/>
      <c r="D96" s="12"/>
    </row>
    <row r="97" spans="3:4" ht="15">
      <c r="C97" s="12"/>
      <c r="D97" s="12"/>
    </row>
    <row r="98" spans="3:4" ht="15">
      <c r="C98" s="12"/>
      <c r="D98" s="12"/>
    </row>
    <row r="99" spans="3:4" ht="15">
      <c r="C99" s="12"/>
      <c r="D99" s="12"/>
    </row>
    <row r="100" spans="3:4" ht="15">
      <c r="C100" s="12"/>
      <c r="D100" s="12"/>
    </row>
    <row r="101" spans="3:4" ht="15">
      <c r="C101" s="12"/>
      <c r="D101" s="12"/>
    </row>
    <row r="102" spans="3:4" ht="15">
      <c r="C102" s="12"/>
      <c r="D102" s="12"/>
    </row>
    <row r="103" spans="3:4" ht="15">
      <c r="C103" s="12"/>
      <c r="D103" s="12"/>
    </row>
    <row r="104" spans="3:4" ht="15">
      <c r="C104" s="12"/>
      <c r="D104" s="12"/>
    </row>
    <row r="105" spans="3:4" ht="15">
      <c r="C105" s="12"/>
      <c r="D105" s="12"/>
    </row>
    <row r="106" spans="3:4" ht="15">
      <c r="C106" s="12"/>
      <c r="D106" s="12"/>
    </row>
    <row r="107" spans="3:4" ht="15">
      <c r="C107" s="12"/>
      <c r="D107" s="12"/>
    </row>
    <row r="108" spans="3:4" ht="15">
      <c r="C108" s="12"/>
      <c r="D108" s="12"/>
    </row>
    <row r="109" spans="3:4" ht="15">
      <c r="C109" s="12"/>
      <c r="D109" s="12"/>
    </row>
    <row r="110" spans="3:4" ht="15">
      <c r="C110" s="12"/>
      <c r="D110" s="12"/>
    </row>
    <row r="111" spans="3:4" ht="15">
      <c r="C111" s="12"/>
      <c r="D111" s="12"/>
    </row>
    <row r="112" spans="3:4" ht="15">
      <c r="C112" s="12"/>
      <c r="D112" s="12"/>
    </row>
    <row r="113" spans="3:4" ht="15">
      <c r="C113" s="12"/>
      <c r="D113" s="12"/>
    </row>
    <row r="114" spans="3:4" ht="15">
      <c r="C114" s="12"/>
      <c r="D114" s="12"/>
    </row>
    <row r="115" spans="3:4" ht="15">
      <c r="C115" s="12"/>
      <c r="D115" s="12"/>
    </row>
    <row r="116" spans="3:4" ht="15">
      <c r="C116" s="12"/>
      <c r="D116" s="12"/>
    </row>
    <row r="117" spans="3:4" ht="15">
      <c r="C117" s="12"/>
      <c r="D117" s="12"/>
    </row>
    <row r="118" spans="3:4" ht="15">
      <c r="C118" s="12"/>
      <c r="D118" s="12"/>
    </row>
    <row r="119" spans="3:4" ht="15">
      <c r="C119" s="12"/>
      <c r="D119" s="12"/>
    </row>
    <row r="120" spans="3:4" ht="15">
      <c r="C120" s="12"/>
      <c r="D120" s="12"/>
    </row>
    <row r="121" spans="3:4" ht="15">
      <c r="C121" s="12"/>
      <c r="D121" s="12"/>
    </row>
    <row r="122" spans="3:4" ht="15">
      <c r="C122" s="12"/>
      <c r="D122" s="12"/>
    </row>
    <row r="123" spans="3:4" ht="15">
      <c r="C123" s="12"/>
      <c r="D123" s="12"/>
    </row>
    <row r="124" spans="3:4" ht="15">
      <c r="C124" s="12"/>
      <c r="D124" s="12"/>
    </row>
    <row r="125" spans="3:4" ht="15">
      <c r="C125" s="12"/>
      <c r="D125" s="12"/>
    </row>
    <row r="126" spans="3:4" ht="15">
      <c r="C126" s="12"/>
      <c r="D126" s="12"/>
    </row>
    <row r="127" spans="3:4" ht="15">
      <c r="C127" s="12"/>
      <c r="D127" s="12"/>
    </row>
    <row r="128" spans="3:4" ht="15">
      <c r="C128" s="12"/>
      <c r="D128" s="12"/>
    </row>
    <row r="129" spans="3:4" ht="15">
      <c r="C129" s="12"/>
      <c r="D129" s="12"/>
    </row>
    <row r="130" spans="3:4" ht="15">
      <c r="C130" s="12"/>
      <c r="D130" s="12"/>
    </row>
    <row r="131" spans="3:4" ht="15">
      <c r="C131" s="12"/>
      <c r="D131" s="12"/>
    </row>
    <row r="132" spans="3:4" ht="15">
      <c r="C132" s="12"/>
      <c r="D132" s="12"/>
    </row>
    <row r="133" spans="3:4" ht="15">
      <c r="C133" s="12"/>
      <c r="D133" s="12"/>
    </row>
    <row r="134" spans="3:4" ht="15">
      <c r="C134" s="12"/>
      <c r="D134" s="12"/>
    </row>
    <row r="135" spans="3:4" ht="15">
      <c r="C135" s="12"/>
      <c r="D135" s="12"/>
    </row>
    <row r="136" spans="3:4" ht="15">
      <c r="C136" s="12"/>
      <c r="D136" s="12"/>
    </row>
    <row r="137" spans="3:4" ht="15">
      <c r="C137" s="12"/>
      <c r="D137" s="12"/>
    </row>
    <row r="138" spans="3:4" ht="15">
      <c r="C138" s="12"/>
      <c r="D138" s="12"/>
    </row>
    <row r="139" spans="3:4" ht="15">
      <c r="C139" s="12"/>
      <c r="D139" s="12"/>
    </row>
    <row r="140" spans="3:4" ht="15">
      <c r="C140" s="12"/>
      <c r="D140" s="12"/>
    </row>
    <row r="141" spans="3:4" ht="15">
      <c r="C141" s="12"/>
      <c r="D141" s="12"/>
    </row>
    <row r="142" spans="3:4" ht="15">
      <c r="C142" s="12"/>
      <c r="D142" s="12"/>
    </row>
    <row r="143" spans="3:4" ht="15">
      <c r="C143" s="12"/>
      <c r="D143" s="12"/>
    </row>
    <row r="144" spans="3:4" ht="15">
      <c r="C144" s="12"/>
      <c r="D144" s="12"/>
    </row>
    <row r="145" spans="3:4" ht="15">
      <c r="C145" s="12"/>
      <c r="D145" s="12"/>
    </row>
    <row r="146" spans="3:4" ht="15">
      <c r="C146" s="12"/>
      <c r="D146" s="12"/>
    </row>
    <row r="147" spans="3:4" ht="15">
      <c r="C147" s="12"/>
      <c r="D147" s="12"/>
    </row>
    <row r="148" spans="3:4" ht="15">
      <c r="C148" s="12"/>
      <c r="D148" s="12"/>
    </row>
    <row r="149" spans="3:4" ht="15">
      <c r="C149" s="12"/>
      <c r="D149" s="12"/>
    </row>
    <row r="150" spans="3:4" ht="15">
      <c r="C150" s="12"/>
      <c r="D150" s="12"/>
    </row>
    <row r="151" spans="3:4" ht="15">
      <c r="C151" s="12"/>
      <c r="D151" s="12"/>
    </row>
    <row r="152" spans="3:4" ht="15">
      <c r="C152" s="12"/>
      <c r="D152" s="12"/>
    </row>
    <row r="153" spans="3:4" ht="15">
      <c r="C153" s="12"/>
      <c r="D153" s="12"/>
    </row>
    <row r="154" spans="3:4" ht="15">
      <c r="C154" s="12"/>
      <c r="D154" s="12"/>
    </row>
    <row r="155" spans="3:4" ht="15">
      <c r="C155" s="12"/>
      <c r="D155" s="12"/>
    </row>
    <row r="156" spans="3:4" ht="15">
      <c r="C156" s="12"/>
      <c r="D156" s="12"/>
    </row>
    <row r="157" spans="3:4" ht="15">
      <c r="C157" s="12"/>
      <c r="D157" s="12"/>
    </row>
    <row r="158" spans="3:4" ht="15">
      <c r="C158" s="12"/>
      <c r="D158" s="12"/>
    </row>
    <row r="159" spans="3:4" ht="15">
      <c r="C159" s="12"/>
      <c r="D159" s="12"/>
    </row>
    <row r="160" spans="3:4" ht="15">
      <c r="C160" s="12"/>
      <c r="D160" s="12"/>
    </row>
    <row r="161" spans="3:4" ht="15">
      <c r="C161" s="12"/>
      <c r="D161" s="12"/>
    </row>
    <row r="162" spans="3:4" ht="15">
      <c r="C162" s="12"/>
      <c r="D162" s="12"/>
    </row>
    <row r="163" spans="3:4" ht="15">
      <c r="C163" s="12"/>
      <c r="D163" s="12"/>
    </row>
    <row r="164" spans="3:4" ht="15">
      <c r="C164" s="12"/>
      <c r="D164" s="12"/>
    </row>
    <row r="165" spans="3:4" ht="15">
      <c r="C165" s="12"/>
      <c r="D165" s="12"/>
    </row>
    <row r="166" spans="3:4" ht="15">
      <c r="C166" s="12"/>
      <c r="D166" s="12"/>
    </row>
    <row r="167" spans="3:4" ht="15">
      <c r="C167" s="12"/>
      <c r="D167" s="12"/>
    </row>
    <row r="168" spans="3:4" ht="15">
      <c r="C168" s="12"/>
      <c r="D168" s="12"/>
    </row>
    <row r="169" spans="3:4" ht="15">
      <c r="C169" s="12"/>
      <c r="D169" s="12"/>
    </row>
    <row r="170" spans="3:4" ht="15">
      <c r="C170" s="12"/>
      <c r="D170" s="12"/>
    </row>
    <row r="171" spans="3:4" ht="15">
      <c r="C171" s="12"/>
      <c r="D171" s="12"/>
    </row>
    <row r="172" spans="3:4" ht="15">
      <c r="C172" s="12"/>
      <c r="D172" s="12"/>
    </row>
    <row r="173" spans="3:4" ht="15">
      <c r="C173" s="12"/>
      <c r="D173" s="12"/>
    </row>
    <row r="174" spans="3:4" ht="15">
      <c r="C174" s="12"/>
      <c r="D174" s="12"/>
    </row>
    <row r="175" spans="3:4" ht="15">
      <c r="C175" s="12"/>
      <c r="D175" s="12"/>
    </row>
    <row r="176" spans="3:4" ht="15">
      <c r="C176" s="12"/>
      <c r="D176" s="12"/>
    </row>
    <row r="177" spans="3:4" ht="15">
      <c r="C177" s="12"/>
      <c r="D177" s="12"/>
    </row>
    <row r="178" spans="3:4" ht="15">
      <c r="C178" s="12"/>
      <c r="D178" s="12"/>
    </row>
    <row r="179" spans="3:4" ht="15">
      <c r="C179" s="12"/>
      <c r="D179" s="12"/>
    </row>
    <row r="180" spans="3:4" ht="15">
      <c r="C180" s="12"/>
      <c r="D180" s="12"/>
    </row>
    <row r="181" spans="3:4" ht="15">
      <c r="C181" s="12"/>
      <c r="D181" s="12"/>
    </row>
    <row r="182" spans="3:4" ht="15">
      <c r="C182" s="12"/>
      <c r="D182" s="12"/>
    </row>
    <row r="183" spans="3:4" ht="15">
      <c r="C183" s="12"/>
      <c r="D183" s="12"/>
    </row>
    <row r="184" spans="3:4" ht="15">
      <c r="C184" s="12"/>
      <c r="D184" s="12"/>
    </row>
    <row r="185" spans="3:4" ht="15">
      <c r="C185" s="12"/>
      <c r="D185" s="12"/>
    </row>
    <row r="186" spans="3:4" ht="15">
      <c r="C186" s="12"/>
      <c r="D186" s="12"/>
    </row>
    <row r="187" spans="3:4" ht="15">
      <c r="C187" s="12"/>
      <c r="D187" s="12"/>
    </row>
    <row r="188" spans="3:4" ht="15">
      <c r="C188" s="12"/>
      <c r="D188" s="12"/>
    </row>
    <row r="189" spans="3:4" ht="15">
      <c r="C189" s="12"/>
      <c r="D189" s="12"/>
    </row>
    <row r="190" spans="3:4" ht="15">
      <c r="C190" s="12"/>
      <c r="D190" s="12"/>
    </row>
    <row r="191" spans="3:4" ht="15">
      <c r="C191" s="12"/>
      <c r="D191" s="12"/>
    </row>
    <row r="192" spans="3:4" ht="15">
      <c r="C192" s="12"/>
      <c r="D192" s="12"/>
    </row>
    <row r="193" spans="3:4" ht="15">
      <c r="C193" s="12"/>
      <c r="D193" s="12"/>
    </row>
    <row r="194" spans="3:4" ht="15">
      <c r="C194" s="12"/>
      <c r="D194" s="12"/>
    </row>
    <row r="195" spans="3:4" ht="15">
      <c r="C195" s="12"/>
      <c r="D195" s="12"/>
    </row>
    <row r="196" spans="3:4" ht="15">
      <c r="C196" s="12"/>
      <c r="D196" s="12"/>
    </row>
    <row r="197" spans="3:4" ht="15">
      <c r="C197" s="12"/>
      <c r="D197" s="12"/>
    </row>
    <row r="198" spans="3:4" ht="15">
      <c r="C198" s="12"/>
      <c r="D198" s="12"/>
    </row>
    <row r="199" spans="3:4" ht="15">
      <c r="C199" s="12"/>
      <c r="D199" s="12"/>
    </row>
    <row r="200" spans="3:4" ht="15">
      <c r="C200" s="12"/>
      <c r="D200" s="12"/>
    </row>
    <row r="201" spans="3:4" ht="15">
      <c r="C201" s="12"/>
      <c r="D201" s="12"/>
    </row>
    <row r="202" spans="3:4" ht="15">
      <c r="C202" s="12"/>
      <c r="D202" s="12"/>
    </row>
    <row r="203" spans="3:4" ht="15">
      <c r="C203" s="12"/>
      <c r="D203" s="12"/>
    </row>
    <row r="204" spans="3:4" ht="15">
      <c r="C204" s="12"/>
      <c r="D204" s="12"/>
    </row>
    <row r="205" spans="3:4" ht="15">
      <c r="C205" s="12"/>
      <c r="D205" s="12"/>
    </row>
    <row r="206" spans="3:4" ht="15">
      <c r="C206" s="12"/>
      <c r="D206" s="12"/>
    </row>
    <row r="207" spans="3:4" ht="15">
      <c r="C207" s="12"/>
      <c r="D207" s="12"/>
    </row>
    <row r="208" spans="3:4" ht="15">
      <c r="C208" s="12"/>
      <c r="D208" s="12"/>
    </row>
    <row r="209" spans="3:4" ht="15">
      <c r="C209" s="12"/>
      <c r="D209" s="12"/>
    </row>
    <row r="210" spans="3:4" ht="15">
      <c r="C210" s="12"/>
      <c r="D210" s="12"/>
    </row>
    <row r="211" spans="3:4" ht="15">
      <c r="C211" s="12"/>
      <c r="D211" s="12"/>
    </row>
    <row r="212" spans="3:4" ht="15">
      <c r="C212" s="12"/>
      <c r="D212" s="12"/>
    </row>
    <row r="213" spans="3:4" ht="15">
      <c r="C213" s="12"/>
      <c r="D213" s="12"/>
    </row>
    <row r="214" spans="3:4" ht="15">
      <c r="C214" s="12"/>
      <c r="D214" s="12"/>
    </row>
    <row r="215" spans="3:4" ht="15">
      <c r="C215" s="12"/>
      <c r="D215" s="12"/>
    </row>
    <row r="216" spans="3:4" ht="15">
      <c r="C216" s="12"/>
      <c r="D216" s="12"/>
    </row>
    <row r="217" spans="3:4" ht="15">
      <c r="C217" s="12"/>
      <c r="D217" s="12"/>
    </row>
    <row r="218" spans="3:4" ht="15">
      <c r="C218" s="12"/>
      <c r="D218" s="12"/>
    </row>
    <row r="219" spans="3:4" ht="15">
      <c r="C219" s="12"/>
      <c r="D219" s="12"/>
    </row>
    <row r="220" spans="3:4" ht="15">
      <c r="C220" s="12"/>
      <c r="D220" s="12"/>
    </row>
    <row r="221" spans="3:4" ht="15">
      <c r="C221" s="12"/>
      <c r="D221" s="12"/>
    </row>
    <row r="222" spans="3:4" ht="15">
      <c r="C222" s="12"/>
      <c r="D222" s="12"/>
    </row>
    <row r="223" spans="3:4" ht="15">
      <c r="C223" s="12"/>
      <c r="D223" s="12"/>
    </row>
    <row r="224" spans="3:4" ht="15">
      <c r="C224" s="12"/>
      <c r="D224" s="12"/>
    </row>
    <row r="225" spans="3:4" ht="15">
      <c r="C225" s="12"/>
      <c r="D225" s="12"/>
    </row>
    <row r="226" spans="3:4" ht="15">
      <c r="C226" s="12"/>
      <c r="D226" s="12"/>
    </row>
    <row r="227" spans="3:4" ht="15">
      <c r="C227" s="12"/>
      <c r="D227" s="12"/>
    </row>
    <row r="228" spans="3:4" ht="15">
      <c r="C228" s="12"/>
      <c r="D228" s="12"/>
    </row>
    <row r="229" spans="3:4" ht="15">
      <c r="C229" s="12"/>
      <c r="D229" s="12"/>
    </row>
    <row r="230" spans="3:4" ht="15">
      <c r="C230" s="12"/>
      <c r="D230" s="12"/>
    </row>
    <row r="231" spans="3:4" ht="15">
      <c r="C231" s="12"/>
      <c r="D231" s="12"/>
    </row>
    <row r="232" spans="3:4" ht="15">
      <c r="C232" s="12"/>
      <c r="D232" s="12"/>
    </row>
    <row r="233" spans="3:4" ht="15">
      <c r="C233" s="12"/>
      <c r="D233" s="12"/>
    </row>
    <row r="234" spans="3:4" ht="15">
      <c r="C234" s="12"/>
      <c r="D234" s="12"/>
    </row>
    <row r="235" spans="3:4" ht="15">
      <c r="C235" s="12"/>
      <c r="D235" s="12"/>
    </row>
    <row r="236" spans="3:4" ht="15">
      <c r="C236" s="12"/>
      <c r="D236" s="12"/>
    </row>
    <row r="237" spans="3:4" ht="15">
      <c r="C237" s="12"/>
      <c r="D237" s="12"/>
    </row>
    <row r="238" spans="3:4" ht="15">
      <c r="C238" s="12"/>
      <c r="D238" s="12"/>
    </row>
    <row r="239" spans="3:4" ht="15">
      <c r="C239" s="12"/>
      <c r="D239" s="12"/>
    </row>
    <row r="240" spans="3:4" ht="15">
      <c r="C240" s="12"/>
      <c r="D240" s="12"/>
    </row>
    <row r="241" spans="3:4" ht="15">
      <c r="C241" s="12"/>
      <c r="D241" s="12"/>
    </row>
    <row r="242" spans="3:4" ht="15">
      <c r="C242" s="12"/>
      <c r="D242" s="12"/>
    </row>
    <row r="243" spans="3:4" ht="15">
      <c r="C243" s="12"/>
      <c r="D243" s="12"/>
    </row>
    <row r="244" spans="3:4" ht="15">
      <c r="C244" s="12"/>
      <c r="D244" s="12"/>
    </row>
    <row r="245" spans="3:4" ht="15">
      <c r="C245" s="12"/>
      <c r="D245" s="12"/>
    </row>
    <row r="246" spans="3:4" ht="15">
      <c r="C246" s="12"/>
      <c r="D246" s="12"/>
    </row>
    <row r="247" spans="3:4" ht="15">
      <c r="C247" s="12"/>
      <c r="D247" s="12"/>
    </row>
    <row r="248" spans="3:4" ht="15">
      <c r="C248" s="12"/>
      <c r="D248" s="12"/>
    </row>
    <row r="249" spans="3:4" ht="15">
      <c r="C249" s="12"/>
      <c r="D249" s="12"/>
    </row>
    <row r="250" spans="3:4" ht="15">
      <c r="C250" s="12"/>
      <c r="D250" s="12"/>
    </row>
    <row r="251" spans="3:4" ht="15">
      <c r="C251" s="12"/>
      <c r="D251" s="12"/>
    </row>
    <row r="252" spans="3:4" ht="15">
      <c r="C252" s="12"/>
      <c r="D252" s="12"/>
    </row>
    <row r="253" spans="3:4" ht="15">
      <c r="C253" s="12"/>
      <c r="D253" s="12"/>
    </row>
    <row r="254" spans="3:4" ht="15">
      <c r="C254" s="12"/>
      <c r="D254" s="12"/>
    </row>
    <row r="255" spans="3:4" ht="15">
      <c r="C255" s="12"/>
      <c r="D255" s="12"/>
    </row>
    <row r="256" spans="3:4" ht="15">
      <c r="C256" s="12"/>
      <c r="D256" s="12"/>
    </row>
    <row r="257" spans="3:4" ht="15">
      <c r="C257" s="12"/>
      <c r="D257" s="12"/>
    </row>
    <row r="258" spans="3:4" ht="15">
      <c r="C258" s="12"/>
      <c r="D258" s="12"/>
    </row>
    <row r="259" spans="3:4" ht="15">
      <c r="C259" s="12"/>
      <c r="D259" s="12"/>
    </row>
    <row r="260" spans="3:4" ht="15">
      <c r="C260" s="12"/>
      <c r="D260" s="12"/>
    </row>
    <row r="261" spans="3:4" ht="15">
      <c r="C261" s="12"/>
      <c r="D261" s="12"/>
    </row>
    <row r="262" spans="3:4" ht="15">
      <c r="C262" s="12"/>
      <c r="D262" s="12"/>
    </row>
    <row r="263" spans="3:4" ht="15">
      <c r="C263" s="12"/>
      <c r="D263" s="12"/>
    </row>
    <row r="264" spans="3:4" ht="15">
      <c r="C264" s="12"/>
      <c r="D264" s="12"/>
    </row>
    <row r="265" spans="3:4" ht="15">
      <c r="C265" s="12"/>
      <c r="D265" s="12"/>
    </row>
    <row r="266" spans="3:4" ht="15">
      <c r="C266" s="12"/>
      <c r="D266" s="12"/>
    </row>
    <row r="267" spans="3:4" ht="15">
      <c r="C267" s="12"/>
      <c r="D267" s="12"/>
    </row>
    <row r="268" spans="3:4" ht="15">
      <c r="C268" s="12"/>
      <c r="D268" s="12"/>
    </row>
    <row r="269" spans="3:4" ht="15">
      <c r="C269" s="12"/>
      <c r="D269" s="12"/>
    </row>
    <row r="270" spans="3:4" ht="15">
      <c r="C270" s="12"/>
      <c r="D270" s="12"/>
    </row>
    <row r="271" spans="3:4" ht="15">
      <c r="C271" s="12"/>
      <c r="D271" s="12"/>
    </row>
    <row r="272" spans="3:4" ht="15">
      <c r="C272" s="12"/>
      <c r="D272" s="12"/>
    </row>
    <row r="273" spans="3:4" ht="15">
      <c r="C273" s="12"/>
      <c r="D273" s="12"/>
    </row>
    <row r="274" spans="3:4" ht="15">
      <c r="C274" s="12"/>
      <c r="D274" s="12"/>
    </row>
    <row r="275" spans="3:4" ht="15">
      <c r="C275" s="12"/>
      <c r="D275" s="12"/>
    </row>
    <row r="276" spans="3:4" ht="15">
      <c r="C276" s="12"/>
      <c r="D276" s="12"/>
    </row>
    <row r="277" spans="3:4" ht="15">
      <c r="C277" s="12"/>
      <c r="D277" s="12"/>
    </row>
    <row r="278" spans="3:4" ht="15">
      <c r="C278" s="12"/>
      <c r="D278" s="12"/>
    </row>
    <row r="279" spans="3:4" ht="15">
      <c r="C279" s="12"/>
      <c r="D279" s="12"/>
    </row>
    <row r="280" spans="3:4" ht="15">
      <c r="C280" s="12"/>
      <c r="D280" s="12"/>
    </row>
    <row r="281" spans="3:4" ht="15">
      <c r="C281" s="12"/>
      <c r="D281" s="12"/>
    </row>
    <row r="282" spans="3:4" ht="15">
      <c r="C282" s="12"/>
      <c r="D282" s="12"/>
    </row>
    <row r="283" spans="3:4" ht="15">
      <c r="C283" s="12"/>
      <c r="D283" s="12"/>
    </row>
    <row r="284" spans="3:4" ht="15">
      <c r="C284" s="12"/>
      <c r="D284" s="12"/>
    </row>
    <row r="285" spans="3:4" ht="15">
      <c r="C285" s="12"/>
      <c r="D285" s="12"/>
    </row>
    <row r="286" spans="3:4" ht="15">
      <c r="C286" s="12"/>
      <c r="D286" s="12"/>
    </row>
    <row r="287" spans="3:4" ht="15">
      <c r="C287" s="12"/>
      <c r="D287" s="12"/>
    </row>
    <row r="288" spans="3:4" ht="15">
      <c r="C288" s="12"/>
      <c r="D288" s="12"/>
    </row>
    <row r="289" spans="3:4" ht="15">
      <c r="C289" s="12"/>
      <c r="D289" s="12"/>
    </row>
    <row r="290" spans="3:4" ht="15">
      <c r="C290" s="12"/>
      <c r="D290" s="12"/>
    </row>
    <row r="291" spans="3:4" ht="15">
      <c r="C291" s="12"/>
      <c r="D291" s="12"/>
    </row>
    <row r="292" spans="3:4" ht="15">
      <c r="C292" s="12"/>
      <c r="D292" s="12"/>
    </row>
    <row r="293" spans="3:4" ht="15">
      <c r="C293" s="12"/>
      <c r="D293" s="12"/>
    </row>
    <row r="294" spans="3:4" ht="15">
      <c r="C294" s="12"/>
      <c r="D294" s="12"/>
    </row>
    <row r="295" spans="3:4" ht="15">
      <c r="C295" s="12"/>
      <c r="D295" s="12"/>
    </row>
    <row r="296" spans="3:4" ht="15">
      <c r="C296" s="12"/>
      <c r="D296" s="12"/>
    </row>
    <row r="297" spans="3:4" ht="15">
      <c r="C297" s="12"/>
      <c r="D297" s="12"/>
    </row>
    <row r="298" spans="3:4" ht="15">
      <c r="C298" s="12"/>
      <c r="D298" s="12"/>
    </row>
    <row r="299" spans="3:4" ht="15">
      <c r="C299" s="12"/>
      <c r="D299" s="12"/>
    </row>
    <row r="300" spans="3:4" ht="15">
      <c r="C300" s="12"/>
      <c r="D300" s="12"/>
    </row>
    <row r="301" spans="3:4" ht="15">
      <c r="C301" s="12"/>
      <c r="D301" s="12"/>
    </row>
    <row r="302" spans="3:4" ht="15">
      <c r="C302" s="12"/>
      <c r="D302" s="12"/>
    </row>
    <row r="303" spans="3:4" ht="15">
      <c r="C303" s="12"/>
      <c r="D303" s="12"/>
    </row>
    <row r="304" spans="3:4" ht="15">
      <c r="C304" s="12"/>
      <c r="D304" s="12"/>
    </row>
    <row r="305" spans="3:4" ht="15">
      <c r="C305" s="12"/>
      <c r="D305" s="12"/>
    </row>
    <row r="306" spans="3:4" ht="15">
      <c r="C306" s="12"/>
      <c r="D306" s="12"/>
    </row>
    <row r="307" spans="3:4" ht="15">
      <c r="C307" s="12"/>
      <c r="D307" s="12"/>
    </row>
    <row r="308" spans="3:4" ht="15">
      <c r="C308" s="12"/>
      <c r="D308" s="12"/>
    </row>
    <row r="309" spans="3:4" ht="15">
      <c r="C309" s="12"/>
      <c r="D309" s="12"/>
    </row>
    <row r="310" spans="3:4" ht="15">
      <c r="C310" s="12"/>
      <c r="D310" s="12"/>
    </row>
    <row r="311" spans="3:4" ht="15">
      <c r="C311" s="12"/>
      <c r="D311" s="12"/>
    </row>
    <row r="312" spans="3:4" ht="15">
      <c r="C312" s="12"/>
      <c r="D312" s="12"/>
    </row>
    <row r="313" spans="3:4" ht="15">
      <c r="C313" s="12"/>
      <c r="D313" s="12"/>
    </row>
    <row r="314" spans="3:4" ht="15">
      <c r="C314" s="12"/>
      <c r="D314" s="12"/>
    </row>
    <row r="315" spans="3:4" ht="15">
      <c r="C315" s="12"/>
      <c r="D315" s="12"/>
    </row>
    <row r="316" spans="3:4" ht="15">
      <c r="C316" s="12"/>
      <c r="D316" s="12"/>
    </row>
    <row r="317" spans="3:4" ht="15">
      <c r="C317" s="12"/>
      <c r="D317" s="12"/>
    </row>
    <row r="318" spans="3:4" ht="15">
      <c r="C318" s="12"/>
      <c r="D318" s="12"/>
    </row>
    <row r="319" spans="3:4" ht="15">
      <c r="C319" s="12"/>
      <c r="D319" s="12"/>
    </row>
    <row r="320" spans="3:4" ht="15">
      <c r="C320" s="12"/>
      <c r="D320" s="12"/>
    </row>
    <row r="321" spans="3:4" ht="15">
      <c r="C321" s="12"/>
      <c r="D321" s="12"/>
    </row>
    <row r="322" spans="3:4" ht="15">
      <c r="C322" s="12"/>
      <c r="D322" s="12"/>
    </row>
    <row r="323" spans="3:4" ht="15">
      <c r="C323" s="12"/>
      <c r="D323" s="12"/>
    </row>
    <row r="324" spans="3:4" ht="15">
      <c r="C324" s="12"/>
      <c r="D324" s="12"/>
    </row>
    <row r="325" spans="3:4" ht="15">
      <c r="C325" s="12"/>
      <c r="D325" s="12"/>
    </row>
    <row r="326" spans="3:4" ht="15">
      <c r="C326" s="12"/>
      <c r="D326" s="12"/>
    </row>
    <row r="327" spans="3:4" ht="15">
      <c r="C327" s="12"/>
      <c r="D327" s="12"/>
    </row>
    <row r="328" spans="3:4" ht="15">
      <c r="C328" s="12"/>
      <c r="D328" s="12"/>
    </row>
    <row r="329" spans="3:4" ht="15">
      <c r="C329" s="12"/>
      <c r="D329" s="12"/>
    </row>
    <row r="330" spans="3:4" ht="15">
      <c r="C330" s="12"/>
      <c r="D330" s="12"/>
    </row>
    <row r="331" spans="3:4" ht="15">
      <c r="C331" s="12"/>
      <c r="D331" s="12"/>
    </row>
    <row r="332" spans="3:4" ht="15">
      <c r="C332" s="12"/>
      <c r="D332" s="12"/>
    </row>
    <row r="333" spans="3:4" ht="15">
      <c r="C333" s="12"/>
      <c r="D333" s="12"/>
    </row>
    <row r="334" spans="3:4" ht="15">
      <c r="C334" s="12"/>
      <c r="D334" s="12"/>
    </row>
    <row r="335" spans="3:4" ht="15">
      <c r="C335" s="12"/>
      <c r="D335" s="12"/>
    </row>
    <row r="336" spans="3:4" ht="15">
      <c r="C336" s="12"/>
      <c r="D336" s="12"/>
    </row>
    <row r="337" spans="3:4" ht="15">
      <c r="C337" s="12"/>
      <c r="D337" s="12"/>
    </row>
    <row r="338" spans="3:4" ht="15">
      <c r="C338" s="12"/>
      <c r="D338" s="12"/>
    </row>
    <row r="339" spans="3:4" ht="15">
      <c r="C339" s="12"/>
      <c r="D339" s="12"/>
    </row>
    <row r="340" spans="3:4" ht="15">
      <c r="C340" s="12"/>
      <c r="D340" s="12"/>
    </row>
    <row r="341" spans="3:4" ht="15">
      <c r="C341" s="12"/>
      <c r="D341" s="12"/>
    </row>
    <row r="342" spans="3:4" ht="15">
      <c r="C342" s="12"/>
      <c r="D342" s="12"/>
    </row>
    <row r="343" spans="3:4" ht="15">
      <c r="C343" s="12"/>
      <c r="D343" s="12"/>
    </row>
    <row r="344" spans="3:4" ht="15">
      <c r="C344" s="12"/>
      <c r="D344" s="12"/>
    </row>
    <row r="345" spans="3:4" ht="15">
      <c r="C345" s="12"/>
      <c r="D345" s="12"/>
    </row>
    <row r="346" spans="3:4" ht="15">
      <c r="C346" s="12"/>
      <c r="D346" s="12"/>
    </row>
    <row r="347" spans="3:4" ht="15">
      <c r="C347" s="12"/>
      <c r="D347" s="12"/>
    </row>
    <row r="348" spans="3:4" ht="15">
      <c r="C348" s="12"/>
      <c r="D348" s="12"/>
    </row>
    <row r="349" spans="3:4" ht="15">
      <c r="C349" s="12"/>
      <c r="D349" s="12"/>
    </row>
    <row r="350" spans="3:4" ht="15">
      <c r="C350" s="12"/>
      <c r="D350" s="12"/>
    </row>
    <row r="351" spans="3:4" ht="15">
      <c r="C351" s="12"/>
      <c r="D351" s="12"/>
    </row>
    <row r="352" spans="3:4" ht="15">
      <c r="C352" s="12"/>
      <c r="D352" s="12"/>
    </row>
    <row r="353" spans="3:4" ht="15">
      <c r="C353" s="12"/>
      <c r="D353" s="12"/>
    </row>
    <row r="354" spans="3:4" ht="15">
      <c r="C354" s="12"/>
      <c r="D354" s="12"/>
    </row>
    <row r="355" spans="3:4" ht="15">
      <c r="C355" s="12"/>
      <c r="D355" s="12"/>
    </row>
    <row r="356" spans="3:4" ht="15">
      <c r="C356" s="12"/>
      <c r="D356" s="12"/>
    </row>
    <row r="357" spans="3:4" ht="15">
      <c r="C357" s="12"/>
      <c r="D357" s="12"/>
    </row>
    <row r="358" spans="3:4" ht="15">
      <c r="C358" s="12"/>
      <c r="D358" s="12"/>
    </row>
    <row r="359" spans="3:4" ht="15">
      <c r="C359" s="12"/>
      <c r="D359" s="12"/>
    </row>
    <row r="360" spans="3:4" ht="15">
      <c r="C360" s="12"/>
      <c r="D360" s="12"/>
    </row>
    <row r="361" spans="3:4" ht="15">
      <c r="C361" s="12"/>
      <c r="D361" s="12"/>
    </row>
    <row r="362" spans="3:4" ht="15">
      <c r="C362" s="12"/>
      <c r="D362" s="12"/>
    </row>
    <row r="363" spans="3:4" ht="15">
      <c r="C363" s="12"/>
      <c r="D363" s="12"/>
    </row>
    <row r="364" spans="3:4" ht="15">
      <c r="C364" s="12"/>
      <c r="D364" s="12"/>
    </row>
    <row r="365" spans="3:4" ht="15">
      <c r="C365" s="12"/>
      <c r="D365" s="12"/>
    </row>
    <row r="366" spans="3:4" ht="15">
      <c r="C366" s="12"/>
      <c r="D366" s="12"/>
    </row>
    <row r="367" spans="3:4" ht="15">
      <c r="C367" s="12"/>
      <c r="D367" s="12"/>
    </row>
    <row r="368" spans="3:4" ht="15">
      <c r="C368" s="12"/>
      <c r="D368" s="12"/>
    </row>
    <row r="369" spans="3:4" ht="15">
      <c r="C369" s="12"/>
      <c r="D369" s="12"/>
    </row>
    <row r="370" spans="3:4" ht="15">
      <c r="C370" s="12"/>
      <c r="D370" s="12"/>
    </row>
    <row r="371" spans="3:4" ht="15">
      <c r="C371" s="12"/>
      <c r="D371" s="12"/>
    </row>
    <row r="372" spans="3:4" ht="15">
      <c r="C372" s="12"/>
      <c r="D372" s="12"/>
    </row>
    <row r="373" spans="3:4" ht="15">
      <c r="C373" s="12"/>
      <c r="D373" s="12"/>
    </row>
    <row r="374" spans="3:4" ht="15">
      <c r="C374" s="12"/>
      <c r="D374" s="12"/>
    </row>
    <row r="375" spans="3:4" ht="15">
      <c r="C375" s="12"/>
      <c r="D375" s="12"/>
    </row>
    <row r="376" spans="3:4" ht="15">
      <c r="C376" s="12"/>
      <c r="D376" s="12"/>
    </row>
    <row r="377" spans="3:4" ht="15">
      <c r="C377" s="12"/>
      <c r="D377" s="12"/>
    </row>
    <row r="378" spans="3:4" ht="15">
      <c r="C378" s="12"/>
      <c r="D378" s="12"/>
    </row>
    <row r="379" spans="3:4" ht="15">
      <c r="C379" s="12"/>
      <c r="D379" s="12"/>
    </row>
    <row r="380" spans="3:4" ht="15">
      <c r="C380" s="12"/>
      <c r="D380" s="12"/>
    </row>
    <row r="381" spans="3:4" ht="15">
      <c r="C381" s="12"/>
      <c r="D381" s="12"/>
    </row>
    <row r="382" spans="3:4" ht="15">
      <c r="C382" s="12"/>
      <c r="D382" s="12"/>
    </row>
    <row r="383" spans="3:4" ht="15">
      <c r="C383" s="12"/>
      <c r="D383" s="12"/>
    </row>
    <row r="384" spans="3:4" ht="15">
      <c r="C384" s="12"/>
      <c r="D384" s="12"/>
    </row>
    <row r="385" spans="3:4" ht="15">
      <c r="C385" s="12"/>
      <c r="D385" s="12"/>
    </row>
    <row r="386" spans="3:4" ht="15">
      <c r="C386" s="12"/>
      <c r="D386" s="12"/>
    </row>
    <row r="387" spans="3:4" ht="15">
      <c r="C387" s="12"/>
      <c r="D387" s="12"/>
    </row>
    <row r="388" spans="3:4" ht="15">
      <c r="C388" s="12"/>
      <c r="D388" s="12"/>
    </row>
    <row r="389" spans="3:4" ht="15">
      <c r="C389" s="12"/>
      <c r="D389" s="12"/>
    </row>
    <row r="390" spans="3:4" ht="15">
      <c r="C390" s="12"/>
      <c r="D390" s="12"/>
    </row>
    <row r="391" spans="3:4" ht="15">
      <c r="C391" s="12"/>
      <c r="D391" s="12"/>
    </row>
    <row r="392" spans="3:4" ht="15">
      <c r="C392" s="12"/>
      <c r="D392" s="12"/>
    </row>
    <row r="393" spans="3:4" ht="15">
      <c r="C393" s="12"/>
      <c r="D393" s="12"/>
    </row>
    <row r="394" spans="3:4" ht="15">
      <c r="C394" s="12"/>
      <c r="D394" s="12"/>
    </row>
    <row r="395" spans="3:4" ht="15">
      <c r="C395" s="12"/>
      <c r="D395" s="12"/>
    </row>
    <row r="396" spans="3:4" ht="15">
      <c r="C396" s="12"/>
      <c r="D396" s="12"/>
    </row>
    <row r="397" spans="3:4" ht="15">
      <c r="C397" s="12"/>
      <c r="D397" s="12"/>
    </row>
    <row r="398" spans="3:4" ht="15">
      <c r="C398" s="12"/>
      <c r="D398" s="12"/>
    </row>
    <row r="399" spans="3:4" ht="15">
      <c r="C399" s="12"/>
      <c r="D399" s="12"/>
    </row>
    <row r="400" spans="3:4" ht="15">
      <c r="C400" s="12"/>
      <c r="D400" s="12"/>
    </row>
    <row r="401" spans="3:4" ht="15">
      <c r="C401" s="12"/>
      <c r="D401" s="12"/>
    </row>
    <row r="402" spans="3:4" ht="15">
      <c r="C402" s="12"/>
      <c r="D402" s="12"/>
    </row>
    <row r="403" spans="3:4" ht="15">
      <c r="C403" s="12"/>
      <c r="D403" s="12"/>
    </row>
    <row r="404" spans="3:4" ht="15">
      <c r="C404" s="12"/>
      <c r="D404" s="12"/>
    </row>
    <row r="405" spans="3:4" ht="15">
      <c r="C405" s="12"/>
      <c r="D405" s="12"/>
    </row>
    <row r="406" spans="3:4" ht="15">
      <c r="C406" s="12"/>
      <c r="D406" s="12"/>
    </row>
    <row r="407" spans="3:4" ht="15">
      <c r="C407" s="12"/>
      <c r="D407" s="12"/>
    </row>
    <row r="408" spans="3:4" ht="15">
      <c r="C408" s="12"/>
      <c r="D408" s="12"/>
    </row>
    <row r="409" spans="3:4" ht="15">
      <c r="C409" s="12"/>
      <c r="D409" s="12"/>
    </row>
    <row r="410" spans="3:4" ht="15">
      <c r="C410" s="12"/>
      <c r="D410" s="12"/>
    </row>
    <row r="411" spans="3:4" ht="15">
      <c r="C411" s="12"/>
      <c r="D411" s="12"/>
    </row>
    <row r="412" spans="3:4" ht="15">
      <c r="C412" s="12"/>
      <c r="D412" s="12"/>
    </row>
    <row r="413" spans="3:4" ht="15">
      <c r="C413" s="12"/>
      <c r="D413" s="12"/>
    </row>
    <row r="414" spans="3:4" ht="15">
      <c r="C414" s="12"/>
      <c r="D414" s="12"/>
    </row>
    <row r="415" spans="3:4" ht="15">
      <c r="C415" s="12"/>
      <c r="D415" s="12"/>
    </row>
    <row r="416" spans="3:4" ht="15">
      <c r="C416" s="12"/>
      <c r="D416" s="12"/>
    </row>
    <row r="417" spans="3:4" ht="15">
      <c r="C417" s="12"/>
      <c r="D417" s="12"/>
    </row>
    <row r="418" spans="3:4" ht="15">
      <c r="C418" s="12"/>
      <c r="D418" s="12"/>
    </row>
    <row r="419" spans="3:4" ht="15">
      <c r="C419" s="12"/>
      <c r="D419" s="12"/>
    </row>
    <row r="420" spans="3:4" ht="15">
      <c r="C420" s="12"/>
      <c r="D420" s="12"/>
    </row>
    <row r="421" spans="3:4" ht="15">
      <c r="C421" s="12"/>
      <c r="D421" s="12"/>
    </row>
    <row r="422" spans="3:4" ht="15">
      <c r="C422" s="12"/>
      <c r="D422" s="12"/>
    </row>
    <row r="423" spans="3:4" ht="15">
      <c r="C423" s="12"/>
      <c r="D423" s="12"/>
    </row>
    <row r="424" spans="3:4" ht="15">
      <c r="C424" s="12"/>
      <c r="D424" s="12"/>
    </row>
    <row r="425" spans="3:4" ht="15">
      <c r="C425" s="12"/>
      <c r="D425" s="12"/>
    </row>
    <row r="426" spans="3:4" ht="15">
      <c r="C426" s="12"/>
      <c r="D426" s="12"/>
    </row>
    <row r="427" spans="3:4" ht="15">
      <c r="C427" s="12"/>
      <c r="D427" s="12"/>
    </row>
    <row r="428" spans="3:4" ht="15">
      <c r="C428" s="12"/>
      <c r="D428" s="12"/>
    </row>
    <row r="429" spans="3:4" ht="15">
      <c r="C429" s="12"/>
      <c r="D429" s="12"/>
    </row>
    <row r="430" spans="3:4" ht="15">
      <c r="C430" s="12"/>
      <c r="D430" s="12"/>
    </row>
    <row r="431" spans="3:4" ht="15">
      <c r="C431" s="12"/>
      <c r="D431" s="12"/>
    </row>
    <row r="432" spans="3:4" ht="15">
      <c r="C432" s="12"/>
      <c r="D432" s="12"/>
    </row>
    <row r="433" spans="3:4" ht="15">
      <c r="C433" s="12"/>
      <c r="D433" s="12"/>
    </row>
    <row r="434" spans="3:4" ht="15">
      <c r="C434" s="12"/>
      <c r="D434" s="12"/>
    </row>
    <row r="435" spans="3:4" ht="15">
      <c r="C435" s="12"/>
      <c r="D435" s="12"/>
    </row>
    <row r="436" spans="3:4" ht="15">
      <c r="C436" s="12"/>
      <c r="D436" s="12"/>
    </row>
    <row r="437" spans="3:4" ht="15">
      <c r="C437" s="12"/>
      <c r="D437" s="12"/>
    </row>
    <row r="438" spans="3:4" ht="15">
      <c r="C438" s="12"/>
      <c r="D438" s="12"/>
    </row>
    <row r="439" spans="3:4" ht="15">
      <c r="C439" s="12"/>
      <c r="D439" s="12"/>
    </row>
    <row r="440" spans="3:4" ht="15">
      <c r="C440" s="12"/>
      <c r="D440" s="12"/>
    </row>
    <row r="441" spans="3:4" ht="15">
      <c r="C441" s="12"/>
      <c r="D441" s="12"/>
    </row>
    <row r="442" spans="3:4" ht="15">
      <c r="C442" s="12"/>
      <c r="D442" s="12"/>
    </row>
    <row r="443" spans="3:4" ht="15">
      <c r="C443" s="12"/>
      <c r="D443" s="12"/>
    </row>
    <row r="444" spans="3:4" ht="15">
      <c r="C444" s="12"/>
      <c r="D444" s="12"/>
    </row>
    <row r="445" spans="3:4" ht="15">
      <c r="C445" s="12"/>
      <c r="D445" s="12"/>
    </row>
    <row r="446" spans="3:4" ht="15">
      <c r="C446" s="12"/>
      <c r="D446" s="12"/>
    </row>
    <row r="447" spans="3:4" ht="15">
      <c r="C447" s="12"/>
      <c r="D447" s="12"/>
    </row>
    <row r="448" spans="3:4" ht="15">
      <c r="C448" s="12"/>
      <c r="D448" s="12"/>
    </row>
    <row r="449" spans="3:4" ht="15">
      <c r="C449" s="12"/>
      <c r="D449" s="12"/>
    </row>
    <row r="450" spans="3:4" ht="15">
      <c r="C450" s="12"/>
      <c r="D450" s="12"/>
    </row>
    <row r="451" spans="3:4" ht="15">
      <c r="C451" s="12"/>
      <c r="D451" s="12"/>
    </row>
    <row r="452" spans="3:4" ht="15">
      <c r="C452" s="12"/>
      <c r="D452" s="12"/>
    </row>
    <row r="453" spans="3:4" ht="15">
      <c r="C453" s="12"/>
      <c r="D453" s="12"/>
    </row>
    <row r="454" spans="3:4" ht="15">
      <c r="C454" s="12"/>
      <c r="D454" s="12"/>
    </row>
    <row r="455" spans="3:4" ht="15">
      <c r="C455" s="12"/>
      <c r="D455" s="12"/>
    </row>
    <row r="456" spans="3:4" ht="15">
      <c r="C456" s="12"/>
      <c r="D456" s="12"/>
    </row>
    <row r="457" spans="3:4" ht="15">
      <c r="C457" s="12"/>
      <c r="D457" s="12"/>
    </row>
    <row r="458" spans="3:4" ht="15">
      <c r="C458" s="12"/>
      <c r="D458" s="12"/>
    </row>
    <row r="459" spans="3:4" ht="15">
      <c r="C459" s="12"/>
      <c r="D459" s="12"/>
    </row>
    <row r="460" spans="3:4" ht="15">
      <c r="C460" s="12"/>
      <c r="D460" s="12"/>
    </row>
    <row r="461" spans="3:4" ht="15">
      <c r="C461" s="12"/>
      <c r="D461" s="12"/>
    </row>
    <row r="462" spans="3:4" ht="15">
      <c r="C462" s="12"/>
      <c r="D462" s="12"/>
    </row>
    <row r="463" spans="3:4" ht="15">
      <c r="C463" s="12"/>
      <c r="D463" s="12"/>
    </row>
    <row r="464" spans="3:4" ht="15">
      <c r="C464" s="12"/>
      <c r="D464" s="12"/>
    </row>
    <row r="465" spans="3:4" ht="15">
      <c r="C465" s="12"/>
      <c r="D465" s="12"/>
    </row>
    <row r="466" spans="3:4" ht="15">
      <c r="C466" s="12"/>
      <c r="D466" s="12"/>
    </row>
    <row r="467" spans="3:4" ht="15">
      <c r="C467" s="12"/>
      <c r="D467" s="12"/>
    </row>
    <row r="468" spans="3:4" ht="15">
      <c r="C468" s="12"/>
      <c r="D468" s="12"/>
    </row>
    <row r="469" spans="3:4" ht="15">
      <c r="C469" s="12"/>
      <c r="D469" s="12"/>
    </row>
    <row r="470" spans="3:4" ht="15">
      <c r="C470" s="12"/>
      <c r="D470" s="12"/>
    </row>
    <row r="471" spans="3:4" ht="15">
      <c r="C471" s="12"/>
      <c r="D471" s="12"/>
    </row>
    <row r="472" spans="3:4" ht="15">
      <c r="C472" s="12"/>
      <c r="D472" s="12"/>
    </row>
    <row r="473" spans="3:4" ht="15">
      <c r="C473" s="12"/>
      <c r="D473" s="12"/>
    </row>
    <row r="474" spans="3:4" ht="15">
      <c r="C474" s="12"/>
      <c r="D474" s="12"/>
    </row>
    <row r="475" spans="3:4" ht="15">
      <c r="C475" s="12"/>
      <c r="D475" s="12"/>
    </row>
    <row r="476" spans="3:4" ht="15">
      <c r="C476" s="12"/>
      <c r="D476" s="12"/>
    </row>
    <row r="477" spans="3:4" ht="15">
      <c r="C477" s="12"/>
      <c r="D477" s="12"/>
    </row>
    <row r="478" spans="3:4" ht="15">
      <c r="C478" s="12"/>
      <c r="D478" s="12"/>
    </row>
    <row r="479" spans="3:4" ht="15">
      <c r="C479" s="12"/>
      <c r="D479" s="12"/>
    </row>
    <row r="480" spans="3:4" ht="15">
      <c r="C480" s="12"/>
      <c r="D480" s="12"/>
    </row>
    <row r="481" spans="3:4" ht="15">
      <c r="C481" s="12"/>
      <c r="D481" s="12"/>
    </row>
    <row r="482" spans="3:4" ht="15">
      <c r="C482" s="12"/>
      <c r="D482" s="12"/>
    </row>
    <row r="483" spans="3:4" ht="15">
      <c r="C483" s="12"/>
      <c r="D483" s="12"/>
    </row>
    <row r="484" spans="3:4" ht="15">
      <c r="C484" s="12"/>
      <c r="D484" s="12"/>
    </row>
    <row r="485" spans="3:4" ht="15">
      <c r="C485" s="12"/>
      <c r="D485" s="12"/>
    </row>
    <row r="486" spans="3:4" ht="15">
      <c r="C486" s="12"/>
      <c r="D486" s="12"/>
    </row>
    <row r="487" spans="3:4" ht="15">
      <c r="C487" s="12"/>
      <c r="D487" s="12"/>
    </row>
    <row r="488" spans="3:4" ht="15">
      <c r="C488" s="12"/>
      <c r="D488" s="12"/>
    </row>
    <row r="489" spans="3:4" ht="15">
      <c r="C489" s="12"/>
      <c r="D489" s="12"/>
    </row>
    <row r="490" spans="3:4" ht="15">
      <c r="C490" s="12"/>
      <c r="D490" s="12"/>
    </row>
    <row r="491" spans="3:4" ht="15">
      <c r="C491" s="12"/>
      <c r="D491" s="12"/>
    </row>
    <row r="492" spans="3:4" ht="15">
      <c r="C492" s="12"/>
      <c r="D492" s="12"/>
    </row>
    <row r="493" spans="3:4" ht="15">
      <c r="C493" s="12"/>
      <c r="D493" s="12"/>
    </row>
    <row r="494" spans="3:4" ht="15">
      <c r="C494" s="12"/>
      <c r="D494" s="12"/>
    </row>
    <row r="495" spans="3:4" ht="15">
      <c r="C495" s="12"/>
      <c r="D495" s="12"/>
    </row>
    <row r="496" spans="3:4" ht="15">
      <c r="C496" s="12"/>
      <c r="D496" s="12"/>
    </row>
    <row r="497" spans="3:4" ht="15">
      <c r="C497" s="12"/>
      <c r="D497" s="12"/>
    </row>
    <row r="498" spans="3:4" ht="15">
      <c r="C498" s="12"/>
      <c r="D498" s="12"/>
    </row>
    <row r="499" spans="3:4" ht="15">
      <c r="C499" s="12"/>
      <c r="D499" s="12"/>
    </row>
    <row r="500" spans="3:4" ht="15">
      <c r="C500" s="12"/>
      <c r="D500" s="12"/>
    </row>
    <row r="501" spans="3:4" ht="15">
      <c r="C501" s="12"/>
      <c r="D501" s="12"/>
    </row>
    <row r="502" spans="3:4" ht="15">
      <c r="C502" s="12"/>
      <c r="D502" s="12"/>
    </row>
    <row r="503" spans="3:4" ht="15">
      <c r="C503" s="12"/>
      <c r="D503" s="12"/>
    </row>
    <row r="504" spans="3:4" ht="15">
      <c r="C504" s="12"/>
      <c r="D504" s="12"/>
    </row>
    <row r="505" spans="3:4" ht="15">
      <c r="C505" s="12"/>
      <c r="D505" s="12"/>
    </row>
    <row r="506" spans="3:4" ht="15">
      <c r="C506" s="12"/>
      <c r="D506" s="12"/>
    </row>
    <row r="507" spans="3:4" ht="15">
      <c r="C507" s="12"/>
      <c r="D507" s="12"/>
    </row>
    <row r="508" spans="3:4" ht="15">
      <c r="C508" s="12"/>
      <c r="D508" s="12"/>
    </row>
    <row r="509" spans="3:4" ht="15">
      <c r="C509" s="12"/>
      <c r="D509" s="12"/>
    </row>
    <row r="510" spans="3:4" ht="15">
      <c r="C510" s="12"/>
      <c r="D510" s="12"/>
    </row>
    <row r="511" spans="3:4" ht="15">
      <c r="C511" s="12"/>
      <c r="D511" s="12"/>
    </row>
    <row r="512" spans="3:4" ht="15">
      <c r="C512" s="12"/>
      <c r="D512" s="12"/>
    </row>
    <row r="513" spans="3:4" ht="15">
      <c r="C513" s="12"/>
      <c r="D513" s="12"/>
    </row>
    <row r="514" spans="3:4" ht="15">
      <c r="C514" s="12"/>
      <c r="D514" s="12"/>
    </row>
    <row r="515" spans="3:4" ht="15">
      <c r="C515" s="12"/>
      <c r="D515" s="12"/>
    </row>
    <row r="516" spans="3:4" ht="15">
      <c r="C516" s="12"/>
      <c r="D516" s="12"/>
    </row>
    <row r="517" spans="3:4" ht="15">
      <c r="C517" s="12"/>
      <c r="D517" s="12"/>
    </row>
    <row r="518" spans="3:4" ht="15">
      <c r="C518" s="12"/>
      <c r="D518" s="12"/>
    </row>
    <row r="519" spans="3:4" ht="15">
      <c r="C519" s="12"/>
      <c r="D519" s="12"/>
    </row>
    <row r="520" spans="3:4" ht="15">
      <c r="C520" s="12"/>
      <c r="D520" s="12"/>
    </row>
    <row r="521" spans="3:4" ht="15">
      <c r="C521" s="12"/>
      <c r="D521" s="12"/>
    </row>
    <row r="522" spans="3:4" ht="15">
      <c r="C522" s="12"/>
      <c r="D522" s="12"/>
    </row>
    <row r="523" spans="3:4" ht="15">
      <c r="C523" s="12"/>
      <c r="D523" s="12"/>
    </row>
    <row r="524" spans="3:4" ht="15">
      <c r="C524" s="12"/>
      <c r="D524" s="12"/>
    </row>
    <row r="525" spans="3:4" ht="15">
      <c r="C525" s="12"/>
      <c r="D525" s="12"/>
    </row>
    <row r="526" spans="3:4" ht="15">
      <c r="C526" s="12"/>
      <c r="D526" s="12"/>
    </row>
    <row r="527" spans="3:4" ht="15">
      <c r="C527" s="12"/>
      <c r="D527" s="12"/>
    </row>
    <row r="528" spans="3:4" ht="15">
      <c r="C528" s="12"/>
      <c r="D528" s="12"/>
    </row>
    <row r="529" spans="3:4" ht="15">
      <c r="C529" s="12"/>
      <c r="D529" s="12"/>
    </row>
    <row r="530" spans="3:4" ht="15">
      <c r="C530" s="12"/>
      <c r="D530" s="12"/>
    </row>
    <row r="531" spans="3:4" ht="15">
      <c r="C531" s="12"/>
      <c r="D531" s="12"/>
    </row>
    <row r="532" spans="3:4" ht="15">
      <c r="C532" s="12"/>
      <c r="D532" s="12"/>
    </row>
    <row r="533" spans="3:4" ht="15">
      <c r="C533" s="12"/>
      <c r="D533" s="12"/>
    </row>
    <row r="534" spans="3:4" ht="15">
      <c r="C534" s="12"/>
      <c r="D534" s="12"/>
    </row>
    <row r="535" spans="3:4" ht="15">
      <c r="C535" s="12"/>
      <c r="D535" s="12"/>
    </row>
    <row r="536" spans="3:4" ht="15">
      <c r="C536" s="12"/>
      <c r="D536" s="12"/>
    </row>
    <row r="537" spans="3:4" ht="15">
      <c r="C537" s="12"/>
      <c r="D537" s="12"/>
    </row>
    <row r="538" spans="3:4" ht="15">
      <c r="C538" s="12"/>
      <c r="D538" s="12"/>
    </row>
    <row r="539" spans="3:4" ht="15">
      <c r="C539" s="12"/>
      <c r="D539" s="12"/>
    </row>
    <row r="540" spans="3:4" ht="15">
      <c r="C540" s="12"/>
      <c r="D540" s="12"/>
    </row>
    <row r="541" spans="3:4" ht="15">
      <c r="C541" s="12"/>
      <c r="D541" s="12"/>
    </row>
    <row r="542" spans="3:4" ht="15">
      <c r="C542" s="12"/>
      <c r="D542" s="12"/>
    </row>
    <row r="543" spans="3:4" ht="15">
      <c r="C543" s="12"/>
      <c r="D543" s="12"/>
    </row>
    <row r="544" spans="3:4" ht="15">
      <c r="C544" s="12"/>
      <c r="D544" s="12"/>
    </row>
    <row r="545" spans="3:4" ht="15">
      <c r="C545" s="12"/>
      <c r="D545" s="12"/>
    </row>
    <row r="546" spans="3:4" ht="15">
      <c r="C546" s="12"/>
      <c r="D546" s="12"/>
    </row>
    <row r="547" spans="3:4" ht="15">
      <c r="C547" s="12"/>
      <c r="D547" s="12"/>
    </row>
    <row r="548" spans="3:4" ht="15">
      <c r="C548" s="12"/>
      <c r="D548" s="12"/>
    </row>
    <row r="549" spans="3:4" ht="15">
      <c r="C549" s="12"/>
      <c r="D549" s="12"/>
    </row>
  </sheetData>
  <sheetProtection/>
  <mergeCells count="3">
    <mergeCell ref="B3:F3"/>
    <mergeCell ref="G1:I1"/>
    <mergeCell ref="C1:F1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186" bestFit="1" customWidth="1"/>
    <col min="2" max="2" width="55.125" style="68" bestFit="1" customWidth="1"/>
    <col min="3" max="5" width="9.00390625" style="68" customWidth="1"/>
    <col min="6" max="6" width="59.75390625" style="68" customWidth="1"/>
    <col min="7" max="9" width="9.00390625" style="68" customWidth="1"/>
    <col min="10" max="16384" width="9.125" style="68" customWidth="1"/>
  </cols>
  <sheetData>
    <row r="1" spans="6:10" ht="12.75" customHeight="1">
      <c r="F1" s="919" t="s">
        <v>163</v>
      </c>
      <c r="G1" s="920"/>
      <c r="H1" s="920"/>
      <c r="I1" s="920"/>
      <c r="J1" s="137"/>
    </row>
    <row r="2" spans="2:9" ht="15.75">
      <c r="B2" s="921" t="s">
        <v>271</v>
      </c>
      <c r="C2" s="921"/>
      <c r="D2" s="921"/>
      <c r="E2" s="921"/>
      <c r="F2" s="921"/>
      <c r="G2" s="921"/>
      <c r="H2" s="921"/>
      <c r="I2" s="921"/>
    </row>
    <row r="3" ht="11.25" customHeight="1"/>
    <row r="4" spans="1:9" s="69" customFormat="1" ht="15" customHeight="1">
      <c r="A4" s="923" t="s">
        <v>483</v>
      </c>
      <c r="B4" s="922" t="s">
        <v>500</v>
      </c>
      <c r="C4" s="922"/>
      <c r="D4" s="922"/>
      <c r="E4" s="922"/>
      <c r="F4" s="922" t="s">
        <v>301</v>
      </c>
      <c r="G4" s="922"/>
      <c r="H4" s="922"/>
      <c r="I4" s="922"/>
    </row>
    <row r="5" spans="1:9" s="72" customFormat="1" ht="14.25">
      <c r="A5" s="923"/>
      <c r="B5" s="70" t="s">
        <v>300</v>
      </c>
      <c r="C5" s="71" t="s">
        <v>218</v>
      </c>
      <c r="D5" s="71" t="s">
        <v>217</v>
      </c>
      <c r="E5" s="71" t="s">
        <v>214</v>
      </c>
      <c r="F5" s="70" t="s">
        <v>300</v>
      </c>
      <c r="G5" s="71" t="s">
        <v>218</v>
      </c>
      <c r="H5" s="71" t="s">
        <v>217</v>
      </c>
      <c r="I5" s="71" t="s">
        <v>214</v>
      </c>
    </row>
    <row r="6" spans="1:9" s="185" customFormat="1" ht="12">
      <c r="A6" s="923"/>
      <c r="B6" s="184" t="s">
        <v>477</v>
      </c>
      <c r="C6" s="184" t="s">
        <v>478</v>
      </c>
      <c r="D6" s="184" t="s">
        <v>479</v>
      </c>
      <c r="E6" s="184" t="s">
        <v>480</v>
      </c>
      <c r="F6" s="184" t="s">
        <v>481</v>
      </c>
      <c r="G6" s="184" t="s">
        <v>482</v>
      </c>
      <c r="H6" s="184" t="s">
        <v>485</v>
      </c>
      <c r="I6" s="184" t="s">
        <v>486</v>
      </c>
    </row>
    <row r="7" spans="1:9" s="114" customFormat="1" ht="14.25">
      <c r="A7" s="184">
        <v>1</v>
      </c>
      <c r="B7" s="113" t="s">
        <v>905</v>
      </c>
      <c r="C7" s="133">
        <f>SUM(C8,C28,C39)</f>
        <v>1928759</v>
      </c>
      <c r="D7" s="133">
        <f>SUM(D8,D28,D39)</f>
        <v>4075124</v>
      </c>
      <c r="E7" s="133">
        <f aca="true" t="shared" si="0" ref="E7:E41">SUM(C7:D7)</f>
        <v>6003883</v>
      </c>
      <c r="F7" s="113" t="s">
        <v>904</v>
      </c>
      <c r="G7" s="133">
        <f>SUM(G8,G28,G39:G39)</f>
        <v>1973139</v>
      </c>
      <c r="H7" s="133">
        <f>SUM(H8,H28)</f>
        <v>4144104</v>
      </c>
      <c r="I7" s="133">
        <f aca="true" t="shared" si="1" ref="I7:I21">SUM(G7:H7)</f>
        <v>6117243</v>
      </c>
    </row>
    <row r="8" spans="1:9" s="123" customFormat="1" ht="12.75">
      <c r="A8" s="187">
        <v>2</v>
      </c>
      <c r="B8" s="120" t="s">
        <v>512</v>
      </c>
      <c r="C8" s="121">
        <f>SUM(C9,C17,C18,C24)</f>
        <v>1928759</v>
      </c>
      <c r="D8" s="121">
        <f>SUM(D9:D10,D17,D24)</f>
        <v>0</v>
      </c>
      <c r="E8" s="121">
        <f t="shared" si="0"/>
        <v>1928759</v>
      </c>
      <c r="F8" s="122" t="s">
        <v>542</v>
      </c>
      <c r="G8" s="121">
        <f>SUM(G9,G10,G11,G12,G13)</f>
        <v>1973139</v>
      </c>
      <c r="H8" s="121">
        <f>SUM(H9,H10,H11,H14,H24)</f>
        <v>8147</v>
      </c>
      <c r="I8" s="121">
        <f t="shared" si="1"/>
        <v>1981286</v>
      </c>
    </row>
    <row r="9" spans="1:9" s="75" customFormat="1" ht="12.75">
      <c r="A9" s="187">
        <v>3</v>
      </c>
      <c r="B9" s="129" t="s">
        <v>929</v>
      </c>
      <c r="C9" s="110">
        <f>SUM(C10:C16)</f>
        <v>142014</v>
      </c>
      <c r="D9" s="110">
        <v>0</v>
      </c>
      <c r="E9" s="110">
        <f t="shared" si="0"/>
        <v>142014</v>
      </c>
      <c r="F9" s="131" t="s">
        <v>543</v>
      </c>
      <c r="G9" s="110">
        <v>423641</v>
      </c>
      <c r="H9" s="110">
        <v>0</v>
      </c>
      <c r="I9" s="110">
        <f t="shared" si="1"/>
        <v>423641</v>
      </c>
    </row>
    <row r="10" spans="1:9" s="75" customFormat="1" ht="12.75">
      <c r="A10" s="187">
        <v>4</v>
      </c>
      <c r="B10" s="106" t="s">
        <v>941</v>
      </c>
      <c r="C10" s="112">
        <v>350</v>
      </c>
      <c r="D10" s="112">
        <f>SUM(D11:D14)</f>
        <v>0</v>
      </c>
      <c r="E10" s="112">
        <f t="shared" si="0"/>
        <v>350</v>
      </c>
      <c r="F10" s="131" t="s">
        <v>895</v>
      </c>
      <c r="G10" s="110">
        <v>91950</v>
      </c>
      <c r="H10" s="110">
        <v>0</v>
      </c>
      <c r="I10" s="110">
        <f t="shared" si="1"/>
        <v>91950</v>
      </c>
    </row>
    <row r="11" spans="1:9" s="76" customFormat="1" ht="12.75">
      <c r="A11" s="184">
        <v>5</v>
      </c>
      <c r="B11" s="106" t="s">
        <v>8</v>
      </c>
      <c r="C11" s="112">
        <v>0</v>
      </c>
      <c r="D11" s="112">
        <v>0</v>
      </c>
      <c r="E11" s="112">
        <f t="shared" si="0"/>
        <v>0</v>
      </c>
      <c r="F11" s="131" t="s">
        <v>896</v>
      </c>
      <c r="G11" s="682">
        <f>1087146+208</f>
        <v>1087354</v>
      </c>
      <c r="H11" s="682">
        <f>8355-208</f>
        <v>8147</v>
      </c>
      <c r="I11" s="682">
        <f t="shared" si="1"/>
        <v>1095501</v>
      </c>
    </row>
    <row r="12" spans="1:9" s="76" customFormat="1" ht="12.75">
      <c r="A12" s="187">
        <v>6</v>
      </c>
      <c r="B12" s="107" t="s">
        <v>943</v>
      </c>
      <c r="C12" s="112">
        <v>20000</v>
      </c>
      <c r="D12" s="112">
        <v>0</v>
      </c>
      <c r="E12" s="112">
        <f t="shared" si="0"/>
        <v>20000</v>
      </c>
      <c r="F12" s="131" t="s">
        <v>952</v>
      </c>
      <c r="G12" s="110">
        <v>180607</v>
      </c>
      <c r="H12" s="110">
        <f>SUM(H13:H14)</f>
        <v>0</v>
      </c>
      <c r="I12" s="110">
        <f t="shared" si="1"/>
        <v>180607</v>
      </c>
    </row>
    <row r="13" spans="1:9" s="76" customFormat="1" ht="12.75">
      <c r="A13" s="187">
        <v>7</v>
      </c>
      <c r="B13" s="106" t="s">
        <v>944</v>
      </c>
      <c r="C13" s="112">
        <v>119736</v>
      </c>
      <c r="D13" s="112">
        <v>0</v>
      </c>
      <c r="E13" s="112">
        <f t="shared" si="0"/>
        <v>119736</v>
      </c>
      <c r="F13" s="131" t="s">
        <v>897</v>
      </c>
      <c r="G13" s="110">
        <f>SUM(G14:G21)</f>
        <v>189587</v>
      </c>
      <c r="H13" s="110">
        <f>SUM(H14:H21)</f>
        <v>0</v>
      </c>
      <c r="I13" s="110">
        <f t="shared" si="1"/>
        <v>189587</v>
      </c>
    </row>
    <row r="14" spans="1:9" s="76" customFormat="1" ht="12.75">
      <c r="A14" s="187">
        <v>8</v>
      </c>
      <c r="B14" s="106" t="s">
        <v>945</v>
      </c>
      <c r="C14" s="112">
        <v>1300</v>
      </c>
      <c r="D14" s="112">
        <v>0</v>
      </c>
      <c r="E14" s="112">
        <f t="shared" si="0"/>
        <v>1300</v>
      </c>
      <c r="F14" s="164" t="s">
        <v>898</v>
      </c>
      <c r="G14" s="112">
        <v>0</v>
      </c>
      <c r="H14" s="112">
        <f>SUM(H17:H21)</f>
        <v>0</v>
      </c>
      <c r="I14" s="112">
        <f t="shared" si="1"/>
        <v>0</v>
      </c>
    </row>
    <row r="15" spans="1:9" s="76" customFormat="1" ht="12.75">
      <c r="A15" s="187">
        <v>9</v>
      </c>
      <c r="B15" s="106" t="s">
        <v>9</v>
      </c>
      <c r="C15" s="112">
        <v>28</v>
      </c>
      <c r="D15" s="112">
        <v>0</v>
      </c>
      <c r="E15" s="112">
        <f t="shared" si="0"/>
        <v>28</v>
      </c>
      <c r="F15" s="164" t="s">
        <v>899</v>
      </c>
      <c r="G15" s="112">
        <v>1677</v>
      </c>
      <c r="H15" s="112">
        <v>0</v>
      </c>
      <c r="I15" s="112">
        <f t="shared" si="1"/>
        <v>1677</v>
      </c>
    </row>
    <row r="16" spans="1:9" s="76" customFormat="1" ht="12.75">
      <c r="A16" s="187">
        <v>10</v>
      </c>
      <c r="B16" s="106" t="s">
        <v>10</v>
      </c>
      <c r="C16" s="112">
        <v>600</v>
      </c>
      <c r="D16" s="112">
        <v>0</v>
      </c>
      <c r="E16" s="112">
        <f t="shared" si="0"/>
        <v>600</v>
      </c>
      <c r="F16" s="164" t="s">
        <v>900</v>
      </c>
      <c r="G16" s="112">
        <v>0</v>
      </c>
      <c r="H16" s="112">
        <v>0</v>
      </c>
      <c r="I16" s="112">
        <f t="shared" si="1"/>
        <v>0</v>
      </c>
    </row>
    <row r="17" spans="1:9" s="75" customFormat="1" ht="12.75">
      <c r="A17" s="184">
        <v>11</v>
      </c>
      <c r="B17" s="129" t="s">
        <v>11</v>
      </c>
      <c r="C17" s="110">
        <v>847543</v>
      </c>
      <c r="D17" s="110">
        <v>0</v>
      </c>
      <c r="E17" s="110">
        <f t="shared" si="0"/>
        <v>847543</v>
      </c>
      <c r="F17" s="164" t="s">
        <v>957</v>
      </c>
      <c r="G17" s="112">
        <v>33166</v>
      </c>
      <c r="H17" s="112">
        <v>0</v>
      </c>
      <c r="I17" s="112">
        <f t="shared" si="1"/>
        <v>33166</v>
      </c>
    </row>
    <row r="18" spans="1:9" s="75" customFormat="1" ht="12.75">
      <c r="A18" s="184">
        <v>12</v>
      </c>
      <c r="B18" s="129" t="s">
        <v>874</v>
      </c>
      <c r="C18" s="110">
        <f>SUM(C19:C23)</f>
        <v>924741</v>
      </c>
      <c r="D18" s="110">
        <f>SUM(D19:D23)</f>
        <v>0</v>
      </c>
      <c r="E18" s="110">
        <f t="shared" si="0"/>
        <v>924741</v>
      </c>
      <c r="F18" s="164" t="s">
        <v>958</v>
      </c>
      <c r="G18" s="112">
        <v>0</v>
      </c>
      <c r="H18" s="112">
        <v>0</v>
      </c>
      <c r="I18" s="112">
        <f t="shared" si="1"/>
        <v>0</v>
      </c>
    </row>
    <row r="19" spans="1:9" s="75" customFormat="1" ht="12.75">
      <c r="A19" s="187">
        <v>13</v>
      </c>
      <c r="B19" s="106" t="s">
        <v>16</v>
      </c>
      <c r="C19" s="112">
        <v>635959</v>
      </c>
      <c r="D19" s="112">
        <v>0</v>
      </c>
      <c r="E19" s="112">
        <f t="shared" si="0"/>
        <v>635959</v>
      </c>
      <c r="F19" s="164" t="s">
        <v>901</v>
      </c>
      <c r="G19" s="112">
        <v>10000</v>
      </c>
      <c r="H19" s="112">
        <v>0</v>
      </c>
      <c r="I19" s="112">
        <f t="shared" si="1"/>
        <v>10000</v>
      </c>
    </row>
    <row r="20" spans="1:9" s="75" customFormat="1" ht="12.75">
      <c r="A20" s="187">
        <v>14</v>
      </c>
      <c r="B20" s="106" t="s">
        <v>134</v>
      </c>
      <c r="C20" s="112">
        <v>0</v>
      </c>
      <c r="D20" s="112">
        <v>0</v>
      </c>
      <c r="E20" s="112">
        <f t="shared" si="0"/>
        <v>0</v>
      </c>
      <c r="F20" s="164" t="s">
        <v>960</v>
      </c>
      <c r="G20" s="112">
        <v>139712</v>
      </c>
      <c r="H20" s="112">
        <v>0</v>
      </c>
      <c r="I20" s="112">
        <f t="shared" si="1"/>
        <v>139712</v>
      </c>
    </row>
    <row r="21" spans="1:9" s="75" customFormat="1" ht="12.75">
      <c r="A21" s="187">
        <v>15</v>
      </c>
      <c r="B21" s="106" t="s">
        <v>875</v>
      </c>
      <c r="C21" s="112">
        <v>0</v>
      </c>
      <c r="D21" s="112">
        <v>0</v>
      </c>
      <c r="E21" s="112">
        <f t="shared" si="0"/>
        <v>0</v>
      </c>
      <c r="F21" s="164" t="s">
        <v>961</v>
      </c>
      <c r="G21" s="112">
        <v>5032</v>
      </c>
      <c r="H21" s="112">
        <v>0</v>
      </c>
      <c r="I21" s="112">
        <f t="shared" si="1"/>
        <v>5032</v>
      </c>
    </row>
    <row r="22" spans="1:9" s="75" customFormat="1" ht="12.75">
      <c r="A22" s="187">
        <v>16</v>
      </c>
      <c r="B22" s="106" t="s">
        <v>876</v>
      </c>
      <c r="C22" s="112">
        <v>1677</v>
      </c>
      <c r="D22" s="112">
        <v>0</v>
      </c>
      <c r="E22" s="112">
        <f t="shared" si="0"/>
        <v>1677</v>
      </c>
      <c r="F22" s="109"/>
      <c r="G22" s="112"/>
      <c r="H22" s="112"/>
      <c r="I22" s="112"/>
    </row>
    <row r="23" spans="1:9" s="75" customFormat="1" ht="12.75">
      <c r="A23" s="187">
        <v>17</v>
      </c>
      <c r="B23" s="106" t="s">
        <v>145</v>
      </c>
      <c r="C23" s="112">
        <v>287105</v>
      </c>
      <c r="D23" s="112">
        <v>0</v>
      </c>
      <c r="E23" s="112">
        <f t="shared" si="0"/>
        <v>287105</v>
      </c>
      <c r="F23" s="109"/>
      <c r="G23" s="112"/>
      <c r="H23" s="112"/>
      <c r="I23" s="112"/>
    </row>
    <row r="24" spans="1:9" s="75" customFormat="1" ht="12.75">
      <c r="A24" s="184">
        <v>18</v>
      </c>
      <c r="B24" s="129" t="s">
        <v>157</v>
      </c>
      <c r="C24" s="110">
        <f>SUM(C25:C27)</f>
        <v>14461</v>
      </c>
      <c r="D24" s="110">
        <f>SUM(D25:D27)</f>
        <v>0</v>
      </c>
      <c r="E24" s="110">
        <f t="shared" si="0"/>
        <v>14461</v>
      </c>
      <c r="F24" s="136"/>
      <c r="G24" s="132"/>
      <c r="H24" s="132"/>
      <c r="I24" s="132"/>
    </row>
    <row r="25" spans="1:9" s="75" customFormat="1" ht="12.75">
      <c r="A25" s="187">
        <v>19</v>
      </c>
      <c r="B25" s="106" t="s">
        <v>877</v>
      </c>
      <c r="C25" s="112">
        <v>0</v>
      </c>
      <c r="D25" s="112">
        <v>0</v>
      </c>
      <c r="E25" s="112">
        <f t="shared" si="0"/>
        <v>0</v>
      </c>
      <c r="F25" s="74"/>
      <c r="G25" s="111"/>
      <c r="H25" s="111"/>
      <c r="I25" s="111"/>
    </row>
    <row r="26" spans="1:9" s="75" customFormat="1" ht="12.75">
      <c r="A26" s="187">
        <v>20</v>
      </c>
      <c r="B26" s="106" t="s">
        <v>887</v>
      </c>
      <c r="C26" s="112">
        <f>6500+6000</f>
        <v>12500</v>
      </c>
      <c r="D26" s="112">
        <v>0</v>
      </c>
      <c r="E26" s="112">
        <f t="shared" si="0"/>
        <v>12500</v>
      </c>
      <c r="F26" s="74"/>
      <c r="G26" s="111"/>
      <c r="H26" s="111"/>
      <c r="I26" s="111"/>
    </row>
    <row r="27" spans="1:9" s="73" customFormat="1" ht="12.75">
      <c r="A27" s="187">
        <v>21</v>
      </c>
      <c r="B27" s="106" t="s">
        <v>888</v>
      </c>
      <c r="C27" s="112">
        <v>1961</v>
      </c>
      <c r="D27" s="112">
        <v>0</v>
      </c>
      <c r="E27" s="112">
        <f t="shared" si="0"/>
        <v>1961</v>
      </c>
      <c r="F27" s="74"/>
      <c r="G27" s="111"/>
      <c r="H27" s="111"/>
      <c r="I27" s="111"/>
    </row>
    <row r="28" spans="1:9" s="123" customFormat="1" ht="12.75">
      <c r="A28" s="187">
        <v>22</v>
      </c>
      <c r="B28" s="124" t="s">
        <v>539</v>
      </c>
      <c r="C28" s="121">
        <f>SUM(C29,C33,C35)</f>
        <v>0</v>
      </c>
      <c r="D28" s="121">
        <f>SUM(D29,D33,D38)</f>
        <v>4075124</v>
      </c>
      <c r="E28" s="121">
        <f t="shared" si="0"/>
        <v>4075124</v>
      </c>
      <c r="F28" s="122" t="s">
        <v>205</v>
      </c>
      <c r="G28" s="121">
        <f>SUM(G29:G31)</f>
        <v>0</v>
      </c>
      <c r="H28" s="121">
        <f>SUM(H29:H31)</f>
        <v>4135957</v>
      </c>
      <c r="I28" s="121">
        <f aca="true" t="shared" si="2" ref="I28:I41">SUM(G28:H28)</f>
        <v>4135957</v>
      </c>
    </row>
    <row r="29" spans="1:9" s="73" customFormat="1" ht="12.75">
      <c r="A29" s="187">
        <v>23</v>
      </c>
      <c r="B29" s="130" t="s">
        <v>195</v>
      </c>
      <c r="C29" s="110">
        <f>SUM(C30:C32)</f>
        <v>0</v>
      </c>
      <c r="D29" s="110">
        <f>SUM(D30:D32)</f>
        <v>862350</v>
      </c>
      <c r="E29" s="110">
        <f t="shared" si="0"/>
        <v>862350</v>
      </c>
      <c r="F29" s="131" t="s">
        <v>647</v>
      </c>
      <c r="G29" s="110">
        <v>0</v>
      </c>
      <c r="H29" s="110">
        <v>4112768</v>
      </c>
      <c r="I29" s="110">
        <f t="shared" si="2"/>
        <v>4112768</v>
      </c>
    </row>
    <row r="30" spans="1:9" s="73" customFormat="1" ht="12.75">
      <c r="A30" s="187">
        <v>24</v>
      </c>
      <c r="B30" s="108" t="s">
        <v>540</v>
      </c>
      <c r="C30" s="112">
        <v>0</v>
      </c>
      <c r="D30" s="112">
        <v>862250</v>
      </c>
      <c r="E30" s="112">
        <f t="shared" si="0"/>
        <v>862250</v>
      </c>
      <c r="F30" s="131" t="s">
        <v>207</v>
      </c>
      <c r="G30" s="110">
        <v>0</v>
      </c>
      <c r="H30" s="110">
        <v>13467</v>
      </c>
      <c r="I30" s="110">
        <f t="shared" si="2"/>
        <v>13467</v>
      </c>
    </row>
    <row r="31" spans="1:9" s="73" customFormat="1" ht="12.75">
      <c r="A31" s="184">
        <v>25</v>
      </c>
      <c r="B31" s="106" t="s">
        <v>199</v>
      </c>
      <c r="C31" s="112">
        <v>0</v>
      </c>
      <c r="D31" s="112">
        <v>0</v>
      </c>
      <c r="E31" s="112">
        <f t="shared" si="0"/>
        <v>0</v>
      </c>
      <c r="F31" s="131" t="s">
        <v>902</v>
      </c>
      <c r="G31" s="110">
        <f>SUM(G32:G41)</f>
        <v>0</v>
      </c>
      <c r="H31" s="110">
        <f>SUM(H32:H41)</f>
        <v>9722</v>
      </c>
      <c r="I31" s="110">
        <f t="shared" si="2"/>
        <v>9722</v>
      </c>
    </row>
    <row r="32" spans="1:9" s="73" customFormat="1" ht="12.75">
      <c r="A32" s="187">
        <v>26</v>
      </c>
      <c r="B32" s="108" t="s">
        <v>541</v>
      </c>
      <c r="C32" s="112">
        <v>0</v>
      </c>
      <c r="D32" s="112">
        <v>100</v>
      </c>
      <c r="E32" s="112">
        <f t="shared" si="0"/>
        <v>100</v>
      </c>
      <c r="F32" s="164" t="s">
        <v>964</v>
      </c>
      <c r="G32" s="112">
        <v>0</v>
      </c>
      <c r="H32" s="112">
        <v>0</v>
      </c>
      <c r="I32" s="112">
        <f t="shared" si="2"/>
        <v>0</v>
      </c>
    </row>
    <row r="33" spans="1:9" s="75" customFormat="1" ht="12.75">
      <c r="A33" s="187">
        <v>27</v>
      </c>
      <c r="B33" s="129" t="s">
        <v>889</v>
      </c>
      <c r="C33" s="110">
        <f>SUM(C34:C37)</f>
        <v>0</v>
      </c>
      <c r="D33" s="110">
        <f>SUM(D34:D37)</f>
        <v>2631433</v>
      </c>
      <c r="E33" s="110">
        <f t="shared" si="0"/>
        <v>2631433</v>
      </c>
      <c r="F33" s="164" t="s">
        <v>963</v>
      </c>
      <c r="G33" s="112">
        <v>0</v>
      </c>
      <c r="H33" s="76">
        <v>0</v>
      </c>
      <c r="I33" s="112">
        <f t="shared" si="2"/>
        <v>0</v>
      </c>
    </row>
    <row r="34" spans="1:9" s="75" customFormat="1" ht="12.75">
      <c r="A34" s="187">
        <v>28</v>
      </c>
      <c r="B34" s="106" t="s">
        <v>42</v>
      </c>
      <c r="C34" s="112">
        <v>0</v>
      </c>
      <c r="D34" s="112">
        <v>14275</v>
      </c>
      <c r="E34" s="112">
        <f t="shared" si="0"/>
        <v>14275</v>
      </c>
      <c r="F34" s="164" t="s">
        <v>0</v>
      </c>
      <c r="G34" s="112">
        <v>0</v>
      </c>
      <c r="H34" s="112">
        <v>0</v>
      </c>
      <c r="I34" s="112">
        <f t="shared" si="2"/>
        <v>0</v>
      </c>
    </row>
    <row r="35" spans="1:9" s="77" customFormat="1" ht="13.5">
      <c r="A35" s="187">
        <v>29</v>
      </c>
      <c r="B35" s="106" t="s">
        <v>890</v>
      </c>
      <c r="C35" s="112">
        <v>0</v>
      </c>
      <c r="D35" s="112">
        <v>0</v>
      </c>
      <c r="E35" s="112">
        <v>0</v>
      </c>
      <c r="F35" s="164" t="s">
        <v>1</v>
      </c>
      <c r="G35" s="112">
        <v>0</v>
      </c>
      <c r="H35" s="112">
        <v>0</v>
      </c>
      <c r="I35" s="112">
        <f t="shared" si="2"/>
        <v>0</v>
      </c>
    </row>
    <row r="36" spans="1:9" s="77" customFormat="1" ht="13.5">
      <c r="A36" s="187">
        <v>30</v>
      </c>
      <c r="B36" s="106" t="s">
        <v>891</v>
      </c>
      <c r="C36" s="112">
        <v>0</v>
      </c>
      <c r="D36" s="112">
        <v>0</v>
      </c>
      <c r="E36" s="112">
        <f t="shared" si="0"/>
        <v>0</v>
      </c>
      <c r="F36" s="164" t="s">
        <v>2</v>
      </c>
      <c r="G36" s="112">
        <v>0</v>
      </c>
      <c r="H36" s="112">
        <v>0</v>
      </c>
      <c r="I36" s="112">
        <f t="shared" si="2"/>
        <v>0</v>
      </c>
    </row>
    <row r="37" spans="1:9" s="77" customFormat="1" ht="13.5">
      <c r="A37" s="187">
        <v>31</v>
      </c>
      <c r="B37" s="106" t="s">
        <v>87</v>
      </c>
      <c r="C37" s="112">
        <v>0</v>
      </c>
      <c r="D37" s="112">
        <v>2617158</v>
      </c>
      <c r="E37" s="112">
        <f t="shared" si="0"/>
        <v>2617158</v>
      </c>
      <c r="F37" s="164" t="s">
        <v>3</v>
      </c>
      <c r="G37" s="112">
        <v>0</v>
      </c>
      <c r="H37" s="112">
        <v>0</v>
      </c>
      <c r="I37" s="112">
        <f t="shared" si="2"/>
        <v>0</v>
      </c>
    </row>
    <row r="38" spans="1:9" s="77" customFormat="1" ht="13.5">
      <c r="A38" s="184">
        <v>32</v>
      </c>
      <c r="B38" s="129" t="s">
        <v>98</v>
      </c>
      <c r="C38" s="110">
        <f>SUM(C39:C41)</f>
        <v>0</v>
      </c>
      <c r="D38" s="110">
        <f>SUM(D39:D41)</f>
        <v>581341</v>
      </c>
      <c r="E38" s="110">
        <f t="shared" si="0"/>
        <v>581341</v>
      </c>
      <c r="F38" s="164" t="s">
        <v>962</v>
      </c>
      <c r="G38" s="112">
        <v>0</v>
      </c>
      <c r="H38" s="112">
        <v>0</v>
      </c>
      <c r="I38" s="112">
        <f t="shared" si="2"/>
        <v>0</v>
      </c>
    </row>
    <row r="39" spans="1:9" s="126" customFormat="1" ht="13.5">
      <c r="A39" s="187">
        <v>33</v>
      </c>
      <c r="B39" s="106" t="s">
        <v>892</v>
      </c>
      <c r="C39" s="316">
        <v>0</v>
      </c>
      <c r="D39" s="316">
        <v>0</v>
      </c>
      <c r="E39" s="112">
        <f t="shared" si="0"/>
        <v>0</v>
      </c>
      <c r="F39" s="164" t="s">
        <v>4</v>
      </c>
      <c r="G39" s="307">
        <v>0</v>
      </c>
      <c r="H39" s="112">
        <v>9622</v>
      </c>
      <c r="I39" s="112">
        <f t="shared" si="2"/>
        <v>9622</v>
      </c>
    </row>
    <row r="40" spans="1:9" s="77" customFormat="1" ht="13.5">
      <c r="A40" s="187">
        <v>34</v>
      </c>
      <c r="B40" s="106" t="s">
        <v>893</v>
      </c>
      <c r="C40" s="111">
        <v>0</v>
      </c>
      <c r="D40" s="111">
        <v>0</v>
      </c>
      <c r="E40" s="112">
        <f t="shared" si="0"/>
        <v>0</v>
      </c>
      <c r="F40" s="164" t="s">
        <v>5</v>
      </c>
      <c r="G40" s="112">
        <v>0</v>
      </c>
      <c r="H40" s="112">
        <v>0</v>
      </c>
      <c r="I40" s="112">
        <f t="shared" si="2"/>
        <v>0</v>
      </c>
    </row>
    <row r="41" spans="1:9" s="77" customFormat="1" ht="13.5">
      <c r="A41" s="187">
        <v>35</v>
      </c>
      <c r="B41" s="106" t="s">
        <v>894</v>
      </c>
      <c r="C41" s="111">
        <v>0</v>
      </c>
      <c r="D41" s="111">
        <v>581341</v>
      </c>
      <c r="E41" s="112">
        <f t="shared" si="0"/>
        <v>581341</v>
      </c>
      <c r="F41" s="164" t="s">
        <v>6</v>
      </c>
      <c r="G41" s="112">
        <v>0</v>
      </c>
      <c r="H41" s="112">
        <v>100</v>
      </c>
      <c r="I41" s="112">
        <f t="shared" si="2"/>
        <v>100</v>
      </c>
    </row>
    <row r="42" spans="1:9" s="78" customFormat="1" ht="6" customHeight="1">
      <c r="A42" s="924"/>
      <c r="B42" s="925"/>
      <c r="C42" s="925"/>
      <c r="D42" s="925"/>
      <c r="E42" s="925"/>
      <c r="F42" s="925"/>
      <c r="G42" s="925"/>
      <c r="H42" s="925"/>
      <c r="I42" s="926"/>
    </row>
    <row r="43" spans="1:9" s="78" customFormat="1" ht="15">
      <c r="A43" s="187">
        <v>36</v>
      </c>
      <c r="B43" s="909" t="s">
        <v>923</v>
      </c>
      <c r="C43" s="910"/>
      <c r="D43" s="910"/>
      <c r="E43" s="910"/>
      <c r="F43" s="910"/>
      <c r="G43" s="287">
        <f>C7-G7</f>
        <v>-44380</v>
      </c>
      <c r="H43" s="287">
        <f>D7-H7</f>
        <v>-68980</v>
      </c>
      <c r="I43" s="287">
        <f>SUM(G43:H43)</f>
        <v>-113360</v>
      </c>
    </row>
    <row r="44" spans="1:9" s="78" customFormat="1" ht="6" customHeight="1">
      <c r="A44" s="916"/>
      <c r="B44" s="917"/>
      <c r="C44" s="917"/>
      <c r="D44" s="917"/>
      <c r="E44" s="917"/>
      <c r="F44" s="917"/>
      <c r="G44" s="917"/>
      <c r="H44" s="917"/>
      <c r="I44" s="918"/>
    </row>
    <row r="45" spans="1:9" s="117" customFormat="1" ht="28.5">
      <c r="A45" s="187">
        <v>37</v>
      </c>
      <c r="B45" s="113" t="s">
        <v>913</v>
      </c>
      <c r="C45" s="115">
        <f>SUM(C46)</f>
        <v>125179</v>
      </c>
      <c r="D45" s="115">
        <f>SUM(D46)</f>
        <v>24258</v>
      </c>
      <c r="E45" s="115">
        <f>SUM(C45:D45)</f>
        <v>149437</v>
      </c>
      <c r="F45" s="116"/>
      <c r="G45" s="115"/>
      <c r="H45" s="115"/>
      <c r="I45" s="115"/>
    </row>
    <row r="46" spans="1:9" s="126" customFormat="1" ht="13.5">
      <c r="A46" s="184">
        <v>38</v>
      </c>
      <c r="B46" s="127" t="s">
        <v>906</v>
      </c>
      <c r="C46" s="121">
        <v>125179</v>
      </c>
      <c r="D46" s="121">
        <v>24258</v>
      </c>
      <c r="E46" s="121">
        <f>SUM(C46:D46)</f>
        <v>149437</v>
      </c>
      <c r="F46" s="122"/>
      <c r="G46" s="121"/>
      <c r="H46" s="121"/>
      <c r="I46" s="121"/>
    </row>
    <row r="47" spans="1:9" s="117" customFormat="1" ht="28.5">
      <c r="A47" s="187">
        <v>39</v>
      </c>
      <c r="B47" s="113" t="s">
        <v>210</v>
      </c>
      <c r="C47" s="115">
        <f>SUM(C48,C51)</f>
        <v>0</v>
      </c>
      <c r="D47" s="115">
        <f>SUM(D48,D51)</f>
        <v>0</v>
      </c>
      <c r="E47" s="115">
        <f>SUM(C47:D47)</f>
        <v>0</v>
      </c>
      <c r="F47" s="134" t="s">
        <v>213</v>
      </c>
      <c r="G47" s="115">
        <f>SUM(G48,G51)</f>
        <v>0</v>
      </c>
      <c r="H47" s="115">
        <f>SUM(H48,H51)</f>
        <v>36077</v>
      </c>
      <c r="I47" s="115">
        <f>SUM(G47:H47)</f>
        <v>36077</v>
      </c>
    </row>
    <row r="48" spans="1:9" s="126" customFormat="1" ht="13.5">
      <c r="A48" s="187">
        <v>40</v>
      </c>
      <c r="B48" s="125" t="s">
        <v>918</v>
      </c>
      <c r="C48" s="121">
        <v>0</v>
      </c>
      <c r="D48" s="121">
        <v>0</v>
      </c>
      <c r="E48" s="121">
        <f>SUM(C48:D48)</f>
        <v>0</v>
      </c>
      <c r="F48" s="122" t="s">
        <v>747</v>
      </c>
      <c r="G48" s="121">
        <f>SUM(G49:G50)</f>
        <v>0</v>
      </c>
      <c r="H48" s="121">
        <f>SUM(H49:H50)</f>
        <v>20324</v>
      </c>
      <c r="I48" s="121">
        <f>SUM(I49:I50)</f>
        <v>20324</v>
      </c>
    </row>
    <row r="49" spans="1:9" s="126" customFormat="1" ht="13.5">
      <c r="A49" s="187">
        <v>41</v>
      </c>
      <c r="B49" s="129" t="s">
        <v>744</v>
      </c>
      <c r="C49" s="110">
        <v>0</v>
      </c>
      <c r="D49" s="110">
        <v>0</v>
      </c>
      <c r="E49" s="110">
        <v>0</v>
      </c>
      <c r="F49" s="131" t="s">
        <v>745</v>
      </c>
      <c r="G49" s="110">
        <v>0</v>
      </c>
      <c r="H49" s="110">
        <v>0</v>
      </c>
      <c r="I49" s="110">
        <v>0</v>
      </c>
    </row>
    <row r="50" spans="1:9" s="126" customFormat="1" ht="13.5">
      <c r="A50" s="187">
        <v>42</v>
      </c>
      <c r="B50" s="131" t="s">
        <v>294</v>
      </c>
      <c r="C50" s="110">
        <v>0</v>
      </c>
      <c r="D50" s="110">
        <v>0</v>
      </c>
      <c r="E50" s="110">
        <v>0</v>
      </c>
      <c r="F50" s="131" t="s">
        <v>295</v>
      </c>
      <c r="G50" s="110">
        <v>0</v>
      </c>
      <c r="H50" s="110">
        <v>20324</v>
      </c>
      <c r="I50" s="110">
        <f>SUM(G50:H50)</f>
        <v>20324</v>
      </c>
    </row>
    <row r="51" spans="1:9" s="128" customFormat="1" ht="12.75">
      <c r="A51" s="187">
        <v>43</v>
      </c>
      <c r="B51" s="125" t="s">
        <v>746</v>
      </c>
      <c r="C51" s="121">
        <v>0</v>
      </c>
      <c r="D51" s="121">
        <v>0</v>
      </c>
      <c r="E51" s="121">
        <f>SUM(C51:D51)</f>
        <v>0</v>
      </c>
      <c r="F51" s="122" t="s">
        <v>742</v>
      </c>
      <c r="G51" s="121">
        <v>0</v>
      </c>
      <c r="H51" s="121">
        <v>15753</v>
      </c>
      <c r="I51" s="121">
        <f>SUM(G51:H51)</f>
        <v>15753</v>
      </c>
    </row>
    <row r="52" spans="1:9" s="119" customFormat="1" ht="15.75">
      <c r="A52" s="187">
        <v>44</v>
      </c>
      <c r="B52" s="118" t="s">
        <v>501</v>
      </c>
      <c r="C52" s="135">
        <f>SUM(C7,C45,C47)</f>
        <v>2053938</v>
      </c>
      <c r="D52" s="135">
        <f>SUM(D7,D45,D47)</f>
        <v>4099382</v>
      </c>
      <c r="E52" s="135">
        <f>SUM(C52:D52)</f>
        <v>6153320</v>
      </c>
      <c r="F52" s="118" t="s">
        <v>293</v>
      </c>
      <c r="G52" s="135">
        <f>SUM(G7,G47)</f>
        <v>1973139</v>
      </c>
      <c r="H52" s="135">
        <f>SUM(H7,H47)</f>
        <v>4180181</v>
      </c>
      <c r="I52" s="135">
        <f>SUM(G52:H52)</f>
        <v>6153320</v>
      </c>
    </row>
    <row r="59" ht="15">
      <c r="B59" s="79"/>
    </row>
  </sheetData>
  <sheetProtection/>
  <mergeCells count="8">
    <mergeCell ref="A44:I44"/>
    <mergeCell ref="F1:I1"/>
    <mergeCell ref="B2:I2"/>
    <mergeCell ref="B4:E4"/>
    <mergeCell ref="F4:I4"/>
    <mergeCell ref="A4:A6"/>
    <mergeCell ref="A42:I42"/>
    <mergeCell ref="B43:F43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3"/>
  <sheetViews>
    <sheetView zoomScale="95" zoomScaleNormal="95" zoomScalePageLayoutView="0" workbookViewId="0" topLeftCell="B1">
      <pane xSplit="4" ySplit="6" topLeftCell="F7" activePane="bottomRight" state="frozen"/>
      <selection pane="topLeft" activeCell="B1" sqref="B1"/>
      <selection pane="topRight" activeCell="D1" sqref="D1"/>
      <selection pane="bottomLeft" activeCell="B7" sqref="B7"/>
      <selection pane="bottomRight" activeCell="D2" sqref="D2:Y2"/>
    </sheetView>
  </sheetViews>
  <sheetFormatPr defaultColWidth="8.875" defaultRowHeight="12.75"/>
  <cols>
    <col min="1" max="1" width="9.125" style="36" customWidth="1"/>
    <col min="2" max="2" width="7.375" style="50" bestFit="1" customWidth="1"/>
    <col min="3" max="3" width="4.625" style="204" bestFit="1" customWidth="1"/>
    <col min="4" max="4" width="31.625" style="36" customWidth="1"/>
    <col min="5" max="5" width="9.25390625" style="197" hidden="1" customWidth="1"/>
    <col min="6" max="6" width="9.875" style="36" customWidth="1"/>
    <col min="7" max="7" width="7.875" style="36" customWidth="1"/>
    <col min="8" max="8" width="11.375" style="36" bestFit="1" customWidth="1"/>
    <col min="9" max="10" width="8.375" style="36" customWidth="1"/>
    <col min="11" max="11" width="9.875" style="36" customWidth="1"/>
    <col min="12" max="13" width="8.25390625" style="36" customWidth="1"/>
    <col min="14" max="14" width="6.375" style="36" customWidth="1"/>
    <col min="15" max="15" width="11.25390625" style="36" bestFit="1" customWidth="1"/>
    <col min="16" max="16" width="8.00390625" style="36" customWidth="1"/>
    <col min="17" max="17" width="7.625" style="36" customWidth="1"/>
    <col min="18" max="20" width="8.25390625" style="36" customWidth="1"/>
    <col min="21" max="22" width="7.625" style="36" customWidth="1"/>
    <col min="23" max="23" width="9.625" style="36" customWidth="1"/>
    <col min="24" max="24" width="7.75390625" style="36" customWidth="1"/>
    <col min="25" max="25" width="12.625" style="47" customWidth="1"/>
    <col min="26" max="26" width="14.375" style="36" customWidth="1"/>
    <col min="27" max="16384" width="8.875" style="36" customWidth="1"/>
  </cols>
  <sheetData>
    <row r="1" spans="16:25" ht="12.75">
      <c r="P1" s="919" t="s">
        <v>164</v>
      </c>
      <c r="Q1" s="894"/>
      <c r="R1" s="894"/>
      <c r="S1" s="894"/>
      <c r="T1" s="894"/>
      <c r="U1" s="894"/>
      <c r="V1" s="894"/>
      <c r="W1" s="894"/>
      <c r="X1" s="894"/>
      <c r="Y1" s="894"/>
    </row>
    <row r="2" spans="1:25" ht="15.75">
      <c r="A2" s="37"/>
      <c r="B2" s="51"/>
      <c r="C2" s="51"/>
      <c r="D2" s="885" t="s">
        <v>921</v>
      </c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</row>
    <row r="3" ht="12.75" thickBot="1">
      <c r="Y3" s="38"/>
    </row>
    <row r="4" spans="2:28" s="39" customFormat="1" ht="12.75" customHeight="1">
      <c r="B4" s="52"/>
      <c r="C4" s="907" t="s">
        <v>483</v>
      </c>
      <c r="D4" s="886" t="s">
        <v>300</v>
      </c>
      <c r="E4" s="889" t="s">
        <v>322</v>
      </c>
      <c r="F4" s="892" t="s">
        <v>323</v>
      </c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78"/>
      <c r="Y4" s="879" t="s">
        <v>324</v>
      </c>
      <c r="AB4" s="39" t="s">
        <v>438</v>
      </c>
    </row>
    <row r="5" spans="2:25" s="40" customFormat="1" ht="12" customHeight="1">
      <c r="B5" s="53"/>
      <c r="C5" s="898"/>
      <c r="D5" s="887"/>
      <c r="E5" s="890"/>
      <c r="F5" s="900" t="s">
        <v>287</v>
      </c>
      <c r="G5" s="900" t="s">
        <v>286</v>
      </c>
      <c r="H5" s="900" t="s">
        <v>302</v>
      </c>
      <c r="I5" s="900" t="s">
        <v>262</v>
      </c>
      <c r="J5" s="900" t="s">
        <v>250</v>
      </c>
      <c r="K5" s="900" t="s">
        <v>342</v>
      </c>
      <c r="L5" s="900" t="s">
        <v>920</v>
      </c>
      <c r="M5" s="900" t="s">
        <v>549</v>
      </c>
      <c r="N5" s="900" t="s">
        <v>778</v>
      </c>
      <c r="O5" s="900" t="s">
        <v>263</v>
      </c>
      <c r="P5" s="876" t="s">
        <v>325</v>
      </c>
      <c r="Q5" s="900" t="s">
        <v>288</v>
      </c>
      <c r="R5" s="900" t="s">
        <v>475</v>
      </c>
      <c r="S5" s="900" t="s">
        <v>513</v>
      </c>
      <c r="T5" s="900" t="s">
        <v>498</v>
      </c>
      <c r="U5" s="900" t="s">
        <v>282</v>
      </c>
      <c r="V5" s="900" t="s">
        <v>244</v>
      </c>
      <c r="W5" s="882" t="s">
        <v>264</v>
      </c>
      <c r="X5" s="900" t="s">
        <v>289</v>
      </c>
      <c r="Y5" s="880"/>
    </row>
    <row r="6" spans="2:25" s="40" customFormat="1" ht="33" customHeight="1">
      <c r="B6" s="53"/>
      <c r="C6" s="898"/>
      <c r="D6" s="888"/>
      <c r="E6" s="89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877"/>
      <c r="Q6" s="901"/>
      <c r="R6" s="901"/>
      <c r="S6" s="901"/>
      <c r="T6" s="901"/>
      <c r="U6" s="901"/>
      <c r="V6" s="901"/>
      <c r="W6" s="883"/>
      <c r="X6" s="901"/>
      <c r="Y6" s="881"/>
    </row>
    <row r="7" spans="2:25" s="40" customFormat="1" ht="12">
      <c r="B7" s="53"/>
      <c r="C7" s="899"/>
      <c r="D7" s="217" t="s">
        <v>477</v>
      </c>
      <c r="E7" s="203" t="s">
        <v>478</v>
      </c>
      <c r="F7" s="194" t="s">
        <v>478</v>
      </c>
      <c r="G7" s="194" t="s">
        <v>479</v>
      </c>
      <c r="H7" s="195" t="s">
        <v>480</v>
      </c>
      <c r="I7" s="195" t="s">
        <v>481</v>
      </c>
      <c r="J7" s="195" t="s">
        <v>482</v>
      </c>
      <c r="K7" s="195" t="s">
        <v>485</v>
      </c>
      <c r="L7" s="195" t="s">
        <v>486</v>
      </c>
      <c r="M7" s="195" t="s">
        <v>402</v>
      </c>
      <c r="N7" s="195" t="s">
        <v>403</v>
      </c>
      <c r="O7" s="195" t="s">
        <v>404</v>
      </c>
      <c r="P7" s="194" t="s">
        <v>405</v>
      </c>
      <c r="Q7" s="195" t="s">
        <v>406</v>
      </c>
      <c r="R7" s="195" t="s">
        <v>407</v>
      </c>
      <c r="S7" s="195" t="s">
        <v>408</v>
      </c>
      <c r="T7" s="195" t="s">
        <v>409</v>
      </c>
      <c r="U7" s="195" t="s">
        <v>410</v>
      </c>
      <c r="V7" s="195" t="s">
        <v>411</v>
      </c>
      <c r="W7" s="193" t="s">
        <v>775</v>
      </c>
      <c r="X7" s="193" t="s">
        <v>776</v>
      </c>
      <c r="Y7" s="196" t="s">
        <v>777</v>
      </c>
    </row>
    <row r="8" spans="1:25" s="43" customFormat="1" ht="12">
      <c r="A8" s="36"/>
      <c r="B8" s="50" t="s">
        <v>487</v>
      </c>
      <c r="C8" s="205" t="s">
        <v>412</v>
      </c>
      <c r="D8" s="218" t="s">
        <v>488</v>
      </c>
      <c r="E8" s="198"/>
      <c r="F8" s="55"/>
      <c r="G8" s="55"/>
      <c r="H8" s="56">
        <f>1000+97+95-1000+39+242</f>
        <v>473</v>
      </c>
      <c r="I8" s="56"/>
      <c r="J8" s="56"/>
      <c r="K8" s="56"/>
      <c r="L8" s="56"/>
      <c r="M8" s="56">
        <v>1677</v>
      </c>
      <c r="N8" s="56">
        <v>100</v>
      </c>
      <c r="O8" s="56">
        <f>22436-95</f>
        <v>22341</v>
      </c>
      <c r="P8" s="55"/>
      <c r="Q8" s="56">
        <f>7500-7500</f>
        <v>0</v>
      </c>
      <c r="R8" s="56"/>
      <c r="S8" s="56"/>
      <c r="T8" s="56"/>
      <c r="U8" s="56"/>
      <c r="V8" s="56"/>
      <c r="W8" s="58"/>
      <c r="X8" s="58"/>
      <c r="Y8" s="48">
        <f aca="true" t="shared" si="0" ref="Y8:Y59">SUM(F8:X8)</f>
        <v>24591</v>
      </c>
    </row>
    <row r="9" spans="1:25" s="43" customFormat="1" ht="36">
      <c r="A9" s="36"/>
      <c r="B9" s="50" t="s">
        <v>348</v>
      </c>
      <c r="C9" s="205" t="s">
        <v>413</v>
      </c>
      <c r="D9" s="219" t="s">
        <v>346</v>
      </c>
      <c r="E9" s="199"/>
      <c r="F9" s="41"/>
      <c r="G9" s="41"/>
      <c r="H9" s="42">
        <f>921+55</f>
        <v>976</v>
      </c>
      <c r="I9" s="42"/>
      <c r="J9" s="42"/>
      <c r="K9" s="42"/>
      <c r="L9" s="42"/>
      <c r="M9" s="42"/>
      <c r="N9" s="42"/>
      <c r="O9" s="42"/>
      <c r="P9" s="41"/>
      <c r="Q9" s="42"/>
      <c r="R9" s="42"/>
      <c r="S9" s="42"/>
      <c r="T9" s="42"/>
      <c r="U9" s="42"/>
      <c r="V9" s="42"/>
      <c r="W9" s="59"/>
      <c r="X9" s="59"/>
      <c r="Y9" s="48">
        <f t="shared" si="0"/>
        <v>976</v>
      </c>
    </row>
    <row r="10" spans="1:25" s="43" customFormat="1" ht="36">
      <c r="A10" s="36"/>
      <c r="B10" s="50" t="s">
        <v>349</v>
      </c>
      <c r="C10" s="205" t="s">
        <v>414</v>
      </c>
      <c r="D10" s="219" t="s">
        <v>347</v>
      </c>
      <c r="E10" s="199"/>
      <c r="F10" s="41"/>
      <c r="G10" s="41"/>
      <c r="H10" s="42">
        <f>1200-600+240+65</f>
        <v>905</v>
      </c>
      <c r="I10" s="42"/>
      <c r="J10" s="42"/>
      <c r="K10" s="42"/>
      <c r="L10" s="42"/>
      <c r="M10" s="42"/>
      <c r="N10" s="42"/>
      <c r="O10" s="42"/>
      <c r="P10" s="41"/>
      <c r="Q10" s="42"/>
      <c r="R10" s="42"/>
      <c r="S10" s="42"/>
      <c r="T10" s="42"/>
      <c r="U10" s="42"/>
      <c r="V10" s="42"/>
      <c r="W10" s="59"/>
      <c r="X10" s="59"/>
      <c r="Y10" s="48">
        <f t="shared" si="0"/>
        <v>905</v>
      </c>
    </row>
    <row r="11" spans="1:25" s="43" customFormat="1" ht="24">
      <c r="A11" s="36"/>
      <c r="B11" s="50" t="s">
        <v>350</v>
      </c>
      <c r="C11" s="205" t="s">
        <v>415</v>
      </c>
      <c r="D11" s="219" t="s">
        <v>343</v>
      </c>
      <c r="E11" s="199"/>
      <c r="F11" s="41"/>
      <c r="G11" s="41"/>
      <c r="H11" s="42">
        <f>7555-400+1050+900+192</f>
        <v>9297</v>
      </c>
      <c r="I11" s="42"/>
      <c r="J11" s="42"/>
      <c r="K11" s="42"/>
      <c r="L11" s="42"/>
      <c r="M11" s="42"/>
      <c r="N11" s="42"/>
      <c r="O11" s="42"/>
      <c r="P11" s="41"/>
      <c r="Q11" s="42"/>
      <c r="R11" s="42"/>
      <c r="S11" s="42"/>
      <c r="T11" s="42"/>
      <c r="U11" s="42"/>
      <c r="V11" s="42"/>
      <c r="W11" s="59"/>
      <c r="X11" s="59"/>
      <c r="Y11" s="48">
        <f t="shared" si="0"/>
        <v>9297</v>
      </c>
    </row>
    <row r="12" spans="1:25" s="43" customFormat="1" ht="12">
      <c r="A12" s="36"/>
      <c r="B12" s="50" t="s">
        <v>242</v>
      </c>
      <c r="C12" s="205" t="s">
        <v>416</v>
      </c>
      <c r="D12" s="219" t="s">
        <v>243</v>
      </c>
      <c r="E12" s="199"/>
      <c r="F12" s="41"/>
      <c r="G12" s="41"/>
      <c r="H12" s="42">
        <f>4033+26+17</f>
        <v>4076</v>
      </c>
      <c r="I12" s="42"/>
      <c r="J12" s="42"/>
      <c r="K12" s="42"/>
      <c r="L12" s="42"/>
      <c r="M12" s="42"/>
      <c r="N12" s="42"/>
      <c r="O12" s="42">
        <f>3038070+116721+703558+25000+6750</f>
        <v>3890099</v>
      </c>
      <c r="P12" s="41"/>
      <c r="Q12" s="42"/>
      <c r="R12" s="42"/>
      <c r="S12" s="42"/>
      <c r="T12" s="42"/>
      <c r="U12" s="42"/>
      <c r="V12" s="42"/>
      <c r="W12" s="59"/>
      <c r="X12" s="59"/>
      <c r="Y12" s="48">
        <f t="shared" si="0"/>
        <v>3894175</v>
      </c>
    </row>
    <row r="13" spans="1:25" s="43" customFormat="1" ht="24">
      <c r="A13" s="36"/>
      <c r="B13" s="50" t="s">
        <v>276</v>
      </c>
      <c r="C13" s="205" t="s">
        <v>417</v>
      </c>
      <c r="D13" s="219" t="s">
        <v>277</v>
      </c>
      <c r="E13" s="199"/>
      <c r="F13" s="41"/>
      <c r="G13" s="41"/>
      <c r="H13" s="42">
        <f>5852+600-341+839+155</f>
        <v>7105</v>
      </c>
      <c r="I13" s="42"/>
      <c r="J13" s="42"/>
      <c r="K13" s="42"/>
      <c r="L13" s="42"/>
      <c r="M13" s="42"/>
      <c r="N13" s="42"/>
      <c r="O13" s="42"/>
      <c r="P13" s="41"/>
      <c r="Q13" s="42"/>
      <c r="R13" s="42"/>
      <c r="S13" s="42"/>
      <c r="T13" s="42"/>
      <c r="U13" s="42"/>
      <c r="V13" s="42"/>
      <c r="W13" s="59"/>
      <c r="X13" s="59"/>
      <c r="Y13" s="48">
        <f t="shared" si="0"/>
        <v>7105</v>
      </c>
    </row>
    <row r="14" spans="1:25" s="43" customFormat="1" ht="12">
      <c r="A14" s="36"/>
      <c r="B14" s="50" t="s">
        <v>491</v>
      </c>
      <c r="C14" s="205" t="s">
        <v>418</v>
      </c>
      <c r="D14" s="219" t="s">
        <v>351</v>
      </c>
      <c r="E14" s="199"/>
      <c r="F14" s="41"/>
      <c r="G14" s="41"/>
      <c r="H14" s="42"/>
      <c r="I14" s="42">
        <v>326</v>
      </c>
      <c r="J14" s="42"/>
      <c r="K14" s="42"/>
      <c r="L14" s="42"/>
      <c r="M14" s="42"/>
      <c r="N14" s="42"/>
      <c r="O14" s="42"/>
      <c r="P14" s="41"/>
      <c r="Q14" s="42"/>
      <c r="R14" s="42"/>
      <c r="S14" s="42"/>
      <c r="T14" s="42"/>
      <c r="U14" s="42"/>
      <c r="V14" s="42"/>
      <c r="W14" s="59"/>
      <c r="X14" s="59"/>
      <c r="Y14" s="48">
        <f t="shared" si="0"/>
        <v>326</v>
      </c>
    </row>
    <row r="15" spans="2:25" ht="12">
      <c r="B15" s="50" t="s">
        <v>278</v>
      </c>
      <c r="C15" s="205" t="s">
        <v>419</v>
      </c>
      <c r="D15" s="219" t="s">
        <v>298</v>
      </c>
      <c r="E15" s="199"/>
      <c r="F15" s="41">
        <f>23757+660-119+23+76+73</f>
        <v>24470</v>
      </c>
      <c r="G15" s="42">
        <f>6402+178-16+6+21</f>
        <v>6591</v>
      </c>
      <c r="H15" s="42">
        <f>87666-4048+4112+1086-189</f>
        <v>88627</v>
      </c>
      <c r="I15" s="42"/>
      <c r="J15" s="42"/>
      <c r="K15" s="42"/>
      <c r="L15" s="42"/>
      <c r="M15" s="42"/>
      <c r="N15" s="42"/>
      <c r="O15" s="42">
        <v>116</v>
      </c>
      <c r="P15" s="44"/>
      <c r="Q15" s="42"/>
      <c r="R15" s="42"/>
      <c r="S15" s="42"/>
      <c r="T15" s="42"/>
      <c r="U15" s="42"/>
      <c r="V15" s="42"/>
      <c r="W15" s="59"/>
      <c r="X15" s="59"/>
      <c r="Y15" s="48">
        <f t="shared" si="0"/>
        <v>119804</v>
      </c>
    </row>
    <row r="16" spans="1:25" s="43" customFormat="1" ht="24">
      <c r="A16" s="36">
        <v>20215</v>
      </c>
      <c r="B16" s="50" t="s">
        <v>397</v>
      </c>
      <c r="C16" s="205" t="s">
        <v>420</v>
      </c>
      <c r="D16" s="219" t="s">
        <v>344</v>
      </c>
      <c r="E16" s="199"/>
      <c r="F16" s="41"/>
      <c r="G16" s="41"/>
      <c r="H16" s="42">
        <f>1126+3604-214</f>
        <v>4516</v>
      </c>
      <c r="I16" s="42"/>
      <c r="J16" s="42"/>
      <c r="K16" s="42"/>
      <c r="L16" s="42"/>
      <c r="M16" s="42"/>
      <c r="N16" s="42"/>
      <c r="O16" s="42">
        <f>400-400</f>
        <v>0</v>
      </c>
      <c r="P16" s="41">
        <v>232</v>
      </c>
      <c r="Q16" s="42">
        <v>296</v>
      </c>
      <c r="R16" s="42"/>
      <c r="S16" s="42"/>
      <c r="T16" s="42"/>
      <c r="U16" s="42"/>
      <c r="V16" s="42"/>
      <c r="W16" s="59"/>
      <c r="X16" s="59"/>
      <c r="Y16" s="48">
        <f t="shared" si="0"/>
        <v>5044</v>
      </c>
    </row>
    <row r="17" spans="1:25" ht="24">
      <c r="A17" s="36">
        <v>452025</v>
      </c>
      <c r="B17" s="50" t="s">
        <v>398</v>
      </c>
      <c r="C17" s="205" t="s">
        <v>421</v>
      </c>
      <c r="D17" s="219" t="s">
        <v>345</v>
      </c>
      <c r="E17" s="199"/>
      <c r="F17" s="41"/>
      <c r="G17" s="42"/>
      <c r="H17" s="42">
        <f>2203+1098+300+22</f>
        <v>3623</v>
      </c>
      <c r="I17" s="42"/>
      <c r="J17" s="42"/>
      <c r="K17" s="42">
        <f>6431-6431</f>
        <v>0</v>
      </c>
      <c r="L17" s="42"/>
      <c r="M17" s="42"/>
      <c r="N17" s="42"/>
      <c r="O17" s="42"/>
      <c r="P17" s="41"/>
      <c r="Q17" s="42"/>
      <c r="R17" s="42"/>
      <c r="S17" s="42"/>
      <c r="T17" s="42"/>
      <c r="U17" s="42"/>
      <c r="V17" s="42"/>
      <c r="W17" s="59"/>
      <c r="X17" s="59"/>
      <c r="Y17" s="48">
        <f t="shared" si="0"/>
        <v>3623</v>
      </c>
    </row>
    <row r="18" spans="2:25" ht="12">
      <c r="B18" s="50" t="s">
        <v>279</v>
      </c>
      <c r="C18" s="205" t="s">
        <v>422</v>
      </c>
      <c r="D18" s="219" t="s">
        <v>275</v>
      </c>
      <c r="E18" s="199"/>
      <c r="F18" s="41">
        <f>20687-2362+425+218+82-1102</f>
        <v>17948</v>
      </c>
      <c r="G18" s="42">
        <f>5567-638+115+59-412+22-298-228</f>
        <v>4187</v>
      </c>
      <c r="H18" s="42">
        <f>22437-5000+892+2352+412+1400+144+3840+228</f>
        <v>26705</v>
      </c>
      <c r="I18" s="42">
        <v>1610</v>
      </c>
      <c r="J18" s="42"/>
      <c r="K18" s="42"/>
      <c r="L18" s="42"/>
      <c r="M18" s="42"/>
      <c r="N18" s="42"/>
      <c r="O18" s="42"/>
      <c r="P18" s="44"/>
      <c r="Q18" s="42"/>
      <c r="R18" s="42"/>
      <c r="S18" s="42"/>
      <c r="T18" s="42"/>
      <c r="U18" s="42"/>
      <c r="V18" s="42"/>
      <c r="W18" s="59"/>
      <c r="X18" s="59"/>
      <c r="Y18" s="48">
        <f t="shared" si="0"/>
        <v>50450</v>
      </c>
    </row>
    <row r="19" spans="2:25" ht="12">
      <c r="B19" s="50" t="s">
        <v>352</v>
      </c>
      <c r="C19" s="205" t="s">
        <v>423</v>
      </c>
      <c r="D19" s="219" t="s">
        <v>353</v>
      </c>
      <c r="E19" s="199"/>
      <c r="F19" s="41"/>
      <c r="G19" s="42"/>
      <c r="H19" s="42">
        <f>750-250-300</f>
        <v>200</v>
      </c>
      <c r="I19" s="42"/>
      <c r="J19" s="42"/>
      <c r="K19" s="42">
        <f>25071-5147+400+859</f>
        <v>21183</v>
      </c>
      <c r="L19" s="42"/>
      <c r="M19" s="42"/>
      <c r="N19" s="42"/>
      <c r="O19" s="42"/>
      <c r="P19" s="44"/>
      <c r="Q19" s="42"/>
      <c r="R19" s="42"/>
      <c r="S19" s="42"/>
      <c r="T19" s="42"/>
      <c r="U19" s="42"/>
      <c r="V19" s="42"/>
      <c r="W19" s="59"/>
      <c r="X19" s="59"/>
      <c r="Y19" s="48">
        <f t="shared" si="0"/>
        <v>21383</v>
      </c>
    </row>
    <row r="20" spans="2:25" ht="12">
      <c r="B20" s="50" t="s">
        <v>281</v>
      </c>
      <c r="C20" s="205" t="s">
        <v>424</v>
      </c>
      <c r="D20" s="219" t="s">
        <v>280</v>
      </c>
      <c r="E20" s="199"/>
      <c r="F20" s="41">
        <v>945</v>
      </c>
      <c r="G20" s="41">
        <f>255+47</f>
        <v>302</v>
      </c>
      <c r="H20" s="42">
        <f>11439-780+703558+9300+318+318-859-450-1215+1470+970-100+4363+121+856+215-496+12160+88+367+2282</f>
        <v>743925</v>
      </c>
      <c r="I20" s="42">
        <f>44+1427</f>
        <v>1471</v>
      </c>
      <c r="J20" s="42"/>
      <c r="K20" s="42"/>
      <c r="L20" s="42"/>
      <c r="M20" s="42"/>
      <c r="N20" s="42"/>
      <c r="O20" s="42">
        <v>9000</v>
      </c>
      <c r="P20" s="44"/>
      <c r="Q20" s="42"/>
      <c r="R20" s="42"/>
      <c r="S20" s="42"/>
      <c r="T20" s="42"/>
      <c r="U20" s="42"/>
      <c r="V20" s="42"/>
      <c r="W20" s="59"/>
      <c r="X20" s="59"/>
      <c r="Y20" s="48">
        <f t="shared" si="0"/>
        <v>755643</v>
      </c>
    </row>
    <row r="21" spans="2:25" ht="24">
      <c r="B21" s="50" t="s">
        <v>399</v>
      </c>
      <c r="C21" s="205" t="s">
        <v>425</v>
      </c>
      <c r="D21" s="219" t="s">
        <v>400</v>
      </c>
      <c r="E21" s="199"/>
      <c r="F21" s="41"/>
      <c r="G21" s="41"/>
      <c r="H21" s="42">
        <v>2000</v>
      </c>
      <c r="I21" s="42"/>
      <c r="J21" s="42"/>
      <c r="K21" s="42"/>
      <c r="L21" s="42"/>
      <c r="M21" s="42"/>
      <c r="N21" s="42"/>
      <c r="O21" s="42"/>
      <c r="P21" s="44"/>
      <c r="Q21" s="42"/>
      <c r="R21" s="42"/>
      <c r="S21" s="42"/>
      <c r="T21" s="42"/>
      <c r="U21" s="42"/>
      <c r="V21" s="42"/>
      <c r="W21" s="59"/>
      <c r="X21" s="59"/>
      <c r="Y21" s="48">
        <f t="shared" si="0"/>
        <v>2000</v>
      </c>
    </row>
    <row r="22" spans="1:25" ht="24">
      <c r="A22" s="36">
        <v>751791</v>
      </c>
      <c r="B22" s="50" t="s">
        <v>354</v>
      </c>
      <c r="C22" s="205" t="s">
        <v>426</v>
      </c>
      <c r="D22" s="219" t="s">
        <v>355</v>
      </c>
      <c r="E22" s="222"/>
      <c r="F22" s="42"/>
      <c r="G22" s="41">
        <f>15+48</f>
        <v>63</v>
      </c>
      <c r="H22" s="42">
        <f>950+9+279+400+58</f>
        <v>1696</v>
      </c>
      <c r="I22" s="42"/>
      <c r="J22" s="42"/>
      <c r="K22" s="42">
        <f>1100+1000</f>
        <v>2100</v>
      </c>
      <c r="L22" s="42"/>
      <c r="M22" s="42"/>
      <c r="N22" s="42"/>
      <c r="O22" s="42"/>
      <c r="P22" s="44"/>
      <c r="Q22" s="42"/>
      <c r="R22" s="42"/>
      <c r="S22" s="42"/>
      <c r="T22" s="42"/>
      <c r="U22" s="42"/>
      <c r="V22" s="42"/>
      <c r="W22" s="59"/>
      <c r="X22" s="59"/>
      <c r="Y22" s="48">
        <f t="shared" si="0"/>
        <v>3859</v>
      </c>
    </row>
    <row r="23" spans="1:25" ht="12">
      <c r="A23" s="36">
        <v>751834</v>
      </c>
      <c r="B23" s="50" t="s">
        <v>356</v>
      </c>
      <c r="C23" s="205" t="s">
        <v>427</v>
      </c>
      <c r="D23" s="219" t="s">
        <v>357</v>
      </c>
      <c r="E23" s="199"/>
      <c r="F23" s="41"/>
      <c r="G23" s="41"/>
      <c r="H23" s="42">
        <f>22000+6000</f>
        <v>28000</v>
      </c>
      <c r="I23" s="42"/>
      <c r="J23" s="42"/>
      <c r="K23" s="42"/>
      <c r="L23" s="42"/>
      <c r="M23" s="42"/>
      <c r="N23" s="42"/>
      <c r="O23" s="42"/>
      <c r="P23" s="44"/>
      <c r="Q23" s="42"/>
      <c r="R23" s="42"/>
      <c r="S23" s="42"/>
      <c r="T23" s="42"/>
      <c r="U23" s="42"/>
      <c r="V23" s="42"/>
      <c r="W23" s="59"/>
      <c r="X23" s="59"/>
      <c r="Y23" s="48">
        <f t="shared" si="0"/>
        <v>28000</v>
      </c>
    </row>
    <row r="24" spans="1:25" ht="24">
      <c r="A24" s="36">
        <v>751845</v>
      </c>
      <c r="B24" s="50" t="s">
        <v>249</v>
      </c>
      <c r="C24" s="205" t="s">
        <v>428</v>
      </c>
      <c r="D24" s="219" t="s">
        <v>496</v>
      </c>
      <c r="E24" s="199"/>
      <c r="F24" s="41">
        <v>192</v>
      </c>
      <c r="G24" s="42">
        <v>47</v>
      </c>
      <c r="H24" s="42">
        <f>11477-2324+34+98+64-387-306+150-205-1050-300-44</f>
        <v>7207</v>
      </c>
      <c r="I24" s="42"/>
      <c r="J24" s="42"/>
      <c r="K24" s="42">
        <f>54529-22580</f>
        <v>31949</v>
      </c>
      <c r="L24" s="42"/>
      <c r="M24" s="42"/>
      <c r="N24" s="42"/>
      <c r="O24" s="42">
        <f>59239+127+16627+508+546+2158+306+28</f>
        <v>79539</v>
      </c>
      <c r="P24" s="41"/>
      <c r="Q24" s="42"/>
      <c r="R24" s="42"/>
      <c r="S24" s="42"/>
      <c r="T24" s="42"/>
      <c r="U24" s="42"/>
      <c r="V24" s="42"/>
      <c r="W24" s="59"/>
      <c r="X24" s="59"/>
      <c r="Y24" s="48">
        <f t="shared" si="0"/>
        <v>118934</v>
      </c>
    </row>
    <row r="25" spans="2:25" ht="12">
      <c r="B25" s="50" t="s">
        <v>245</v>
      </c>
      <c r="C25" s="205" t="s">
        <v>429</v>
      </c>
      <c r="D25" s="219" t="s">
        <v>246</v>
      </c>
      <c r="E25" s="199"/>
      <c r="F25" s="41"/>
      <c r="G25" s="42"/>
      <c r="H25" s="42">
        <f>8393+7</f>
        <v>8400</v>
      </c>
      <c r="I25" s="42"/>
      <c r="J25" s="42"/>
      <c r="K25" s="42"/>
      <c r="L25" s="42"/>
      <c r="M25" s="42"/>
      <c r="N25" s="42"/>
      <c r="O25" s="42"/>
      <c r="P25" s="41"/>
      <c r="Q25" s="42"/>
      <c r="R25" s="42"/>
      <c r="S25" s="42"/>
      <c r="T25" s="42"/>
      <c r="U25" s="42"/>
      <c r="V25" s="42"/>
      <c r="W25" s="59"/>
      <c r="X25" s="59"/>
      <c r="Y25" s="48">
        <f t="shared" si="0"/>
        <v>8400</v>
      </c>
    </row>
    <row r="26" spans="1:25" ht="12">
      <c r="A26" s="36">
        <v>751922</v>
      </c>
      <c r="B26" s="50" t="s">
        <v>370</v>
      </c>
      <c r="C26" s="205" t="s">
        <v>430</v>
      </c>
      <c r="D26" s="219" t="s">
        <v>371</v>
      </c>
      <c r="E26" s="199"/>
      <c r="F26" s="41"/>
      <c r="G26" s="42"/>
      <c r="H26" s="42">
        <f>8960-4558+1396-1396-208</f>
        <v>4194</v>
      </c>
      <c r="I26" s="42"/>
      <c r="J26" s="42">
        <f>494394-48-656-1009+2045+4530+2000</f>
        <v>501256</v>
      </c>
      <c r="K26" s="42"/>
      <c r="L26" s="42"/>
      <c r="M26" s="42"/>
      <c r="N26" s="42"/>
      <c r="O26" s="42"/>
      <c r="P26" s="41"/>
      <c r="Q26" s="42"/>
      <c r="R26" s="42"/>
      <c r="S26" s="42"/>
      <c r="T26" s="42"/>
      <c r="U26" s="42"/>
      <c r="V26" s="42"/>
      <c r="W26" s="59">
        <f>43500-22331+462071-462071-845</f>
        <v>20324</v>
      </c>
      <c r="X26" s="59">
        <f>6061-3111+11750+1053</f>
        <v>15753</v>
      </c>
      <c r="Y26" s="48">
        <f t="shared" si="0"/>
        <v>541527</v>
      </c>
    </row>
    <row r="27" spans="1:25" ht="24">
      <c r="A27" s="36">
        <v>751966</v>
      </c>
      <c r="B27" s="50" t="s">
        <v>391</v>
      </c>
      <c r="C27" s="205" t="s">
        <v>431</v>
      </c>
      <c r="D27" s="219" t="s">
        <v>372</v>
      </c>
      <c r="E27" s="199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1"/>
      <c r="Q27" s="42"/>
      <c r="R27" s="42">
        <f>1000-500-64-97-55-82-210+198-18-150-22</f>
        <v>0</v>
      </c>
      <c r="S27" s="42">
        <f>1650+3000-1650</f>
        <v>3000</v>
      </c>
      <c r="T27" s="42">
        <f>800+1232</f>
        <v>2032</v>
      </c>
      <c r="U27" s="42">
        <f>1000-500-4033-100+15765-892-9300-82-24+2054-3888+240+10+1-74-95-82+60-710+1770-122-116-882</f>
        <v>0</v>
      </c>
      <c r="V27" s="42">
        <f>-3999+98185-8393-4844-2572-508-546-8775-2610-305-7733-4334-1720-51846</f>
        <v>0</v>
      </c>
      <c r="W27" s="59"/>
      <c r="X27" s="59"/>
      <c r="Y27" s="48">
        <f t="shared" si="0"/>
        <v>5032</v>
      </c>
    </row>
    <row r="28" spans="2:25" ht="12">
      <c r="B28" s="50" t="s">
        <v>515</v>
      </c>
      <c r="C28" s="205" t="s">
        <v>432</v>
      </c>
      <c r="D28" s="219" t="s">
        <v>519</v>
      </c>
      <c r="E28" s="199"/>
      <c r="F28" s="41"/>
      <c r="G28" s="41"/>
      <c r="H28" s="42"/>
      <c r="I28" s="42"/>
      <c r="J28" s="42">
        <f>237+4651+210-318+222+430+6051-1334-3679-21247-7657</f>
        <v>-22434</v>
      </c>
      <c r="K28" s="42"/>
      <c r="L28" s="42"/>
      <c r="M28" s="42"/>
      <c r="N28" s="42"/>
      <c r="O28" s="42"/>
      <c r="P28" s="41"/>
      <c r="Q28" s="42"/>
      <c r="R28" s="42"/>
      <c r="S28" s="42"/>
      <c r="T28" s="42"/>
      <c r="U28" s="42"/>
      <c r="V28" s="42"/>
      <c r="W28" s="59"/>
      <c r="X28" s="59"/>
      <c r="Y28" s="48">
        <f t="shared" si="0"/>
        <v>-22434</v>
      </c>
    </row>
    <row r="29" spans="1:25" ht="24">
      <c r="A29" s="36">
        <v>751999</v>
      </c>
      <c r="B29" s="50" t="s">
        <v>373</v>
      </c>
      <c r="C29" s="205" t="s">
        <v>433</v>
      </c>
      <c r="D29" s="219" t="s">
        <v>374</v>
      </c>
      <c r="E29" s="199"/>
      <c r="F29" s="41">
        <f>22589+284+34</f>
        <v>22907</v>
      </c>
      <c r="G29" s="41">
        <f>6082+76-138+9-22</f>
        <v>6007</v>
      </c>
      <c r="H29" s="42">
        <f>7925+77+1720+138-129+22</f>
        <v>9753</v>
      </c>
      <c r="I29" s="42"/>
      <c r="J29" s="42"/>
      <c r="K29" s="42"/>
      <c r="L29" s="42"/>
      <c r="M29" s="42"/>
      <c r="N29" s="42"/>
      <c r="O29" s="42">
        <v>129</v>
      </c>
      <c r="P29" s="41"/>
      <c r="Q29" s="42"/>
      <c r="R29" s="42"/>
      <c r="S29" s="42"/>
      <c r="T29" s="42"/>
      <c r="U29" s="42"/>
      <c r="V29" s="42"/>
      <c r="W29" s="59"/>
      <c r="X29" s="59"/>
      <c r="Y29" s="48">
        <f t="shared" si="0"/>
        <v>38796</v>
      </c>
    </row>
    <row r="30" spans="2:26" ht="12">
      <c r="B30" s="50" t="s">
        <v>489</v>
      </c>
      <c r="C30" s="205" t="s">
        <v>585</v>
      </c>
      <c r="D30" s="219" t="s">
        <v>490</v>
      </c>
      <c r="E30" s="199"/>
      <c r="F30" s="41"/>
      <c r="G30" s="41"/>
      <c r="H30" s="42">
        <f>1000-600+1000-1000-400</f>
        <v>0</v>
      </c>
      <c r="I30" s="42"/>
      <c r="J30" s="42"/>
      <c r="K30" s="42"/>
      <c r="L30" s="42"/>
      <c r="M30" s="42"/>
      <c r="N30" s="42"/>
      <c r="O30" s="42"/>
      <c r="P30" s="41"/>
      <c r="Q30" s="42"/>
      <c r="R30" s="42"/>
      <c r="S30" s="42"/>
      <c r="T30" s="42"/>
      <c r="U30" s="42"/>
      <c r="V30" s="42"/>
      <c r="W30" s="59"/>
      <c r="X30" s="59"/>
      <c r="Y30" s="48">
        <f t="shared" si="0"/>
        <v>0</v>
      </c>
      <c r="Z30" s="49"/>
    </row>
    <row r="31" spans="2:26" ht="24">
      <c r="B31" s="50" t="s">
        <v>516</v>
      </c>
      <c r="C31" s="205" t="s">
        <v>587</v>
      </c>
      <c r="D31" s="219" t="s">
        <v>517</v>
      </c>
      <c r="E31" s="199"/>
      <c r="F31" s="41"/>
      <c r="G31" s="41"/>
      <c r="H31" s="42">
        <v>606</v>
      </c>
      <c r="I31" s="42"/>
      <c r="J31" s="42"/>
      <c r="K31" s="42"/>
      <c r="L31" s="42"/>
      <c r="M31" s="42"/>
      <c r="N31" s="42"/>
      <c r="O31" s="42"/>
      <c r="P31" s="41"/>
      <c r="Q31" s="42"/>
      <c r="R31" s="42"/>
      <c r="S31" s="42"/>
      <c r="T31" s="42"/>
      <c r="U31" s="42"/>
      <c r="V31" s="42"/>
      <c r="W31" s="59"/>
      <c r="X31" s="59"/>
      <c r="Y31" s="48">
        <f t="shared" si="0"/>
        <v>606</v>
      </c>
      <c r="Z31" s="49"/>
    </row>
    <row r="32" spans="2:26" ht="12">
      <c r="B32" s="50" t="s">
        <v>518</v>
      </c>
      <c r="C32" s="205" t="s">
        <v>589</v>
      </c>
      <c r="D32" s="219" t="s">
        <v>283</v>
      </c>
      <c r="E32" s="199"/>
      <c r="F32" s="41"/>
      <c r="G32" s="41"/>
      <c r="H32" s="42"/>
      <c r="I32" s="42"/>
      <c r="J32" s="42"/>
      <c r="K32" s="42">
        <f>13719-3653</f>
        <v>10066</v>
      </c>
      <c r="L32" s="42"/>
      <c r="M32" s="42"/>
      <c r="N32" s="42"/>
      <c r="O32" s="42"/>
      <c r="P32" s="41"/>
      <c r="Q32" s="42"/>
      <c r="R32" s="42"/>
      <c r="S32" s="42"/>
      <c r="T32" s="42"/>
      <c r="U32" s="42"/>
      <c r="V32" s="42"/>
      <c r="W32" s="59"/>
      <c r="X32" s="59"/>
      <c r="Y32" s="48">
        <f t="shared" si="0"/>
        <v>10066</v>
      </c>
      <c r="Z32" s="49"/>
    </row>
    <row r="33" spans="1:25" ht="12">
      <c r="A33" s="36">
        <v>851286</v>
      </c>
      <c r="B33" s="50" t="s">
        <v>375</v>
      </c>
      <c r="C33" s="902" t="s">
        <v>317</v>
      </c>
      <c r="D33" s="220" t="s">
        <v>376</v>
      </c>
      <c r="E33" s="200"/>
      <c r="F33" s="45"/>
      <c r="G33" s="46"/>
      <c r="H33" s="46">
        <v>360</v>
      </c>
      <c r="I33" s="46"/>
      <c r="J33" s="46"/>
      <c r="K33" s="46"/>
      <c r="L33" s="46"/>
      <c r="M33" s="46"/>
      <c r="N33" s="46"/>
      <c r="O33" s="46"/>
      <c r="P33" s="45"/>
      <c r="Q33" s="46"/>
      <c r="R33" s="46"/>
      <c r="S33" s="46"/>
      <c r="T33" s="46"/>
      <c r="U33" s="46"/>
      <c r="V33" s="46"/>
      <c r="W33" s="60"/>
      <c r="X33" s="60"/>
      <c r="Y33" s="48">
        <f t="shared" si="0"/>
        <v>360</v>
      </c>
    </row>
    <row r="34" spans="1:25" s="43" customFormat="1" ht="12">
      <c r="A34" s="36">
        <v>851297</v>
      </c>
      <c r="B34" s="50" t="s">
        <v>377</v>
      </c>
      <c r="C34" s="903"/>
      <c r="D34" s="219" t="s">
        <v>378</v>
      </c>
      <c r="E34" s="199"/>
      <c r="F34" s="41">
        <f>11519+377+51+240</f>
        <v>12187</v>
      </c>
      <c r="G34" s="41">
        <f>3109+102-275+14-44</f>
        <v>2906</v>
      </c>
      <c r="H34" s="42">
        <f>13967-800+275-240+44</f>
        <v>13246</v>
      </c>
      <c r="I34" s="42"/>
      <c r="J34" s="42"/>
      <c r="K34" s="42"/>
      <c r="L34" s="42"/>
      <c r="M34" s="42"/>
      <c r="N34" s="42"/>
      <c r="O34" s="42"/>
      <c r="P34" s="41"/>
      <c r="Q34" s="42"/>
      <c r="R34" s="42"/>
      <c r="S34" s="42"/>
      <c r="T34" s="42"/>
      <c r="U34" s="42"/>
      <c r="V34" s="42"/>
      <c r="W34" s="59"/>
      <c r="X34" s="59"/>
      <c r="Y34" s="48">
        <f t="shared" si="0"/>
        <v>28339</v>
      </c>
    </row>
    <row r="35" spans="1:25" s="43" customFormat="1" ht="12">
      <c r="A35" s="36">
        <v>853288</v>
      </c>
      <c r="B35" s="50" t="s">
        <v>379</v>
      </c>
      <c r="C35" s="903"/>
      <c r="D35" s="219" t="s">
        <v>380</v>
      </c>
      <c r="E35" s="199"/>
      <c r="F35" s="41"/>
      <c r="G35" s="41"/>
      <c r="H35" s="42">
        <v>120</v>
      </c>
      <c r="I35" s="42"/>
      <c r="J35" s="42"/>
      <c r="K35" s="42"/>
      <c r="L35" s="42"/>
      <c r="M35" s="42"/>
      <c r="N35" s="42"/>
      <c r="O35" s="42"/>
      <c r="P35" s="41"/>
      <c r="Q35" s="42"/>
      <c r="R35" s="42"/>
      <c r="S35" s="42"/>
      <c r="T35" s="42"/>
      <c r="U35" s="42"/>
      <c r="V35" s="42"/>
      <c r="W35" s="59"/>
      <c r="X35" s="59"/>
      <c r="Y35" s="48">
        <f t="shared" si="0"/>
        <v>120</v>
      </c>
    </row>
    <row r="36" spans="1:25" s="43" customFormat="1" ht="24">
      <c r="A36" s="36">
        <v>853311</v>
      </c>
      <c r="B36" s="50" t="s">
        <v>381</v>
      </c>
      <c r="C36" s="904"/>
      <c r="D36" s="219" t="s">
        <v>497</v>
      </c>
      <c r="E36" s="199"/>
      <c r="F36" s="41">
        <f>9063+289+43+469+37</f>
        <v>9901</v>
      </c>
      <c r="G36" s="41">
        <f>2269+78+12+126+10+292</f>
        <v>2787</v>
      </c>
      <c r="H36" s="42">
        <f>1971-300-292</f>
        <v>1379</v>
      </c>
      <c r="I36" s="42"/>
      <c r="J36" s="42"/>
      <c r="K36" s="42"/>
      <c r="L36" s="42"/>
      <c r="M36" s="42"/>
      <c r="N36" s="42"/>
      <c r="O36" s="42"/>
      <c r="P36" s="41"/>
      <c r="Q36" s="42"/>
      <c r="R36" s="42"/>
      <c r="S36" s="42"/>
      <c r="T36" s="42"/>
      <c r="U36" s="42"/>
      <c r="V36" s="42"/>
      <c r="W36" s="59"/>
      <c r="X36" s="59"/>
      <c r="Y36" s="48">
        <f t="shared" si="0"/>
        <v>14067</v>
      </c>
    </row>
    <row r="37" spans="1:25" s="43" customFormat="1" ht="24" customHeight="1">
      <c r="A37" s="36">
        <v>853322</v>
      </c>
      <c r="B37" s="50" t="s">
        <v>530</v>
      </c>
      <c r="C37" s="895" t="s">
        <v>318</v>
      </c>
      <c r="D37" s="221" t="s">
        <v>514</v>
      </c>
      <c r="E37" s="201"/>
      <c r="F37" s="41"/>
      <c r="G37" s="41"/>
      <c r="H37" s="42"/>
      <c r="I37" s="223"/>
      <c r="J37" s="223"/>
      <c r="K37" s="42">
        <f>10988-9263</f>
        <v>1725</v>
      </c>
      <c r="L37" s="42"/>
      <c r="M37" s="42"/>
      <c r="N37" s="42"/>
      <c r="O37" s="42"/>
      <c r="P37" s="41"/>
      <c r="Q37" s="42"/>
      <c r="R37" s="42"/>
      <c r="S37" s="42"/>
      <c r="T37" s="42"/>
      <c r="U37" s="42"/>
      <c r="V37" s="42"/>
      <c r="W37" s="59"/>
      <c r="X37" s="59"/>
      <c r="Y37" s="48">
        <f t="shared" si="0"/>
        <v>1725</v>
      </c>
    </row>
    <row r="38" spans="1:25" s="43" customFormat="1" ht="12">
      <c r="A38" s="36"/>
      <c r="B38" s="50" t="s">
        <v>531</v>
      </c>
      <c r="C38" s="896"/>
      <c r="D38" s="221" t="s">
        <v>520</v>
      </c>
      <c r="E38" s="201"/>
      <c r="F38" s="41"/>
      <c r="G38" s="41"/>
      <c r="H38" s="42"/>
      <c r="I38" s="223"/>
      <c r="J38" s="223"/>
      <c r="K38" s="42">
        <f>9761-858+2129</f>
        <v>11032</v>
      </c>
      <c r="L38" s="42"/>
      <c r="M38" s="42"/>
      <c r="N38" s="42"/>
      <c r="O38" s="42"/>
      <c r="P38" s="41"/>
      <c r="Q38" s="42"/>
      <c r="R38" s="42"/>
      <c r="S38" s="42"/>
      <c r="T38" s="42"/>
      <c r="U38" s="42"/>
      <c r="V38" s="42"/>
      <c r="W38" s="59"/>
      <c r="X38" s="59"/>
      <c r="Y38" s="48">
        <f t="shared" si="0"/>
        <v>11032</v>
      </c>
    </row>
    <row r="39" spans="1:25" s="43" customFormat="1" ht="12">
      <c r="A39" s="36"/>
      <c r="B39" s="50" t="s">
        <v>532</v>
      </c>
      <c r="C39" s="896"/>
      <c r="D39" s="221" t="s">
        <v>521</v>
      </c>
      <c r="E39" s="201"/>
      <c r="F39" s="41"/>
      <c r="G39" s="41"/>
      <c r="H39" s="42"/>
      <c r="I39" s="223"/>
      <c r="J39" s="223"/>
      <c r="K39" s="42">
        <f>3215-223</f>
        <v>2992</v>
      </c>
      <c r="L39" s="42"/>
      <c r="M39" s="42"/>
      <c r="N39" s="42"/>
      <c r="O39" s="42"/>
      <c r="P39" s="41"/>
      <c r="Q39" s="42"/>
      <c r="R39" s="42"/>
      <c r="S39" s="42"/>
      <c r="T39" s="42"/>
      <c r="U39" s="42"/>
      <c r="V39" s="42"/>
      <c r="W39" s="59"/>
      <c r="X39" s="59"/>
      <c r="Y39" s="48">
        <f t="shared" si="0"/>
        <v>2992</v>
      </c>
    </row>
    <row r="40" spans="1:25" s="43" customFormat="1" ht="12">
      <c r="A40" s="36"/>
      <c r="B40" s="50" t="s">
        <v>533</v>
      </c>
      <c r="C40" s="896"/>
      <c r="D40" s="221" t="s">
        <v>524</v>
      </c>
      <c r="E40" s="201"/>
      <c r="F40" s="41"/>
      <c r="G40" s="41"/>
      <c r="H40" s="42"/>
      <c r="I40" s="223"/>
      <c r="J40" s="223"/>
      <c r="K40" s="42">
        <f>9270-1198+2129</f>
        <v>10201</v>
      </c>
      <c r="L40" s="42"/>
      <c r="M40" s="42"/>
      <c r="N40" s="42"/>
      <c r="O40" s="42"/>
      <c r="P40" s="41"/>
      <c r="Q40" s="42"/>
      <c r="R40" s="42"/>
      <c r="S40" s="42"/>
      <c r="T40" s="42"/>
      <c r="U40" s="42"/>
      <c r="V40" s="42"/>
      <c r="W40" s="59"/>
      <c r="X40" s="59"/>
      <c r="Y40" s="48">
        <f t="shared" si="0"/>
        <v>10201</v>
      </c>
    </row>
    <row r="41" spans="1:25" ht="12">
      <c r="A41" s="36">
        <v>853333</v>
      </c>
      <c r="B41" s="50" t="s">
        <v>534</v>
      </c>
      <c r="C41" s="897"/>
      <c r="D41" s="219" t="s">
        <v>525</v>
      </c>
      <c r="E41" s="199"/>
      <c r="F41" s="41"/>
      <c r="G41" s="42"/>
      <c r="H41" s="42"/>
      <c r="I41" s="42"/>
      <c r="J41" s="42"/>
      <c r="K41" s="232">
        <f>4670-626</f>
        <v>4044</v>
      </c>
      <c r="L41" s="42"/>
      <c r="M41" s="42"/>
      <c r="N41" s="42"/>
      <c r="O41" s="42"/>
      <c r="P41" s="41"/>
      <c r="Q41" s="42"/>
      <c r="R41" s="42"/>
      <c r="S41" s="42"/>
      <c r="T41" s="42"/>
      <c r="U41" s="42"/>
      <c r="V41" s="42"/>
      <c r="W41" s="59"/>
      <c r="X41" s="59"/>
      <c r="Y41" s="48">
        <f t="shared" si="0"/>
        <v>4044</v>
      </c>
    </row>
    <row r="42" spans="2:25" ht="12">
      <c r="B42" s="50" t="s">
        <v>535</v>
      </c>
      <c r="C42" s="897"/>
      <c r="D42" s="219" t="s">
        <v>526</v>
      </c>
      <c r="E42" s="199"/>
      <c r="F42" s="41"/>
      <c r="G42" s="42"/>
      <c r="H42" s="42"/>
      <c r="I42" s="42"/>
      <c r="J42" s="42"/>
      <c r="K42" s="232">
        <f>2796-164</f>
        <v>2632</v>
      </c>
      <c r="L42" s="42"/>
      <c r="M42" s="42"/>
      <c r="N42" s="42"/>
      <c r="O42" s="42"/>
      <c r="P42" s="41"/>
      <c r="Q42" s="42"/>
      <c r="R42" s="42"/>
      <c r="S42" s="42"/>
      <c r="T42" s="42"/>
      <c r="U42" s="42"/>
      <c r="V42" s="42"/>
      <c r="W42" s="59"/>
      <c r="X42" s="59"/>
      <c r="Y42" s="48">
        <f t="shared" si="0"/>
        <v>2632</v>
      </c>
    </row>
    <row r="43" spans="2:25" ht="24">
      <c r="B43" s="50" t="s">
        <v>536</v>
      </c>
      <c r="C43" s="897"/>
      <c r="D43" s="219" t="s">
        <v>527</v>
      </c>
      <c r="E43" s="199"/>
      <c r="F43" s="41"/>
      <c r="G43" s="42"/>
      <c r="H43" s="42">
        <f>15577+900+498</f>
        <v>16975</v>
      </c>
      <c r="I43" s="42"/>
      <c r="J43" s="42"/>
      <c r="K43" s="42">
        <f>13215-13215</f>
        <v>0</v>
      </c>
      <c r="L43" s="42"/>
      <c r="M43" s="42">
        <v>10000</v>
      </c>
      <c r="N43" s="42"/>
      <c r="O43" s="42"/>
      <c r="P43" s="41"/>
      <c r="Q43" s="42"/>
      <c r="R43" s="42"/>
      <c r="S43" s="42"/>
      <c r="T43" s="42"/>
      <c r="U43" s="42"/>
      <c r="V43" s="42"/>
      <c r="W43" s="59"/>
      <c r="X43" s="59"/>
      <c r="Y43" s="48">
        <f t="shared" si="0"/>
        <v>26975</v>
      </c>
    </row>
    <row r="44" spans="2:25" ht="12">
      <c r="B44" s="50" t="s">
        <v>537</v>
      </c>
      <c r="C44" s="897"/>
      <c r="D44" s="219" t="s">
        <v>528</v>
      </c>
      <c r="E44" s="199"/>
      <c r="F44" s="41"/>
      <c r="G44" s="42"/>
      <c r="H44" s="42"/>
      <c r="I44" s="42"/>
      <c r="J44" s="42"/>
      <c r="K44" s="232">
        <f>3933-639</f>
        <v>3294</v>
      </c>
      <c r="L44" s="42"/>
      <c r="M44" s="42"/>
      <c r="N44" s="42"/>
      <c r="O44" s="42"/>
      <c r="P44" s="41"/>
      <c r="Q44" s="42"/>
      <c r="R44" s="42"/>
      <c r="S44" s="42"/>
      <c r="T44" s="42"/>
      <c r="U44" s="42"/>
      <c r="V44" s="42"/>
      <c r="W44" s="59"/>
      <c r="X44" s="59"/>
      <c r="Y44" s="48">
        <f t="shared" si="0"/>
        <v>3294</v>
      </c>
    </row>
    <row r="45" spans="2:25" ht="24">
      <c r="B45" s="50" t="s">
        <v>538</v>
      </c>
      <c r="C45" s="893"/>
      <c r="D45" s="219" t="s">
        <v>529</v>
      </c>
      <c r="E45" s="199"/>
      <c r="F45" s="41"/>
      <c r="G45" s="42"/>
      <c r="H45" s="42"/>
      <c r="I45" s="42"/>
      <c r="J45" s="42"/>
      <c r="K45" s="232">
        <v>1670</v>
      </c>
      <c r="L45" s="42"/>
      <c r="M45" s="42"/>
      <c r="N45" s="42"/>
      <c r="O45" s="42"/>
      <c r="P45" s="41"/>
      <c r="Q45" s="42"/>
      <c r="R45" s="42"/>
      <c r="S45" s="42"/>
      <c r="T45" s="42"/>
      <c r="U45" s="42"/>
      <c r="V45" s="42"/>
      <c r="W45" s="59"/>
      <c r="X45" s="59"/>
      <c r="Y45" s="48">
        <f t="shared" si="0"/>
        <v>1670</v>
      </c>
    </row>
    <row r="46" spans="2:25" ht="15.75" customHeight="1">
      <c r="B46" s="50" t="s">
        <v>382</v>
      </c>
      <c r="C46" s="905" t="s">
        <v>319</v>
      </c>
      <c r="D46" s="219" t="s">
        <v>383</v>
      </c>
      <c r="E46" s="199"/>
      <c r="F46" s="41"/>
      <c r="G46" s="42"/>
      <c r="H46" s="42"/>
      <c r="I46" s="42"/>
      <c r="J46" s="42"/>
      <c r="K46" s="42"/>
      <c r="L46" s="42">
        <f>1500-300-124+5</f>
        <v>1081</v>
      </c>
      <c r="M46" s="42"/>
      <c r="N46" s="42"/>
      <c r="O46" s="42"/>
      <c r="P46" s="41"/>
      <c r="Q46" s="42"/>
      <c r="R46" s="42"/>
      <c r="S46" s="42"/>
      <c r="T46" s="42"/>
      <c r="U46" s="42"/>
      <c r="V46" s="42"/>
      <c r="W46" s="59"/>
      <c r="X46" s="59"/>
      <c r="Y46" s="48">
        <f t="shared" si="0"/>
        <v>1081</v>
      </c>
    </row>
    <row r="47" spans="2:25" ht="15" customHeight="1">
      <c r="B47" s="50" t="s">
        <v>384</v>
      </c>
      <c r="C47" s="905"/>
      <c r="D47" s="219" t="s">
        <v>385</v>
      </c>
      <c r="E47" s="199"/>
      <c r="F47" s="41"/>
      <c r="G47" s="42"/>
      <c r="H47" s="42"/>
      <c r="I47" s="42"/>
      <c r="J47" s="42"/>
      <c r="K47" s="42"/>
      <c r="L47" s="42">
        <f>95-5</f>
        <v>90</v>
      </c>
      <c r="M47" s="42"/>
      <c r="N47" s="42"/>
      <c r="O47" s="42"/>
      <c r="P47" s="41"/>
      <c r="Q47" s="42"/>
      <c r="R47" s="42"/>
      <c r="S47" s="42"/>
      <c r="T47" s="42"/>
      <c r="U47" s="42"/>
      <c r="V47" s="42"/>
      <c r="W47" s="59"/>
      <c r="X47" s="59"/>
      <c r="Y47" s="48">
        <f t="shared" si="0"/>
        <v>90</v>
      </c>
    </row>
    <row r="48" spans="2:25" ht="15" customHeight="1">
      <c r="B48" s="50" t="s">
        <v>386</v>
      </c>
      <c r="C48" s="906"/>
      <c r="D48" s="219" t="s">
        <v>387</v>
      </c>
      <c r="E48" s="199"/>
      <c r="F48" s="41"/>
      <c r="G48" s="42"/>
      <c r="H48" s="42"/>
      <c r="I48" s="42"/>
      <c r="J48" s="42"/>
      <c r="K48" s="42"/>
      <c r="L48" s="42">
        <f>1200-200+135+346+151</f>
        <v>1632</v>
      </c>
      <c r="M48" s="42"/>
      <c r="N48" s="42"/>
      <c r="O48" s="42"/>
      <c r="P48" s="41"/>
      <c r="Q48" s="42"/>
      <c r="R48" s="42"/>
      <c r="S48" s="42"/>
      <c r="T48" s="42"/>
      <c r="U48" s="42"/>
      <c r="V48" s="42"/>
      <c r="W48" s="59"/>
      <c r="X48" s="59"/>
      <c r="Y48" s="48">
        <f t="shared" si="0"/>
        <v>1632</v>
      </c>
    </row>
    <row r="49" spans="2:25" ht="12">
      <c r="B49" s="50" t="s">
        <v>247</v>
      </c>
      <c r="C49" s="546">
        <v>29</v>
      </c>
      <c r="D49" s="219" t="s">
        <v>248</v>
      </c>
      <c r="E49" s="199"/>
      <c r="F49" s="41"/>
      <c r="G49" s="42"/>
      <c r="H49" s="42">
        <v>8</v>
      </c>
      <c r="I49" s="42"/>
      <c r="J49" s="42"/>
      <c r="K49" s="232"/>
      <c r="L49" s="42"/>
      <c r="M49" s="42"/>
      <c r="N49" s="42"/>
      <c r="O49" s="42"/>
      <c r="P49" s="41"/>
      <c r="Q49" s="42"/>
      <c r="R49" s="42"/>
      <c r="S49" s="42"/>
      <c r="T49" s="42"/>
      <c r="U49" s="42"/>
      <c r="V49" s="42"/>
      <c r="W49" s="59"/>
      <c r="X49" s="59"/>
      <c r="Y49" s="48">
        <f t="shared" si="0"/>
        <v>8</v>
      </c>
    </row>
    <row r="50" spans="2:25" ht="12" customHeight="1">
      <c r="B50" s="50" t="s">
        <v>240</v>
      </c>
      <c r="C50" s="546">
        <v>30</v>
      </c>
      <c r="D50" s="219" t="s">
        <v>241</v>
      </c>
      <c r="E50" s="199"/>
      <c r="F50" s="41">
        <f>12155+4277+453+227</f>
        <v>17112</v>
      </c>
      <c r="G50" s="42">
        <f>1641+577+61+30</f>
        <v>2309</v>
      </c>
      <c r="H50" s="42"/>
      <c r="I50" s="42"/>
      <c r="J50" s="42"/>
      <c r="K50" s="42"/>
      <c r="L50" s="42"/>
      <c r="M50" s="42"/>
      <c r="N50" s="42"/>
      <c r="O50" s="42"/>
      <c r="P50" s="41"/>
      <c r="Q50" s="42"/>
      <c r="R50" s="42"/>
      <c r="S50" s="42"/>
      <c r="T50" s="42"/>
      <c r="U50" s="42"/>
      <c r="V50" s="42"/>
      <c r="W50" s="59"/>
      <c r="X50" s="59"/>
      <c r="Y50" s="48">
        <f t="shared" si="0"/>
        <v>19421</v>
      </c>
    </row>
    <row r="51" spans="2:25" ht="12" customHeight="1">
      <c r="B51" s="50" t="s">
        <v>510</v>
      </c>
      <c r="C51" s="546">
        <v>31</v>
      </c>
      <c r="D51" s="219" t="s">
        <v>511</v>
      </c>
      <c r="E51" s="199"/>
      <c r="F51" s="41">
        <f>15349+112484-2606-4277+76+155-155-604-133+9-848-39</f>
        <v>119411</v>
      </c>
      <c r="G51" s="42">
        <f>2072+15185-351-577+10+51-51-341+2</f>
        <v>16000</v>
      </c>
      <c r="H51" s="42">
        <f>10+2905+82-136+14822+341+509+133+837</f>
        <v>19503</v>
      </c>
      <c r="I51" s="42"/>
      <c r="J51" s="42"/>
      <c r="K51" s="42"/>
      <c r="L51" s="42"/>
      <c r="M51" s="42"/>
      <c r="N51" s="42"/>
      <c r="O51" s="42">
        <f>38612-1974-14822+2740+95+39</f>
        <v>24690</v>
      </c>
      <c r="P51" s="41"/>
      <c r="Q51" s="42"/>
      <c r="R51" s="42"/>
      <c r="S51" s="42"/>
      <c r="T51" s="42"/>
      <c r="U51" s="42"/>
      <c r="V51" s="42"/>
      <c r="W51" s="59"/>
      <c r="X51" s="59"/>
      <c r="Y51" s="48">
        <f t="shared" si="0"/>
        <v>179604</v>
      </c>
    </row>
    <row r="52" spans="2:25" ht="12" customHeight="1">
      <c r="B52" s="50" t="s">
        <v>844</v>
      </c>
      <c r="C52" s="546">
        <v>32</v>
      </c>
      <c r="D52" s="219" t="s">
        <v>845</v>
      </c>
      <c r="E52" s="199"/>
      <c r="F52" s="41">
        <v>3700</v>
      </c>
      <c r="G52" s="42">
        <v>499</v>
      </c>
      <c r="H52" s="42"/>
      <c r="I52" s="42"/>
      <c r="J52" s="42"/>
      <c r="K52" s="42"/>
      <c r="L52" s="42"/>
      <c r="M52" s="42"/>
      <c r="N52" s="42"/>
      <c r="O52" s="42"/>
      <c r="P52" s="41"/>
      <c r="Q52" s="42"/>
      <c r="R52" s="42"/>
      <c r="S52" s="42"/>
      <c r="T52" s="42"/>
      <c r="U52" s="42"/>
      <c r="V52" s="42"/>
      <c r="W52" s="59"/>
      <c r="X52" s="59"/>
      <c r="Y52" s="48">
        <f t="shared" si="0"/>
        <v>4199</v>
      </c>
    </row>
    <row r="53" spans="2:25" ht="12" customHeight="1">
      <c r="B53" s="50" t="s">
        <v>846</v>
      </c>
      <c r="C53" s="546">
        <v>33</v>
      </c>
      <c r="D53" s="219" t="s">
        <v>847</v>
      </c>
      <c r="E53" s="199"/>
      <c r="F53" s="41"/>
      <c r="G53" s="42"/>
      <c r="H53" s="42">
        <f>378+110</f>
        <v>488</v>
      </c>
      <c r="I53" s="42"/>
      <c r="J53" s="42"/>
      <c r="K53" s="42"/>
      <c r="L53" s="42"/>
      <c r="M53" s="42"/>
      <c r="N53" s="42"/>
      <c r="O53" s="42"/>
      <c r="P53" s="41">
        <f>1650+7580+6</f>
        <v>9236</v>
      </c>
      <c r="Q53" s="42">
        <v>9067</v>
      </c>
      <c r="R53" s="42"/>
      <c r="S53" s="42"/>
      <c r="T53" s="42"/>
      <c r="U53" s="42"/>
      <c r="V53" s="42"/>
      <c r="W53" s="59"/>
      <c r="X53" s="59"/>
      <c r="Y53" s="48">
        <f t="shared" si="0"/>
        <v>18791</v>
      </c>
    </row>
    <row r="54" spans="2:25" ht="12">
      <c r="B54" s="50" t="s">
        <v>492</v>
      </c>
      <c r="C54" s="546">
        <v>34</v>
      </c>
      <c r="D54" s="219" t="s">
        <v>388</v>
      </c>
      <c r="E54" s="199"/>
      <c r="F54" s="41"/>
      <c r="G54" s="42"/>
      <c r="H54" s="42"/>
      <c r="I54" s="42"/>
      <c r="J54" s="42"/>
      <c r="K54" s="42">
        <f>11742-2804+33-33</f>
        <v>8938</v>
      </c>
      <c r="L54" s="42"/>
      <c r="M54" s="42"/>
      <c r="N54" s="42"/>
      <c r="O54" s="42"/>
      <c r="P54" s="41"/>
      <c r="Q54" s="42">
        <v>33</v>
      </c>
      <c r="R54" s="42"/>
      <c r="S54" s="42"/>
      <c r="T54" s="42"/>
      <c r="U54" s="42"/>
      <c r="V54" s="42"/>
      <c r="W54" s="59"/>
      <c r="X54" s="59"/>
      <c r="Y54" s="48">
        <f t="shared" si="0"/>
        <v>8971</v>
      </c>
    </row>
    <row r="55" spans="2:25" ht="12">
      <c r="B55" s="50" t="s">
        <v>284</v>
      </c>
      <c r="C55" s="546">
        <v>35</v>
      </c>
      <c r="D55" s="219" t="s">
        <v>285</v>
      </c>
      <c r="E55" s="199"/>
      <c r="F55" s="41"/>
      <c r="G55" s="42"/>
      <c r="H55" s="42">
        <v>168</v>
      </c>
      <c r="I55" s="42"/>
      <c r="J55" s="42"/>
      <c r="K55" s="42"/>
      <c r="L55" s="42"/>
      <c r="M55" s="42"/>
      <c r="N55" s="42"/>
      <c r="O55" s="42"/>
      <c r="P55" s="41"/>
      <c r="Q55" s="42"/>
      <c r="R55" s="42"/>
      <c r="S55" s="42"/>
      <c r="T55" s="42"/>
      <c r="U55" s="42"/>
      <c r="V55" s="42"/>
      <c r="W55" s="59"/>
      <c r="X55" s="59"/>
      <c r="Y55" s="48">
        <f t="shared" si="0"/>
        <v>168</v>
      </c>
    </row>
    <row r="56" spans="2:25" ht="24">
      <c r="B56" s="50" t="s">
        <v>493</v>
      </c>
      <c r="C56" s="546">
        <v>36</v>
      </c>
      <c r="D56" s="219" t="s">
        <v>389</v>
      </c>
      <c r="E56" s="199"/>
      <c r="F56" s="41"/>
      <c r="G56" s="42"/>
      <c r="H56" s="42">
        <f>22+3</f>
        <v>25</v>
      </c>
      <c r="I56" s="42"/>
      <c r="J56" s="42"/>
      <c r="K56" s="42">
        <f>11434-3689</f>
        <v>7745</v>
      </c>
      <c r="L56" s="42"/>
      <c r="M56" s="42"/>
      <c r="N56" s="42"/>
      <c r="O56" s="42">
        <v>2324</v>
      </c>
      <c r="P56" s="41"/>
      <c r="Q56" s="42">
        <v>226</v>
      </c>
      <c r="R56" s="42"/>
      <c r="S56" s="42"/>
      <c r="T56" s="42"/>
      <c r="U56" s="42"/>
      <c r="V56" s="42"/>
      <c r="W56" s="59"/>
      <c r="X56" s="59"/>
      <c r="Y56" s="48">
        <f t="shared" si="0"/>
        <v>10320</v>
      </c>
    </row>
    <row r="57" spans="2:25" ht="24">
      <c r="B57" s="50" t="s">
        <v>494</v>
      </c>
      <c r="C57" s="546">
        <v>37</v>
      </c>
      <c r="D57" s="219" t="s">
        <v>390</v>
      </c>
      <c r="E57" s="199"/>
      <c r="F57" s="41"/>
      <c r="G57" s="42"/>
      <c r="H57" s="42">
        <f>26+16+13+5926</f>
        <v>5981</v>
      </c>
      <c r="I57" s="42"/>
      <c r="J57" s="42"/>
      <c r="K57" s="42">
        <f>22091-1950</f>
        <v>20141</v>
      </c>
      <c r="L57" s="42"/>
      <c r="M57" s="42"/>
      <c r="N57" s="42"/>
      <c r="O57" s="42">
        <f>13979+532+64426+9307+450-5926</f>
        <v>82768</v>
      </c>
      <c r="P57" s="41">
        <v>3999</v>
      </c>
      <c r="Q57" s="42"/>
      <c r="R57" s="42"/>
      <c r="S57" s="42"/>
      <c r="T57" s="42"/>
      <c r="U57" s="42"/>
      <c r="V57" s="42"/>
      <c r="W57" s="59"/>
      <c r="X57" s="59"/>
      <c r="Y57" s="48">
        <f t="shared" si="0"/>
        <v>112889</v>
      </c>
    </row>
    <row r="58" spans="1:28" s="224" customFormat="1" ht="13.5" thickBot="1">
      <c r="A58" s="224">
        <v>999997</v>
      </c>
      <c r="B58" s="225"/>
      <c r="C58" s="227" t="s">
        <v>603</v>
      </c>
      <c r="D58" s="228" t="s">
        <v>303</v>
      </c>
      <c r="E58" s="229">
        <f aca="true" t="shared" si="1" ref="E58:Y58">SUM(E8:E57)</f>
        <v>0</v>
      </c>
      <c r="F58" s="230">
        <f t="shared" si="1"/>
        <v>228773</v>
      </c>
      <c r="G58" s="230">
        <f t="shared" si="1"/>
        <v>41698</v>
      </c>
      <c r="H58" s="230">
        <f t="shared" si="1"/>
        <v>1010537</v>
      </c>
      <c r="I58" s="230">
        <f t="shared" si="1"/>
        <v>3407</v>
      </c>
      <c r="J58" s="230">
        <f t="shared" si="1"/>
        <v>478822</v>
      </c>
      <c r="K58" s="230">
        <f t="shared" si="1"/>
        <v>139712</v>
      </c>
      <c r="L58" s="230">
        <f t="shared" si="1"/>
        <v>2803</v>
      </c>
      <c r="M58" s="230">
        <f t="shared" si="1"/>
        <v>11677</v>
      </c>
      <c r="N58" s="230">
        <f t="shared" si="1"/>
        <v>100</v>
      </c>
      <c r="O58" s="230">
        <f t="shared" si="1"/>
        <v>4111006</v>
      </c>
      <c r="P58" s="230">
        <f t="shared" si="1"/>
        <v>13467</v>
      </c>
      <c r="Q58" s="230">
        <f t="shared" si="1"/>
        <v>9622</v>
      </c>
      <c r="R58" s="230">
        <f t="shared" si="1"/>
        <v>0</v>
      </c>
      <c r="S58" s="230">
        <f t="shared" si="1"/>
        <v>3000</v>
      </c>
      <c r="T58" s="230">
        <f t="shared" si="1"/>
        <v>2032</v>
      </c>
      <c r="U58" s="230">
        <f t="shared" si="1"/>
        <v>0</v>
      </c>
      <c r="V58" s="230">
        <f t="shared" si="1"/>
        <v>0</v>
      </c>
      <c r="W58" s="230">
        <f t="shared" si="1"/>
        <v>20324</v>
      </c>
      <c r="X58" s="230">
        <f t="shared" si="1"/>
        <v>15753</v>
      </c>
      <c r="Y58" s="230">
        <f t="shared" si="1"/>
        <v>6092733</v>
      </c>
      <c r="Z58" s="231">
        <f>SUM(F58:X58)</f>
        <v>6092733</v>
      </c>
      <c r="AA58" s="226"/>
      <c r="AB58" s="226"/>
    </row>
    <row r="59" spans="2:28" s="224" customFormat="1" ht="13.5" thickBot="1">
      <c r="B59" s="225"/>
      <c r="C59" s="227" t="s">
        <v>605</v>
      </c>
      <c r="D59" s="228" t="s">
        <v>251</v>
      </c>
      <c r="E59" s="229"/>
      <c r="F59" s="230"/>
      <c r="G59" s="230"/>
      <c r="H59" s="230"/>
      <c r="I59" s="230"/>
      <c r="J59" s="590">
        <v>-478822</v>
      </c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29">
        <f t="shared" si="0"/>
        <v>-478822</v>
      </c>
      <c r="Z59" s="231"/>
      <c r="AA59" s="226"/>
      <c r="AB59" s="226"/>
    </row>
    <row r="60" spans="2:28" s="551" customFormat="1" ht="15.75" thickBot="1">
      <c r="B60" s="552"/>
      <c r="C60" s="553" t="s">
        <v>607</v>
      </c>
      <c r="D60" s="554" t="s">
        <v>304</v>
      </c>
      <c r="E60" s="555"/>
      <c r="F60" s="556">
        <f>SUM(F58:F59)</f>
        <v>228773</v>
      </c>
      <c r="G60" s="556">
        <f aca="true" t="shared" si="2" ref="G60:Y60">SUM(G58:G59)</f>
        <v>41698</v>
      </c>
      <c r="H60" s="556">
        <f t="shared" si="2"/>
        <v>1010537</v>
      </c>
      <c r="I60" s="556">
        <f t="shared" si="2"/>
        <v>3407</v>
      </c>
      <c r="J60" s="556">
        <f t="shared" si="2"/>
        <v>0</v>
      </c>
      <c r="K60" s="556">
        <f t="shared" si="2"/>
        <v>139712</v>
      </c>
      <c r="L60" s="556">
        <f t="shared" si="2"/>
        <v>2803</v>
      </c>
      <c r="M60" s="556">
        <f t="shared" si="2"/>
        <v>11677</v>
      </c>
      <c r="N60" s="556">
        <f t="shared" si="2"/>
        <v>100</v>
      </c>
      <c r="O60" s="556">
        <f t="shared" si="2"/>
        <v>4111006</v>
      </c>
      <c r="P60" s="556">
        <f t="shared" si="2"/>
        <v>13467</v>
      </c>
      <c r="Q60" s="556">
        <f t="shared" si="2"/>
        <v>9622</v>
      </c>
      <c r="R60" s="556">
        <f>SUM(R58:R59)</f>
        <v>0</v>
      </c>
      <c r="S60" s="556">
        <f>SUM(S58:S59)</f>
        <v>3000</v>
      </c>
      <c r="T60" s="556">
        <f>SUM(T58:T59)</f>
        <v>2032</v>
      </c>
      <c r="U60" s="556">
        <f t="shared" si="2"/>
        <v>0</v>
      </c>
      <c r="V60" s="556">
        <f t="shared" si="2"/>
        <v>0</v>
      </c>
      <c r="W60" s="556">
        <f t="shared" si="2"/>
        <v>20324</v>
      </c>
      <c r="X60" s="556">
        <f t="shared" si="2"/>
        <v>15753</v>
      </c>
      <c r="Y60" s="556">
        <f t="shared" si="2"/>
        <v>5613911</v>
      </c>
      <c r="Z60" s="557"/>
      <c r="AA60" s="558"/>
      <c r="AB60" s="558"/>
    </row>
    <row r="63" ht="12">
      <c r="E63" s="202"/>
    </row>
  </sheetData>
  <sheetProtection/>
  <mergeCells count="29">
    <mergeCell ref="P1:Y1"/>
    <mergeCell ref="D2:Y2"/>
    <mergeCell ref="D4:D6"/>
    <mergeCell ref="E4:E6"/>
    <mergeCell ref="F4:X4"/>
    <mergeCell ref="X5:X6"/>
    <mergeCell ref="H5:H6"/>
    <mergeCell ref="Y4:Y6"/>
    <mergeCell ref="W5:W6"/>
    <mergeCell ref="P5:P6"/>
    <mergeCell ref="C46:C48"/>
    <mergeCell ref="K5:K6"/>
    <mergeCell ref="L5:L6"/>
    <mergeCell ref="C4:C7"/>
    <mergeCell ref="F5:F6"/>
    <mergeCell ref="G5:G6"/>
    <mergeCell ref="I5:I6"/>
    <mergeCell ref="C37:C45"/>
    <mergeCell ref="J5:J6"/>
    <mergeCell ref="V5:V6"/>
    <mergeCell ref="Q5:Q6"/>
    <mergeCell ref="C33:C36"/>
    <mergeCell ref="O5:O6"/>
    <mergeCell ref="M5:M6"/>
    <mergeCell ref="N5:N6"/>
    <mergeCell ref="R5:R6"/>
    <mergeCell ref="S5:S6"/>
    <mergeCell ref="T5:T6"/>
    <mergeCell ref="U5:U6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69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89"/>
  <sheetViews>
    <sheetView zoomScalePageLayoutView="0" workbookViewId="0" topLeftCell="A1">
      <pane xSplit="3" ySplit="3" topLeftCell="D5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:M2"/>
    </sheetView>
  </sheetViews>
  <sheetFormatPr defaultColWidth="9.00390625" defaultRowHeight="12.75"/>
  <cols>
    <col min="1" max="1" width="5.375" style="241" customWidth="1"/>
    <col min="2" max="2" width="29.875" style="241" customWidth="1"/>
    <col min="3" max="3" width="14.375" style="241" customWidth="1"/>
    <col min="4" max="4" width="11.75390625" style="241" customWidth="1"/>
    <col min="5" max="5" width="12.75390625" style="241" customWidth="1"/>
    <col min="6" max="6" width="12.625" style="241" customWidth="1"/>
    <col min="7" max="7" width="11.00390625" style="241" customWidth="1"/>
    <col min="8" max="8" width="11.875" style="241" customWidth="1"/>
    <col min="9" max="9" width="10.125" style="241" customWidth="1"/>
    <col min="10" max="10" width="11.75390625" style="241" customWidth="1"/>
    <col min="11" max="11" width="12.00390625" style="241" customWidth="1"/>
    <col min="12" max="12" width="10.75390625" style="241" customWidth="1"/>
    <col min="13" max="13" width="16.125" style="241" customWidth="1"/>
    <col min="14" max="16384" width="9.125" style="241" customWidth="1"/>
  </cols>
  <sheetData>
    <row r="1" spans="8:16" ht="12.75">
      <c r="H1" s="919" t="s">
        <v>165</v>
      </c>
      <c r="I1" s="920"/>
      <c r="J1" s="920"/>
      <c r="K1" s="920"/>
      <c r="L1" s="920"/>
      <c r="M1" s="920"/>
      <c r="N1" s="137"/>
      <c r="O1" s="137"/>
      <c r="P1" s="137"/>
    </row>
    <row r="2" spans="1:21" ht="20.25" customHeight="1">
      <c r="A2" s="927" t="s">
        <v>100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236"/>
      <c r="O2" s="236"/>
      <c r="P2" s="236"/>
      <c r="Q2" s="236"/>
      <c r="R2" s="240"/>
      <c r="S2" s="240"/>
      <c r="T2" s="240"/>
      <c r="U2" s="236"/>
    </row>
    <row r="3" spans="1:21" ht="14.25" customHeight="1" thickBot="1">
      <c r="A3" s="317"/>
      <c r="B3" s="318"/>
      <c r="C3" s="318"/>
      <c r="D3" s="319"/>
      <c r="E3" s="319"/>
      <c r="F3" s="319"/>
      <c r="G3" s="319"/>
      <c r="H3" s="319"/>
      <c r="I3" s="319"/>
      <c r="J3" s="319"/>
      <c r="K3" s="319"/>
      <c r="L3" s="319"/>
      <c r="M3" s="318"/>
      <c r="N3" s="236"/>
      <c r="O3" s="236"/>
      <c r="P3" s="236"/>
      <c r="Q3" s="236"/>
      <c r="R3" s="240"/>
      <c r="S3" s="240"/>
      <c r="T3" s="240"/>
      <c r="U3" s="236"/>
    </row>
    <row r="4" spans="1:27" ht="16.5" thickBot="1">
      <c r="A4" s="941" t="s">
        <v>483</v>
      </c>
      <c r="B4" s="944" t="s">
        <v>300</v>
      </c>
      <c r="C4" s="947" t="s">
        <v>566</v>
      </c>
      <c r="D4" s="950" t="s">
        <v>565</v>
      </c>
      <c r="E4" s="951"/>
      <c r="F4" s="951"/>
      <c r="G4" s="951"/>
      <c r="H4" s="951"/>
      <c r="I4" s="951"/>
      <c r="J4" s="951"/>
      <c r="K4" s="951"/>
      <c r="L4" s="952"/>
      <c r="M4" s="959" t="s">
        <v>324</v>
      </c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42"/>
    </row>
    <row r="5" spans="1:13" ht="12.75" customHeight="1">
      <c r="A5" s="942"/>
      <c r="B5" s="945"/>
      <c r="C5" s="948"/>
      <c r="D5" s="932" t="s">
        <v>567</v>
      </c>
      <c r="E5" s="933"/>
      <c r="F5" s="933"/>
      <c r="G5" s="932" t="s">
        <v>568</v>
      </c>
      <c r="H5" s="933"/>
      <c r="I5" s="933"/>
      <c r="J5" s="932" t="s">
        <v>569</v>
      </c>
      <c r="K5" s="933"/>
      <c r="L5" s="934"/>
      <c r="M5" s="960"/>
    </row>
    <row r="6" spans="1:13" ht="12.75" customHeight="1">
      <c r="A6" s="942"/>
      <c r="B6" s="945"/>
      <c r="C6" s="948"/>
      <c r="D6" s="935"/>
      <c r="E6" s="936"/>
      <c r="F6" s="936"/>
      <c r="G6" s="935"/>
      <c r="H6" s="936"/>
      <c r="I6" s="936"/>
      <c r="J6" s="935"/>
      <c r="K6" s="936"/>
      <c r="L6" s="937"/>
      <c r="M6" s="960"/>
    </row>
    <row r="7" spans="1:13" ht="15.75" customHeight="1">
      <c r="A7" s="942"/>
      <c r="B7" s="945"/>
      <c r="C7" s="948"/>
      <c r="D7" s="938"/>
      <c r="E7" s="939"/>
      <c r="F7" s="939"/>
      <c r="G7" s="938"/>
      <c r="H7" s="939"/>
      <c r="I7" s="939"/>
      <c r="J7" s="938"/>
      <c r="K7" s="939"/>
      <c r="L7" s="940"/>
      <c r="M7" s="960"/>
    </row>
    <row r="8" spans="1:13" ht="24" customHeight="1">
      <c r="A8" s="943"/>
      <c r="B8" s="946"/>
      <c r="C8" s="949"/>
      <c r="D8" s="321" t="s">
        <v>440</v>
      </c>
      <c r="E8" s="322" t="s">
        <v>441</v>
      </c>
      <c r="F8" s="320" t="s">
        <v>442</v>
      </c>
      <c r="G8" s="321" t="s">
        <v>440</v>
      </c>
      <c r="H8" s="323" t="s">
        <v>441</v>
      </c>
      <c r="I8" s="323" t="s">
        <v>442</v>
      </c>
      <c r="J8" s="321" t="s">
        <v>440</v>
      </c>
      <c r="K8" s="322" t="s">
        <v>441</v>
      </c>
      <c r="L8" s="324" t="s">
        <v>442</v>
      </c>
      <c r="M8" s="961"/>
    </row>
    <row r="9" spans="1:13" ht="12.75">
      <c r="A9" s="243"/>
      <c r="B9" s="958" t="s">
        <v>50</v>
      </c>
      <c r="C9" s="953"/>
      <c r="D9" s="953"/>
      <c r="E9" s="953"/>
      <c r="F9" s="953"/>
      <c r="G9" s="953"/>
      <c r="H9" s="953"/>
      <c r="I9" s="953"/>
      <c r="J9" s="953"/>
      <c r="K9" s="953"/>
      <c r="L9" s="953"/>
      <c r="M9" s="954"/>
    </row>
    <row r="10" spans="1:13" ht="27.75" customHeight="1">
      <c r="A10" s="244" t="s">
        <v>412</v>
      </c>
      <c r="B10" s="325" t="s">
        <v>488</v>
      </c>
      <c r="C10" s="326" t="s">
        <v>570</v>
      </c>
      <c r="D10" s="327">
        <f>1000+1677+97+95-1000+39+242</f>
        <v>2150</v>
      </c>
      <c r="E10" s="328">
        <f>7500+22436+100-95-7500</f>
        <v>22441</v>
      </c>
      <c r="F10" s="329">
        <f aca="true" t="shared" si="0" ref="F10:F58">SUM(D10:E10)</f>
        <v>24591</v>
      </c>
      <c r="G10" s="247"/>
      <c r="H10" s="245"/>
      <c r="I10" s="330">
        <f aca="true" t="shared" si="1" ref="I10:I58">SUM(G10:H10)</f>
        <v>0</v>
      </c>
      <c r="J10" s="247"/>
      <c r="K10" s="246"/>
      <c r="L10" s="330">
        <f aca="true" t="shared" si="2" ref="L10:L58">SUM(J10:K10)</f>
        <v>0</v>
      </c>
      <c r="M10" s="331">
        <f aca="true" t="shared" si="3" ref="M10:M58">SUM(L10,I10,F10)</f>
        <v>24591</v>
      </c>
    </row>
    <row r="11" spans="1:13" ht="41.25" customHeight="1">
      <c r="A11" s="244" t="s">
        <v>413</v>
      </c>
      <c r="B11" s="332" t="s">
        <v>346</v>
      </c>
      <c r="C11" s="333" t="s">
        <v>571</v>
      </c>
      <c r="D11" s="327">
        <f>921+55</f>
        <v>976</v>
      </c>
      <c r="E11" s="334"/>
      <c r="F11" s="329">
        <f t="shared" si="0"/>
        <v>976</v>
      </c>
      <c r="G11" s="247"/>
      <c r="H11" s="245"/>
      <c r="I11" s="330">
        <f t="shared" si="1"/>
        <v>0</v>
      </c>
      <c r="J11" s="247"/>
      <c r="K11" s="246"/>
      <c r="L11" s="330">
        <f t="shared" si="2"/>
        <v>0</v>
      </c>
      <c r="M11" s="331">
        <f t="shared" si="3"/>
        <v>976</v>
      </c>
    </row>
    <row r="12" spans="1:13" ht="42.75" customHeight="1">
      <c r="A12" s="244" t="s">
        <v>414</v>
      </c>
      <c r="B12" s="332" t="s">
        <v>347</v>
      </c>
      <c r="C12" s="333" t="s">
        <v>571</v>
      </c>
      <c r="D12" s="327">
        <f>600+240+65</f>
        <v>905</v>
      </c>
      <c r="E12" s="334"/>
      <c r="F12" s="329">
        <f t="shared" si="0"/>
        <v>905</v>
      </c>
      <c r="G12" s="247"/>
      <c r="H12" s="245"/>
      <c r="I12" s="330">
        <f t="shared" si="1"/>
        <v>0</v>
      </c>
      <c r="J12" s="247"/>
      <c r="K12" s="246"/>
      <c r="L12" s="330">
        <f t="shared" si="2"/>
        <v>0</v>
      </c>
      <c r="M12" s="331">
        <f t="shared" si="3"/>
        <v>905</v>
      </c>
    </row>
    <row r="13" spans="1:13" ht="34.5" customHeight="1">
      <c r="A13" s="244" t="s">
        <v>415</v>
      </c>
      <c r="B13" s="332" t="s">
        <v>343</v>
      </c>
      <c r="C13" s="333" t="s">
        <v>576</v>
      </c>
      <c r="D13" s="327">
        <f>7555-400+1050+900+192</f>
        <v>9297</v>
      </c>
      <c r="E13" s="334"/>
      <c r="F13" s="329">
        <f t="shared" si="0"/>
        <v>9297</v>
      </c>
      <c r="G13" s="247"/>
      <c r="H13" s="245"/>
      <c r="I13" s="330">
        <f t="shared" si="1"/>
        <v>0</v>
      </c>
      <c r="J13" s="247"/>
      <c r="K13" s="246"/>
      <c r="L13" s="330">
        <f t="shared" si="2"/>
        <v>0</v>
      </c>
      <c r="M13" s="331">
        <f t="shared" si="3"/>
        <v>9297</v>
      </c>
    </row>
    <row r="14" spans="1:13" ht="34.5" customHeight="1">
      <c r="A14" s="244" t="s">
        <v>416</v>
      </c>
      <c r="B14" s="332" t="s">
        <v>172</v>
      </c>
      <c r="C14" s="333" t="s">
        <v>173</v>
      </c>
      <c r="D14" s="327">
        <f>26+17</f>
        <v>43</v>
      </c>
      <c r="E14" s="334">
        <f>3890099+4033</f>
        <v>3894132</v>
      </c>
      <c r="F14" s="329">
        <f t="shared" si="0"/>
        <v>3894175</v>
      </c>
      <c r="G14" s="247"/>
      <c r="H14" s="245"/>
      <c r="I14" s="330">
        <f t="shared" si="1"/>
        <v>0</v>
      </c>
      <c r="J14" s="247"/>
      <c r="K14" s="246"/>
      <c r="L14" s="330">
        <f t="shared" si="2"/>
        <v>0</v>
      </c>
      <c r="M14" s="331">
        <f t="shared" si="3"/>
        <v>3894175</v>
      </c>
    </row>
    <row r="15" spans="1:13" ht="29.25" customHeight="1">
      <c r="A15" s="244" t="s">
        <v>417</v>
      </c>
      <c r="B15" s="332" t="s">
        <v>277</v>
      </c>
      <c r="C15" s="333" t="s">
        <v>577</v>
      </c>
      <c r="D15" s="327">
        <f>6111+839+155</f>
        <v>7105</v>
      </c>
      <c r="E15" s="334"/>
      <c r="F15" s="329">
        <f t="shared" si="0"/>
        <v>7105</v>
      </c>
      <c r="G15" s="247"/>
      <c r="H15" s="245"/>
      <c r="I15" s="330">
        <f t="shared" si="1"/>
        <v>0</v>
      </c>
      <c r="J15" s="247"/>
      <c r="K15" s="246"/>
      <c r="L15" s="330">
        <f t="shared" si="2"/>
        <v>0</v>
      </c>
      <c r="M15" s="331">
        <f t="shared" si="3"/>
        <v>7105</v>
      </c>
    </row>
    <row r="16" spans="1:13" ht="26.25" customHeight="1">
      <c r="A16" s="244" t="s">
        <v>418</v>
      </c>
      <c r="B16" s="332" t="s">
        <v>351</v>
      </c>
      <c r="C16" s="335"/>
      <c r="D16" s="336"/>
      <c r="E16" s="337"/>
      <c r="F16" s="329">
        <f t="shared" si="0"/>
        <v>0</v>
      </c>
      <c r="G16" s="247">
        <v>326</v>
      </c>
      <c r="H16" s="245"/>
      <c r="I16" s="330">
        <f t="shared" si="1"/>
        <v>326</v>
      </c>
      <c r="J16" s="247"/>
      <c r="K16" s="246"/>
      <c r="L16" s="330">
        <f t="shared" si="2"/>
        <v>0</v>
      </c>
      <c r="M16" s="331">
        <f t="shared" si="3"/>
        <v>326</v>
      </c>
    </row>
    <row r="17" spans="1:13" ht="21" customHeight="1">
      <c r="A17" s="244" t="s">
        <v>419</v>
      </c>
      <c r="B17" s="332" t="s">
        <v>298</v>
      </c>
      <c r="C17" s="335" t="s">
        <v>578</v>
      </c>
      <c r="D17" s="336">
        <f>114615-119-16+4112+23+6+1086+76+21+73-189</f>
        <v>119688</v>
      </c>
      <c r="E17" s="337">
        <v>116</v>
      </c>
      <c r="F17" s="329">
        <f t="shared" si="0"/>
        <v>119804</v>
      </c>
      <c r="G17" s="247"/>
      <c r="H17" s="245"/>
      <c r="I17" s="330">
        <f t="shared" si="1"/>
        <v>0</v>
      </c>
      <c r="J17" s="247"/>
      <c r="K17" s="246"/>
      <c r="L17" s="330">
        <f t="shared" si="2"/>
        <v>0</v>
      </c>
      <c r="M17" s="331">
        <f t="shared" si="3"/>
        <v>119804</v>
      </c>
    </row>
    <row r="18" spans="1:13" ht="30" customHeight="1">
      <c r="A18" s="244" t="s">
        <v>420</v>
      </c>
      <c r="B18" s="332" t="s">
        <v>344</v>
      </c>
      <c r="C18" s="333" t="s">
        <v>579</v>
      </c>
      <c r="D18" s="327">
        <f>1126+3604-214</f>
        <v>4516</v>
      </c>
      <c r="E18" s="334">
        <f>400+296-400+232</f>
        <v>528</v>
      </c>
      <c r="F18" s="329">
        <f t="shared" si="0"/>
        <v>5044</v>
      </c>
      <c r="G18" s="247"/>
      <c r="H18" s="245"/>
      <c r="I18" s="330">
        <f t="shared" si="1"/>
        <v>0</v>
      </c>
      <c r="J18" s="247"/>
      <c r="K18" s="246"/>
      <c r="L18" s="330">
        <f t="shared" si="2"/>
        <v>0</v>
      </c>
      <c r="M18" s="331">
        <f t="shared" si="3"/>
        <v>5044</v>
      </c>
    </row>
    <row r="19" spans="1:13" ht="33" customHeight="1">
      <c r="A19" s="244" t="s">
        <v>421</v>
      </c>
      <c r="B19" s="332" t="s">
        <v>345</v>
      </c>
      <c r="C19" s="333" t="s">
        <v>579</v>
      </c>
      <c r="D19" s="327">
        <f>3601+22</f>
        <v>3623</v>
      </c>
      <c r="E19" s="334"/>
      <c r="F19" s="329">
        <f t="shared" si="0"/>
        <v>3623</v>
      </c>
      <c r="G19" s="247"/>
      <c r="H19" s="245"/>
      <c r="I19" s="330">
        <f t="shared" si="1"/>
        <v>0</v>
      </c>
      <c r="J19" s="247"/>
      <c r="K19" s="246"/>
      <c r="L19" s="330">
        <f t="shared" si="2"/>
        <v>0</v>
      </c>
      <c r="M19" s="331">
        <f t="shared" si="3"/>
        <v>3623</v>
      </c>
    </row>
    <row r="20" spans="1:13" ht="30" customHeight="1">
      <c r="A20" s="244" t="s">
        <v>422</v>
      </c>
      <c r="B20" s="332" t="s">
        <v>275</v>
      </c>
      <c r="C20" s="333" t="s">
        <v>580</v>
      </c>
      <c r="D20" s="327">
        <f>48691-8000+425+115+892+2352+1610+218+59+82+22+1400-1102-298+144+3840</f>
        <v>50450</v>
      </c>
      <c r="E20" s="334"/>
      <c r="F20" s="329">
        <f t="shared" si="0"/>
        <v>50450</v>
      </c>
      <c r="G20" s="247"/>
      <c r="H20" s="245"/>
      <c r="I20" s="330">
        <f t="shared" si="1"/>
        <v>0</v>
      </c>
      <c r="J20" s="247"/>
      <c r="K20" s="246"/>
      <c r="L20" s="330">
        <f t="shared" si="2"/>
        <v>0</v>
      </c>
      <c r="M20" s="331">
        <f t="shared" si="3"/>
        <v>50450</v>
      </c>
    </row>
    <row r="21" spans="1:13" ht="21.75" customHeight="1">
      <c r="A21" s="244" t="s">
        <v>423</v>
      </c>
      <c r="B21" s="332" t="s">
        <v>353</v>
      </c>
      <c r="C21" s="333" t="s">
        <v>577</v>
      </c>
      <c r="D21" s="327">
        <f>20424+400-300+859</f>
        <v>21383</v>
      </c>
      <c r="E21" s="334"/>
      <c r="F21" s="329">
        <f t="shared" si="0"/>
        <v>21383</v>
      </c>
      <c r="G21" s="247"/>
      <c r="H21" s="245"/>
      <c r="I21" s="330">
        <f t="shared" si="1"/>
        <v>0</v>
      </c>
      <c r="J21" s="247"/>
      <c r="K21" s="246"/>
      <c r="L21" s="330">
        <f t="shared" si="2"/>
        <v>0</v>
      </c>
      <c r="M21" s="331">
        <f t="shared" si="3"/>
        <v>21383</v>
      </c>
    </row>
    <row r="22" spans="1:13" ht="28.5" customHeight="1">
      <c r="A22" s="244" t="s">
        <v>424</v>
      </c>
      <c r="B22" s="332" t="s">
        <v>280</v>
      </c>
      <c r="C22" s="333" t="s">
        <v>581</v>
      </c>
      <c r="D22" s="683">
        <f>11439-780+703558+9300+318+318-859-450+44-1215+970-100+1427+4363+121+856+215+47-496+12160+88+367+2282</f>
        <v>743973</v>
      </c>
      <c r="E22" s="246">
        <v>9000</v>
      </c>
      <c r="F22" s="329">
        <f>SUM(D22:E22)</f>
        <v>752973</v>
      </c>
      <c r="G22" s="247">
        <f>945+255+1470</f>
        <v>2670</v>
      </c>
      <c r="I22" s="330">
        <f t="shared" si="1"/>
        <v>2670</v>
      </c>
      <c r="J22" s="247"/>
      <c r="K22" s="246"/>
      <c r="L22" s="330">
        <f t="shared" si="2"/>
        <v>0</v>
      </c>
      <c r="M22" s="331">
        <f t="shared" si="3"/>
        <v>755643</v>
      </c>
    </row>
    <row r="23" spans="1:13" ht="42.75" customHeight="1">
      <c r="A23" s="244" t="s">
        <v>425</v>
      </c>
      <c r="B23" s="332" t="s">
        <v>400</v>
      </c>
      <c r="C23" s="333" t="s">
        <v>579</v>
      </c>
      <c r="D23" s="327">
        <v>2000</v>
      </c>
      <c r="E23" s="334"/>
      <c r="F23" s="329">
        <f t="shared" si="0"/>
        <v>2000</v>
      </c>
      <c r="G23" s="247"/>
      <c r="H23" s="245"/>
      <c r="I23" s="330">
        <f t="shared" si="1"/>
        <v>0</v>
      </c>
      <c r="J23" s="247"/>
      <c r="K23" s="246"/>
      <c r="L23" s="330">
        <f t="shared" si="2"/>
        <v>0</v>
      </c>
      <c r="M23" s="331">
        <f t="shared" si="3"/>
        <v>2000</v>
      </c>
    </row>
    <row r="24" spans="1:13" ht="33.75" customHeight="1">
      <c r="A24" s="244" t="s">
        <v>426</v>
      </c>
      <c r="B24" s="332" t="s">
        <v>355</v>
      </c>
      <c r="C24" s="338"/>
      <c r="D24" s="339"/>
      <c r="E24" s="337"/>
      <c r="F24" s="329">
        <f t="shared" si="0"/>
        <v>0</v>
      </c>
      <c r="G24" s="247">
        <f>950+15+9+1100+1000+279+400+58+48</f>
        <v>3859</v>
      </c>
      <c r="H24" s="245"/>
      <c r="I24" s="330">
        <f t="shared" si="1"/>
        <v>3859</v>
      </c>
      <c r="J24" s="247"/>
      <c r="K24" s="246"/>
      <c r="L24" s="330">
        <f t="shared" si="2"/>
        <v>0</v>
      </c>
      <c r="M24" s="331">
        <f t="shared" si="3"/>
        <v>3859</v>
      </c>
    </row>
    <row r="25" spans="1:13" ht="21.75" customHeight="1">
      <c r="A25" s="244" t="s">
        <v>427</v>
      </c>
      <c r="B25" s="332" t="s">
        <v>357</v>
      </c>
      <c r="C25" s="333" t="s">
        <v>577</v>
      </c>
      <c r="D25" s="327">
        <f>28000</f>
        <v>28000</v>
      </c>
      <c r="E25" s="334"/>
      <c r="F25" s="329">
        <f t="shared" si="0"/>
        <v>28000</v>
      </c>
      <c r="G25" s="247"/>
      <c r="H25" s="245"/>
      <c r="I25" s="330">
        <f t="shared" si="1"/>
        <v>0</v>
      </c>
      <c r="J25" s="247"/>
      <c r="K25" s="246"/>
      <c r="L25" s="330">
        <f t="shared" si="2"/>
        <v>0</v>
      </c>
      <c r="M25" s="331">
        <f t="shared" si="3"/>
        <v>28000</v>
      </c>
    </row>
    <row r="26" spans="1:13" ht="36" customHeight="1">
      <c r="A26" s="244" t="s">
        <v>428</v>
      </c>
      <c r="B26" s="332" t="s">
        <v>496</v>
      </c>
      <c r="C26" s="333" t="s">
        <v>102</v>
      </c>
      <c r="D26" s="327">
        <f>41341+34+64-387-306-205-1050-300-44</f>
        <v>39147</v>
      </c>
      <c r="E26" s="334">
        <f>508+546+2158+306</f>
        <v>3518</v>
      </c>
      <c r="F26" s="329">
        <f t="shared" si="0"/>
        <v>42665</v>
      </c>
      <c r="G26" s="247">
        <f>98+150</f>
        <v>248</v>
      </c>
      <c r="H26" s="245">
        <f>59366+16627+28</f>
        <v>76021</v>
      </c>
      <c r="I26" s="330">
        <f t="shared" si="1"/>
        <v>76269</v>
      </c>
      <c r="J26" s="247"/>
      <c r="K26" s="246"/>
      <c r="L26" s="330">
        <f>SUM(J26:K26)</f>
        <v>0</v>
      </c>
      <c r="M26" s="331">
        <f>SUM(L26,I26,F26)</f>
        <v>118934</v>
      </c>
    </row>
    <row r="27" spans="1:13" ht="19.5" customHeight="1">
      <c r="A27" s="244" t="s">
        <v>429</v>
      </c>
      <c r="B27" s="332" t="s">
        <v>246</v>
      </c>
      <c r="C27" s="333" t="s">
        <v>103</v>
      </c>
      <c r="D27" s="327">
        <f>8393+7</f>
        <v>8400</v>
      </c>
      <c r="E27" s="334"/>
      <c r="F27" s="329">
        <f t="shared" si="0"/>
        <v>8400</v>
      </c>
      <c r="G27" s="247"/>
      <c r="H27" s="245"/>
      <c r="I27" s="330">
        <f t="shared" si="1"/>
        <v>0</v>
      </c>
      <c r="J27" s="247"/>
      <c r="K27" s="245"/>
      <c r="L27" s="330">
        <f>SUM(J27:K27)</f>
        <v>0</v>
      </c>
      <c r="M27" s="331">
        <f>SUM(L27,I27,F27)</f>
        <v>8400</v>
      </c>
    </row>
    <row r="28" spans="1:13" ht="27.75" customHeight="1">
      <c r="A28" s="244" t="s">
        <v>430</v>
      </c>
      <c r="B28" s="332" t="s">
        <v>371</v>
      </c>
      <c r="C28" s="338"/>
      <c r="D28" s="339"/>
      <c r="E28" s="340"/>
      <c r="F28" s="329">
        <f t="shared" si="0"/>
        <v>0</v>
      </c>
      <c r="G28" s="247">
        <v>80</v>
      </c>
      <c r="H28" s="245">
        <f>503658-462071-1396+1053-845-208</f>
        <v>40191</v>
      </c>
      <c r="I28" s="330">
        <f t="shared" si="1"/>
        <v>40271</v>
      </c>
      <c r="J28" s="247"/>
      <c r="K28" s="245"/>
      <c r="L28" s="330">
        <f t="shared" si="2"/>
        <v>0</v>
      </c>
      <c r="M28" s="331">
        <f t="shared" si="3"/>
        <v>40271</v>
      </c>
    </row>
    <row r="29" spans="1:13" ht="39" customHeight="1">
      <c r="A29" s="244" t="s">
        <v>431</v>
      </c>
      <c r="B29" s="332" t="s">
        <v>372</v>
      </c>
      <c r="C29" s="333" t="s">
        <v>582</v>
      </c>
      <c r="D29" s="327">
        <f>4366+2054-3888-64-97-55-82-210+198-18-150+240+3000+10+1-74-95-82-22</f>
        <v>5032</v>
      </c>
      <c r="E29" s="334"/>
      <c r="F29" s="329">
        <f t="shared" si="0"/>
        <v>5032</v>
      </c>
      <c r="G29" s="247">
        <f>2650-500-500-1650</f>
        <v>0</v>
      </c>
      <c r="H29" s="245"/>
      <c r="I29" s="330">
        <f t="shared" si="1"/>
        <v>0</v>
      </c>
      <c r="J29" s="247"/>
      <c r="K29" s="246"/>
      <c r="L29" s="330">
        <f t="shared" si="2"/>
        <v>0</v>
      </c>
      <c r="M29" s="331">
        <f t="shared" si="3"/>
        <v>5032</v>
      </c>
    </row>
    <row r="30" spans="1:13" ht="30" customHeight="1">
      <c r="A30" s="244" t="s">
        <v>432</v>
      </c>
      <c r="B30" s="332" t="s">
        <v>374</v>
      </c>
      <c r="C30" s="333" t="s">
        <v>583</v>
      </c>
      <c r="D30" s="327"/>
      <c r="E30" s="334"/>
      <c r="F30" s="329">
        <f t="shared" si="0"/>
        <v>0</v>
      </c>
      <c r="G30" s="247"/>
      <c r="H30" s="245"/>
      <c r="I30" s="330">
        <f t="shared" si="1"/>
        <v>0</v>
      </c>
      <c r="J30" s="247">
        <f>36596+77+1720+284+76+34+9-129-22+22</f>
        <v>38667</v>
      </c>
      <c r="K30" s="246">
        <v>129</v>
      </c>
      <c r="L30" s="330">
        <f t="shared" si="2"/>
        <v>38796</v>
      </c>
      <c r="M30" s="331">
        <f t="shared" si="3"/>
        <v>38796</v>
      </c>
    </row>
    <row r="31" spans="1:13" ht="23.25" customHeight="1">
      <c r="A31" s="244" t="s">
        <v>433</v>
      </c>
      <c r="B31" s="332" t="s">
        <v>490</v>
      </c>
      <c r="C31" s="333" t="s">
        <v>584</v>
      </c>
      <c r="D31" s="327">
        <f>1000+400-1000-400</f>
        <v>0</v>
      </c>
      <c r="E31" s="334"/>
      <c r="F31" s="329">
        <f t="shared" si="0"/>
        <v>0</v>
      </c>
      <c r="G31" s="247"/>
      <c r="H31" s="245"/>
      <c r="I31" s="330">
        <f t="shared" si="1"/>
        <v>0</v>
      </c>
      <c r="J31" s="247"/>
      <c r="K31" s="246"/>
      <c r="L31" s="330">
        <f t="shared" si="2"/>
        <v>0</v>
      </c>
      <c r="M31" s="331">
        <f t="shared" si="3"/>
        <v>0</v>
      </c>
    </row>
    <row r="32" spans="1:13" ht="27" customHeight="1">
      <c r="A32" s="244" t="s">
        <v>585</v>
      </c>
      <c r="B32" s="332" t="s">
        <v>517</v>
      </c>
      <c r="C32" s="333" t="s">
        <v>114</v>
      </c>
      <c r="D32" s="683"/>
      <c r="E32" s="684"/>
      <c r="F32" s="688">
        <f t="shared" si="0"/>
        <v>0</v>
      </c>
      <c r="G32" s="687">
        <v>606</v>
      </c>
      <c r="H32" s="245"/>
      <c r="I32" s="330">
        <f>SUM(G32:H32)</f>
        <v>606</v>
      </c>
      <c r="J32" s="247"/>
      <c r="K32" s="246"/>
      <c r="L32" s="330">
        <f t="shared" si="2"/>
        <v>0</v>
      </c>
      <c r="M32" s="331">
        <f t="shared" si="3"/>
        <v>606</v>
      </c>
    </row>
    <row r="33" spans="1:13" ht="25.5" customHeight="1">
      <c r="A33" s="244" t="s">
        <v>587</v>
      </c>
      <c r="B33" s="332" t="s">
        <v>283</v>
      </c>
      <c r="C33" s="338"/>
      <c r="D33" s="339"/>
      <c r="E33" s="340"/>
      <c r="F33" s="329">
        <f t="shared" si="0"/>
        <v>0</v>
      </c>
      <c r="G33" s="247">
        <v>10066</v>
      </c>
      <c r="H33" s="245"/>
      <c r="I33" s="330">
        <f t="shared" si="1"/>
        <v>10066</v>
      </c>
      <c r="J33" s="247"/>
      <c r="K33" s="246"/>
      <c r="L33" s="330">
        <f t="shared" si="2"/>
        <v>0</v>
      </c>
      <c r="M33" s="331">
        <f t="shared" si="3"/>
        <v>10066</v>
      </c>
    </row>
    <row r="34" spans="1:13" ht="27.75" customHeight="1">
      <c r="A34" s="244" t="s">
        <v>589</v>
      </c>
      <c r="B34" s="341" t="s">
        <v>376</v>
      </c>
      <c r="C34" s="333" t="s">
        <v>586</v>
      </c>
      <c r="D34" s="327">
        <v>360</v>
      </c>
      <c r="E34" s="334"/>
      <c r="F34" s="329">
        <f t="shared" si="0"/>
        <v>360</v>
      </c>
      <c r="G34" s="247"/>
      <c r="H34" s="245"/>
      <c r="I34" s="330">
        <f t="shared" si="1"/>
        <v>0</v>
      </c>
      <c r="J34" s="247"/>
      <c r="K34" s="246"/>
      <c r="L34" s="330">
        <f t="shared" si="2"/>
        <v>0</v>
      </c>
      <c r="M34" s="331">
        <f t="shared" si="3"/>
        <v>360</v>
      </c>
    </row>
    <row r="35" spans="1:13" ht="24.75" customHeight="1">
      <c r="A35" s="244" t="s">
        <v>544</v>
      </c>
      <c r="B35" s="332" t="s">
        <v>378</v>
      </c>
      <c r="C35" s="333" t="s">
        <v>588</v>
      </c>
      <c r="D35" s="327">
        <f>28595-800+377+102+51+14</f>
        <v>28339</v>
      </c>
      <c r="E35" s="334"/>
      <c r="F35" s="329">
        <f t="shared" si="0"/>
        <v>28339</v>
      </c>
      <c r="G35" s="247"/>
      <c r="H35" s="245"/>
      <c r="I35" s="330">
        <f t="shared" si="1"/>
        <v>0</v>
      </c>
      <c r="J35" s="247"/>
      <c r="K35" s="246"/>
      <c r="L35" s="330">
        <f t="shared" si="2"/>
        <v>0</v>
      </c>
      <c r="M35" s="331">
        <f t="shared" si="3"/>
        <v>28339</v>
      </c>
    </row>
    <row r="36" spans="1:13" ht="28.5" customHeight="1">
      <c r="A36" s="244" t="s">
        <v>592</v>
      </c>
      <c r="B36" s="332" t="s">
        <v>380</v>
      </c>
      <c r="C36" s="333" t="s">
        <v>590</v>
      </c>
      <c r="D36" s="327">
        <v>120</v>
      </c>
      <c r="E36" s="334"/>
      <c r="F36" s="329">
        <f t="shared" si="0"/>
        <v>120</v>
      </c>
      <c r="G36" s="247"/>
      <c r="H36" s="245"/>
      <c r="I36" s="330">
        <f t="shared" si="1"/>
        <v>0</v>
      </c>
      <c r="J36" s="247"/>
      <c r="K36" s="246"/>
      <c r="L36" s="330">
        <f t="shared" si="2"/>
        <v>0</v>
      </c>
      <c r="M36" s="331">
        <f t="shared" si="3"/>
        <v>120</v>
      </c>
    </row>
    <row r="37" spans="1:13" s="342" customFormat="1" ht="36.75" customHeight="1">
      <c r="A37" s="244" t="s">
        <v>434</v>
      </c>
      <c r="B37" s="332" t="s">
        <v>497</v>
      </c>
      <c r="C37" s="333" t="s">
        <v>591</v>
      </c>
      <c r="D37" s="327">
        <f>13303-300+289+78+43+12+469+126+37+10</f>
        <v>14067</v>
      </c>
      <c r="E37" s="334"/>
      <c r="F37" s="329">
        <f t="shared" si="0"/>
        <v>14067</v>
      </c>
      <c r="G37" s="247"/>
      <c r="H37" s="245"/>
      <c r="I37" s="330">
        <f t="shared" si="1"/>
        <v>0</v>
      </c>
      <c r="J37" s="247"/>
      <c r="K37" s="246"/>
      <c r="L37" s="330">
        <f t="shared" si="2"/>
        <v>0</v>
      </c>
      <c r="M37" s="331">
        <f t="shared" si="3"/>
        <v>14067</v>
      </c>
    </row>
    <row r="38" spans="1:13" ht="38.25" customHeight="1">
      <c r="A38" s="244" t="s">
        <v>435</v>
      </c>
      <c r="B38" s="343" t="s">
        <v>514</v>
      </c>
      <c r="C38" s="344" t="s">
        <v>593</v>
      </c>
      <c r="D38" s="345"/>
      <c r="E38" s="346"/>
      <c r="F38" s="329">
        <f t="shared" si="0"/>
        <v>0</v>
      </c>
      <c r="G38" s="347">
        <v>1725</v>
      </c>
      <c r="H38" s="249"/>
      <c r="I38" s="330">
        <f t="shared" si="1"/>
        <v>1725</v>
      </c>
      <c r="J38" s="347"/>
      <c r="K38" s="250"/>
      <c r="L38" s="330">
        <f t="shared" si="2"/>
        <v>0</v>
      </c>
      <c r="M38" s="331">
        <f t="shared" si="3"/>
        <v>1725</v>
      </c>
    </row>
    <row r="39" spans="1:13" ht="38.25" customHeight="1">
      <c r="A39" s="244" t="s">
        <v>436</v>
      </c>
      <c r="B39" s="343" t="s">
        <v>520</v>
      </c>
      <c r="C39" s="333" t="s">
        <v>594</v>
      </c>
      <c r="D39" s="327">
        <f>8903+2129</f>
        <v>11032</v>
      </c>
      <c r="E39" s="334"/>
      <c r="F39" s="329">
        <f t="shared" si="0"/>
        <v>11032</v>
      </c>
      <c r="G39" s="347"/>
      <c r="H39" s="249"/>
      <c r="I39" s="330">
        <f t="shared" si="1"/>
        <v>0</v>
      </c>
      <c r="J39" s="347"/>
      <c r="K39" s="250"/>
      <c r="L39" s="330">
        <f t="shared" si="2"/>
        <v>0</v>
      </c>
      <c r="M39" s="331">
        <f t="shared" si="3"/>
        <v>11032</v>
      </c>
    </row>
    <row r="40" spans="1:13" ht="18" customHeight="1">
      <c r="A40" s="244" t="s">
        <v>595</v>
      </c>
      <c r="B40" s="343" t="s">
        <v>521</v>
      </c>
      <c r="C40" s="348"/>
      <c r="D40" s="349"/>
      <c r="E40" s="350"/>
      <c r="F40" s="329">
        <f t="shared" si="0"/>
        <v>0</v>
      </c>
      <c r="G40" s="347">
        <v>2992</v>
      </c>
      <c r="H40" s="249"/>
      <c r="I40" s="330">
        <f t="shared" si="1"/>
        <v>2992</v>
      </c>
      <c r="J40" s="347"/>
      <c r="K40" s="250"/>
      <c r="L40" s="330">
        <f t="shared" si="2"/>
        <v>0</v>
      </c>
      <c r="M40" s="331">
        <f t="shared" si="3"/>
        <v>2992</v>
      </c>
    </row>
    <row r="41" spans="1:13" ht="18.75" customHeight="1">
      <c r="A41" s="244" t="s">
        <v>437</v>
      </c>
      <c r="B41" s="343" t="s">
        <v>524</v>
      </c>
      <c r="C41" s="335" t="s">
        <v>596</v>
      </c>
      <c r="D41" s="336">
        <f>8072+2129</f>
        <v>10201</v>
      </c>
      <c r="E41" s="337"/>
      <c r="F41" s="329">
        <f t="shared" si="0"/>
        <v>10201</v>
      </c>
      <c r="G41" s="347"/>
      <c r="H41" s="249"/>
      <c r="I41" s="330">
        <f t="shared" si="1"/>
        <v>0</v>
      </c>
      <c r="J41" s="347"/>
      <c r="K41" s="250"/>
      <c r="L41" s="330">
        <f t="shared" si="2"/>
        <v>0</v>
      </c>
      <c r="M41" s="331">
        <f t="shared" si="3"/>
        <v>10201</v>
      </c>
    </row>
    <row r="42" spans="1:13" ht="24" customHeight="1">
      <c r="A42" s="244" t="s">
        <v>495</v>
      </c>
      <c r="B42" s="332" t="s">
        <v>525</v>
      </c>
      <c r="C42" s="335" t="s">
        <v>597</v>
      </c>
      <c r="D42" s="336">
        <v>4044</v>
      </c>
      <c r="E42" s="337"/>
      <c r="F42" s="329">
        <f t="shared" si="0"/>
        <v>4044</v>
      </c>
      <c r="G42" s="247"/>
      <c r="H42" s="245"/>
      <c r="I42" s="330">
        <f t="shared" si="1"/>
        <v>0</v>
      </c>
      <c r="J42" s="247"/>
      <c r="K42" s="246"/>
      <c r="L42" s="330">
        <f t="shared" si="2"/>
        <v>0</v>
      </c>
      <c r="M42" s="331">
        <f t="shared" si="3"/>
        <v>4044</v>
      </c>
    </row>
    <row r="43" spans="1:13" ht="27" customHeight="1">
      <c r="A43" s="244" t="s">
        <v>599</v>
      </c>
      <c r="B43" s="332" t="s">
        <v>526</v>
      </c>
      <c r="C43" s="335" t="s">
        <v>598</v>
      </c>
      <c r="D43" s="336">
        <v>2632</v>
      </c>
      <c r="E43" s="337"/>
      <c r="F43" s="329">
        <f t="shared" si="0"/>
        <v>2632</v>
      </c>
      <c r="G43" s="247"/>
      <c r="H43" s="245"/>
      <c r="I43" s="330">
        <f t="shared" si="1"/>
        <v>0</v>
      </c>
      <c r="J43" s="247"/>
      <c r="K43" s="246"/>
      <c r="L43" s="330">
        <f t="shared" si="2"/>
        <v>0</v>
      </c>
      <c r="M43" s="331">
        <f t="shared" si="3"/>
        <v>2632</v>
      </c>
    </row>
    <row r="44" spans="1:13" ht="30.75" customHeight="1">
      <c r="A44" s="244" t="s">
        <v>600</v>
      </c>
      <c r="B44" s="332" t="s">
        <v>527</v>
      </c>
      <c r="C44" s="335"/>
      <c r="D44" s="336"/>
      <c r="E44" s="337"/>
      <c r="F44" s="329">
        <f t="shared" si="0"/>
        <v>0</v>
      </c>
      <c r="G44" s="247">
        <f>16477+10000+498</f>
        <v>26975</v>
      </c>
      <c r="H44" s="245"/>
      <c r="I44" s="330">
        <f t="shared" si="1"/>
        <v>26975</v>
      </c>
      <c r="J44" s="247"/>
      <c r="K44" s="246"/>
      <c r="L44" s="330">
        <f t="shared" si="2"/>
        <v>0</v>
      </c>
      <c r="M44" s="331">
        <f t="shared" si="3"/>
        <v>26975</v>
      </c>
    </row>
    <row r="45" spans="1:13" ht="27" customHeight="1">
      <c r="A45" s="244" t="s">
        <v>601</v>
      </c>
      <c r="B45" s="332" t="s">
        <v>528</v>
      </c>
      <c r="C45" s="335" t="s">
        <v>596</v>
      </c>
      <c r="D45" s="336">
        <v>3294</v>
      </c>
      <c r="E45" s="337"/>
      <c r="F45" s="329">
        <f t="shared" si="0"/>
        <v>3294</v>
      </c>
      <c r="G45" s="247"/>
      <c r="H45" s="245"/>
      <c r="I45" s="330">
        <f t="shared" si="1"/>
        <v>0</v>
      </c>
      <c r="J45" s="247"/>
      <c r="K45" s="246"/>
      <c r="L45" s="330">
        <f t="shared" si="2"/>
        <v>0</v>
      </c>
      <c r="M45" s="331">
        <f t="shared" si="3"/>
        <v>3294</v>
      </c>
    </row>
    <row r="46" spans="1:13" ht="32.25" customHeight="1">
      <c r="A46" s="244" t="s">
        <v>602</v>
      </c>
      <c r="B46" s="332" t="s">
        <v>529</v>
      </c>
      <c r="C46" s="335"/>
      <c r="D46" s="336"/>
      <c r="E46" s="337"/>
      <c r="F46" s="329">
        <f t="shared" si="0"/>
        <v>0</v>
      </c>
      <c r="G46" s="247">
        <f>737+933</f>
        <v>1670</v>
      </c>
      <c r="H46" s="245"/>
      <c r="I46" s="330">
        <f t="shared" si="1"/>
        <v>1670</v>
      </c>
      <c r="J46" s="247"/>
      <c r="K46" s="246"/>
      <c r="L46" s="330">
        <f t="shared" si="2"/>
        <v>0</v>
      </c>
      <c r="M46" s="331">
        <f t="shared" si="3"/>
        <v>1670</v>
      </c>
    </row>
    <row r="47" spans="1:13" s="342" customFormat="1" ht="22.5">
      <c r="A47" s="244" t="s">
        <v>603</v>
      </c>
      <c r="B47" s="332" t="s">
        <v>383</v>
      </c>
      <c r="C47" s="326" t="s">
        <v>604</v>
      </c>
      <c r="D47" s="351">
        <f>1500-300-124+5</f>
        <v>1081</v>
      </c>
      <c r="E47" s="328"/>
      <c r="F47" s="329">
        <f t="shared" si="0"/>
        <v>1081</v>
      </c>
      <c r="G47" s="247"/>
      <c r="H47" s="245"/>
      <c r="I47" s="330">
        <f t="shared" si="1"/>
        <v>0</v>
      </c>
      <c r="J47" s="247"/>
      <c r="K47" s="246"/>
      <c r="L47" s="330">
        <f t="shared" si="2"/>
        <v>0</v>
      </c>
      <c r="M47" s="331">
        <f t="shared" si="3"/>
        <v>1081</v>
      </c>
    </row>
    <row r="48" spans="1:13" ht="31.5" customHeight="1">
      <c r="A48" s="244" t="s">
        <v>605</v>
      </c>
      <c r="B48" s="332" t="s">
        <v>385</v>
      </c>
      <c r="C48" s="326" t="s">
        <v>606</v>
      </c>
      <c r="D48" s="351">
        <f>95-5</f>
        <v>90</v>
      </c>
      <c r="E48" s="328"/>
      <c r="F48" s="329">
        <f t="shared" si="0"/>
        <v>90</v>
      </c>
      <c r="G48" s="247"/>
      <c r="H48" s="245"/>
      <c r="I48" s="330">
        <f t="shared" si="1"/>
        <v>0</v>
      </c>
      <c r="J48" s="247"/>
      <c r="K48" s="246"/>
      <c r="L48" s="330">
        <f t="shared" si="2"/>
        <v>0</v>
      </c>
      <c r="M48" s="331">
        <f t="shared" si="3"/>
        <v>90</v>
      </c>
    </row>
    <row r="49" spans="1:13" ht="18.75" customHeight="1">
      <c r="A49" s="244" t="s">
        <v>607</v>
      </c>
      <c r="B49" s="332" t="s">
        <v>387</v>
      </c>
      <c r="C49" s="326" t="s">
        <v>608</v>
      </c>
      <c r="D49" s="351">
        <f>1200-200+135+346+151</f>
        <v>1632</v>
      </c>
      <c r="E49" s="328"/>
      <c r="F49" s="329">
        <f t="shared" si="0"/>
        <v>1632</v>
      </c>
      <c r="G49" s="247"/>
      <c r="H49" s="245"/>
      <c r="I49" s="330">
        <f t="shared" si="1"/>
        <v>0</v>
      </c>
      <c r="J49" s="247"/>
      <c r="K49" s="246"/>
      <c r="L49" s="330">
        <f t="shared" si="2"/>
        <v>0</v>
      </c>
      <c r="M49" s="331">
        <f t="shared" si="3"/>
        <v>1632</v>
      </c>
    </row>
    <row r="50" spans="1:13" ht="18.75" customHeight="1">
      <c r="A50" s="244" t="s">
        <v>609</v>
      </c>
      <c r="B50" s="332" t="s">
        <v>248</v>
      </c>
      <c r="C50" s="333" t="s">
        <v>104</v>
      </c>
      <c r="D50" s="327">
        <v>8</v>
      </c>
      <c r="E50" s="334"/>
      <c r="F50" s="329">
        <f t="shared" si="0"/>
        <v>8</v>
      </c>
      <c r="G50" s="247"/>
      <c r="H50" s="245"/>
      <c r="I50" s="330">
        <f t="shared" si="1"/>
        <v>0</v>
      </c>
      <c r="J50" s="247"/>
      <c r="K50" s="246"/>
      <c r="L50" s="330">
        <f t="shared" si="2"/>
        <v>0</v>
      </c>
      <c r="M50" s="331">
        <f t="shared" si="3"/>
        <v>8</v>
      </c>
    </row>
    <row r="51" spans="1:13" ht="18.75" customHeight="1">
      <c r="A51" s="244" t="s">
        <v>610</v>
      </c>
      <c r="B51" s="332" t="s">
        <v>105</v>
      </c>
      <c r="C51" s="333" t="s">
        <v>611</v>
      </c>
      <c r="D51" s="327">
        <f>13796+4277+577+453+61+227+30</f>
        <v>19421</v>
      </c>
      <c r="E51" s="334"/>
      <c r="F51" s="329">
        <f t="shared" si="0"/>
        <v>19421</v>
      </c>
      <c r="G51" s="247"/>
      <c r="H51" s="245"/>
      <c r="I51" s="330">
        <f t="shared" si="1"/>
        <v>0</v>
      </c>
      <c r="J51" s="247"/>
      <c r="K51" s="246"/>
      <c r="L51" s="330">
        <f t="shared" si="2"/>
        <v>0</v>
      </c>
      <c r="M51" s="331">
        <f t="shared" si="3"/>
        <v>19421</v>
      </c>
    </row>
    <row r="52" spans="1:13" ht="24" customHeight="1">
      <c r="A52" s="244" t="s">
        <v>878</v>
      </c>
      <c r="B52" s="332" t="s">
        <v>511</v>
      </c>
      <c r="C52" s="333" t="s">
        <v>611</v>
      </c>
      <c r="D52" s="327">
        <f>17421+10+112484+15185+2905+82-2606-351-136+14822-4277-577+76+10+155+51-155-51+341-341+509-604+133-133+837+9+2-848-39</f>
        <v>154914</v>
      </c>
      <c r="E52" s="334">
        <f>38612-1974-14822+2740+95+39</f>
        <v>24690</v>
      </c>
      <c r="F52" s="329">
        <f t="shared" si="0"/>
        <v>179604</v>
      </c>
      <c r="G52" s="247"/>
      <c r="H52" s="245"/>
      <c r="I52" s="330">
        <f t="shared" si="1"/>
        <v>0</v>
      </c>
      <c r="J52" s="247"/>
      <c r="K52" s="246"/>
      <c r="L52" s="330">
        <f t="shared" si="2"/>
        <v>0</v>
      </c>
      <c r="M52" s="331">
        <f t="shared" si="3"/>
        <v>179604</v>
      </c>
    </row>
    <row r="53" spans="1:13" ht="24" customHeight="1">
      <c r="A53" s="244" t="s">
        <v>879</v>
      </c>
      <c r="B53" s="332" t="s">
        <v>845</v>
      </c>
      <c r="C53" s="333" t="s">
        <v>611</v>
      </c>
      <c r="D53" s="327">
        <f>3700+499</f>
        <v>4199</v>
      </c>
      <c r="E53" s="334"/>
      <c r="F53" s="329">
        <f t="shared" si="0"/>
        <v>4199</v>
      </c>
      <c r="G53" s="247"/>
      <c r="H53" s="245"/>
      <c r="I53" s="330">
        <f t="shared" si="1"/>
        <v>0</v>
      </c>
      <c r="J53" s="247"/>
      <c r="K53" s="246"/>
      <c r="L53" s="330">
        <f t="shared" si="2"/>
        <v>0</v>
      </c>
      <c r="M53" s="331">
        <f t="shared" si="3"/>
        <v>4199</v>
      </c>
    </row>
    <row r="54" spans="1:13" ht="24" customHeight="1">
      <c r="A54" s="244" t="s">
        <v>880</v>
      </c>
      <c r="B54" s="332" t="s">
        <v>847</v>
      </c>
      <c r="C54" s="333"/>
      <c r="D54" s="327"/>
      <c r="E54" s="334"/>
      <c r="F54" s="329">
        <f t="shared" si="0"/>
        <v>0</v>
      </c>
      <c r="G54" s="247">
        <f>378+110</f>
        <v>488</v>
      </c>
      <c r="H54" s="245">
        <f>1650+9067+7580+6</f>
        <v>18303</v>
      </c>
      <c r="I54" s="330">
        <f t="shared" si="1"/>
        <v>18791</v>
      </c>
      <c r="J54" s="247"/>
      <c r="K54" s="246"/>
      <c r="L54" s="330">
        <f t="shared" si="2"/>
        <v>0</v>
      </c>
      <c r="M54" s="331">
        <f t="shared" si="3"/>
        <v>18791</v>
      </c>
    </row>
    <row r="55" spans="1:13" ht="24.75" customHeight="1">
      <c r="A55" s="244" t="s">
        <v>881</v>
      </c>
      <c r="B55" s="332" t="s">
        <v>388</v>
      </c>
      <c r="C55" s="333" t="s">
        <v>612</v>
      </c>
      <c r="D55" s="327">
        <f>8938+33-33</f>
        <v>8938</v>
      </c>
      <c r="E55" s="334">
        <v>33</v>
      </c>
      <c r="F55" s="329">
        <f t="shared" si="0"/>
        <v>8971</v>
      </c>
      <c r="G55" s="247"/>
      <c r="H55" s="245"/>
      <c r="I55" s="330">
        <f t="shared" si="1"/>
        <v>0</v>
      </c>
      <c r="J55" s="247"/>
      <c r="K55" s="246"/>
      <c r="L55" s="330">
        <f t="shared" si="2"/>
        <v>0</v>
      </c>
      <c r="M55" s="331">
        <f t="shared" si="3"/>
        <v>8971</v>
      </c>
    </row>
    <row r="56" spans="1:13" ht="29.25" customHeight="1">
      <c r="A56" s="244" t="s">
        <v>116</v>
      </c>
      <c r="B56" s="332" t="s">
        <v>285</v>
      </c>
      <c r="C56" s="326"/>
      <c r="D56" s="351"/>
      <c r="E56" s="328"/>
      <c r="F56" s="329">
        <f t="shared" si="0"/>
        <v>0</v>
      </c>
      <c r="G56" s="247">
        <v>168</v>
      </c>
      <c r="H56" s="245"/>
      <c r="I56" s="330">
        <f t="shared" si="1"/>
        <v>168</v>
      </c>
      <c r="J56" s="247"/>
      <c r="K56" s="246"/>
      <c r="L56" s="330">
        <f t="shared" si="2"/>
        <v>0</v>
      </c>
      <c r="M56" s="331">
        <f t="shared" si="3"/>
        <v>168</v>
      </c>
    </row>
    <row r="57" spans="1:13" ht="34.5" customHeight="1">
      <c r="A57" s="244" t="s">
        <v>848</v>
      </c>
      <c r="B57" s="332" t="s">
        <v>389</v>
      </c>
      <c r="C57" s="333" t="s">
        <v>613</v>
      </c>
      <c r="D57" s="327">
        <f>7745+22+3</f>
        <v>7770</v>
      </c>
      <c r="E57" s="334">
        <f>2324+226</f>
        <v>2550</v>
      </c>
      <c r="F57" s="329">
        <f t="shared" si="0"/>
        <v>10320</v>
      </c>
      <c r="G57" s="247"/>
      <c r="H57" s="245"/>
      <c r="I57" s="330">
        <f t="shared" si="1"/>
        <v>0</v>
      </c>
      <c r="J57" s="247"/>
      <c r="K57" s="246"/>
      <c r="L57" s="330">
        <f t="shared" si="2"/>
        <v>0</v>
      </c>
      <c r="M57" s="331">
        <f t="shared" si="3"/>
        <v>10320</v>
      </c>
    </row>
    <row r="58" spans="1:13" ht="39" customHeight="1">
      <c r="A58" s="244" t="s">
        <v>849</v>
      </c>
      <c r="B58" s="332" t="s">
        <v>390</v>
      </c>
      <c r="C58" s="333" t="s">
        <v>614</v>
      </c>
      <c r="D58" s="327">
        <v>20141</v>
      </c>
      <c r="E58" s="334">
        <f>3999+450</f>
        <v>4449</v>
      </c>
      <c r="F58" s="329">
        <f t="shared" si="0"/>
        <v>24590</v>
      </c>
      <c r="G58" s="247">
        <f>26+16+13+5926</f>
        <v>5981</v>
      </c>
      <c r="H58" s="245">
        <f>13979+532+64426+9307-5926</f>
        <v>82318</v>
      </c>
      <c r="I58" s="330">
        <f t="shared" si="1"/>
        <v>88299</v>
      </c>
      <c r="J58" s="247"/>
      <c r="K58" s="246"/>
      <c r="L58" s="330">
        <f t="shared" si="2"/>
        <v>0</v>
      </c>
      <c r="M58" s="331">
        <f t="shared" si="3"/>
        <v>112889</v>
      </c>
    </row>
    <row r="59" spans="1:13" s="248" customFormat="1" ht="13.5" thickBot="1">
      <c r="A59" s="955" t="s">
        <v>615</v>
      </c>
      <c r="B59" s="956"/>
      <c r="C59" s="957"/>
      <c r="D59" s="352">
        <f aca="true" t="shared" si="4" ref="D59:L59">SUM(D10:D58)</f>
        <v>1338971</v>
      </c>
      <c r="E59" s="353">
        <f t="shared" si="4"/>
        <v>3961457</v>
      </c>
      <c r="F59" s="352">
        <f t="shared" si="4"/>
        <v>5300428</v>
      </c>
      <c r="G59" s="354">
        <f t="shared" si="4"/>
        <v>57854</v>
      </c>
      <c r="H59" s="353">
        <f t="shared" si="4"/>
        <v>216833</v>
      </c>
      <c r="I59" s="355">
        <f t="shared" si="4"/>
        <v>274687</v>
      </c>
      <c r="J59" s="354">
        <f t="shared" si="4"/>
        <v>38667</v>
      </c>
      <c r="K59" s="353">
        <f t="shared" si="4"/>
        <v>129</v>
      </c>
      <c r="L59" s="352">
        <f t="shared" si="4"/>
        <v>38796</v>
      </c>
      <c r="M59" s="356">
        <f>SUM(F59,I59,L59)</f>
        <v>5613911</v>
      </c>
    </row>
    <row r="60" spans="1:13" s="248" customFormat="1" ht="12.75">
      <c r="A60" s="357"/>
      <c r="B60" s="358"/>
      <c r="C60" s="358"/>
      <c r="D60" s="358"/>
      <c r="E60" s="358"/>
      <c r="F60" s="359"/>
      <c r="G60" s="359"/>
      <c r="H60" s="359"/>
      <c r="I60" s="359"/>
      <c r="J60" s="359"/>
      <c r="K60" s="359"/>
      <c r="L60" s="359"/>
      <c r="M60" s="360"/>
    </row>
    <row r="61" spans="1:13" ht="12.75">
      <c r="A61" s="361"/>
      <c r="B61" s="953" t="s">
        <v>47</v>
      </c>
      <c r="C61" s="953"/>
      <c r="D61" s="953"/>
      <c r="E61" s="953"/>
      <c r="F61" s="953"/>
      <c r="G61" s="953"/>
      <c r="H61" s="953"/>
      <c r="I61" s="953"/>
      <c r="J61" s="953"/>
      <c r="K61" s="953"/>
      <c r="L61" s="953"/>
      <c r="M61" s="954"/>
    </row>
    <row r="62" spans="1:13" ht="18.75" customHeight="1">
      <c r="A62" s="362" t="s">
        <v>412</v>
      </c>
      <c r="B62" s="325" t="s">
        <v>922</v>
      </c>
      <c r="C62" s="326" t="s">
        <v>581</v>
      </c>
      <c r="D62" s="327">
        <f>177575+210-318+148+16+11+40+4+3-7657+164-164</f>
        <v>170032</v>
      </c>
      <c r="E62" s="328"/>
      <c r="F62" s="329">
        <f aca="true" t="shared" si="5" ref="F62:F71">SUM(D62:E62)</f>
        <v>170032</v>
      </c>
      <c r="G62" s="247"/>
      <c r="H62" s="245"/>
      <c r="I62" s="330"/>
      <c r="J62" s="247"/>
      <c r="K62" s="246"/>
      <c r="L62" s="330"/>
      <c r="M62" s="331">
        <f aca="true" t="shared" si="6" ref="M62:M71">SUM(F62,I62,L62)</f>
        <v>170032</v>
      </c>
    </row>
    <row r="63" spans="1:13" ht="22.5">
      <c r="A63" s="244" t="s">
        <v>413</v>
      </c>
      <c r="B63" s="332" t="s">
        <v>616</v>
      </c>
      <c r="C63" s="333" t="s">
        <v>443</v>
      </c>
      <c r="D63" s="327">
        <f>151475-656-1009+670-13596</f>
        <v>136884</v>
      </c>
      <c r="E63" s="334"/>
      <c r="F63" s="329">
        <f t="shared" si="5"/>
        <v>136884</v>
      </c>
      <c r="G63" s="247"/>
      <c r="H63" s="245"/>
      <c r="I63" s="330"/>
      <c r="J63" s="247"/>
      <c r="K63" s="246"/>
      <c r="L63" s="330"/>
      <c r="M63" s="331">
        <f t="shared" si="6"/>
        <v>136884</v>
      </c>
    </row>
    <row r="64" spans="1:13" ht="12.75">
      <c r="A64" s="244" t="s">
        <v>414</v>
      </c>
      <c r="B64" s="332" t="s">
        <v>617</v>
      </c>
      <c r="C64" s="333" t="s">
        <v>618</v>
      </c>
      <c r="D64" s="327">
        <v>548</v>
      </c>
      <c r="E64" s="334"/>
      <c r="F64" s="329">
        <f t="shared" si="5"/>
        <v>548</v>
      </c>
      <c r="G64" s="247"/>
      <c r="H64" s="245"/>
      <c r="I64" s="330"/>
      <c r="J64" s="247"/>
      <c r="K64" s="246"/>
      <c r="L64" s="330"/>
      <c r="M64" s="331">
        <f t="shared" si="6"/>
        <v>548</v>
      </c>
    </row>
    <row r="65" spans="1:13" ht="24">
      <c r="A65" s="244" t="s">
        <v>415</v>
      </c>
      <c r="B65" s="332" t="s">
        <v>619</v>
      </c>
      <c r="C65" s="333" t="s">
        <v>444</v>
      </c>
      <c r="D65" s="327">
        <f>32500-7352</f>
        <v>25148</v>
      </c>
      <c r="E65" s="334"/>
      <c r="F65" s="329">
        <f t="shared" si="5"/>
        <v>25148</v>
      </c>
      <c r="G65" s="247"/>
      <c r="H65" s="245"/>
      <c r="I65" s="330"/>
      <c r="J65" s="247"/>
      <c r="K65" s="246"/>
      <c r="L65" s="330"/>
      <c r="M65" s="331">
        <f t="shared" si="6"/>
        <v>25148</v>
      </c>
    </row>
    <row r="66" spans="1:13" ht="12.75">
      <c r="A66" s="244" t="s">
        <v>416</v>
      </c>
      <c r="B66" s="332" t="s">
        <v>620</v>
      </c>
      <c r="C66" s="333" t="s">
        <v>621</v>
      </c>
      <c r="D66" s="327">
        <f>2652+12</f>
        <v>2664</v>
      </c>
      <c r="E66" s="334"/>
      <c r="F66" s="329">
        <f t="shared" si="5"/>
        <v>2664</v>
      </c>
      <c r="G66" s="247"/>
      <c r="H66" s="245"/>
      <c r="I66" s="330"/>
      <c r="J66" s="247"/>
      <c r="K66" s="246"/>
      <c r="L66" s="330"/>
      <c r="M66" s="331">
        <f t="shared" si="6"/>
        <v>2664</v>
      </c>
    </row>
    <row r="67" spans="1:13" ht="12.75">
      <c r="A67" s="362" t="s">
        <v>417</v>
      </c>
      <c r="B67" s="332" t="s">
        <v>447</v>
      </c>
      <c r="C67" s="363" t="s">
        <v>448</v>
      </c>
      <c r="D67" s="336">
        <f>12084-1334-84</f>
        <v>10666</v>
      </c>
      <c r="E67" s="337"/>
      <c r="F67" s="329">
        <f t="shared" si="5"/>
        <v>10666</v>
      </c>
      <c r="G67" s="247"/>
      <c r="H67" s="245"/>
      <c r="I67" s="330"/>
      <c r="J67" s="247"/>
      <c r="K67" s="246"/>
      <c r="L67" s="330"/>
      <c r="M67" s="331">
        <f t="shared" si="6"/>
        <v>10666</v>
      </c>
    </row>
    <row r="68" spans="1:13" ht="22.5">
      <c r="A68" s="244" t="s">
        <v>418</v>
      </c>
      <c r="B68" s="332" t="s">
        <v>622</v>
      </c>
      <c r="C68" s="326" t="s">
        <v>623</v>
      </c>
      <c r="D68" s="351">
        <f>376+84-79</f>
        <v>381</v>
      </c>
      <c r="E68" s="328"/>
      <c r="F68" s="329">
        <f t="shared" si="5"/>
        <v>381</v>
      </c>
      <c r="G68" s="247"/>
      <c r="H68" s="245"/>
      <c r="I68" s="330"/>
      <c r="J68" s="247"/>
      <c r="K68" s="246"/>
      <c r="L68" s="330"/>
      <c r="M68" s="331">
        <f t="shared" si="6"/>
        <v>381</v>
      </c>
    </row>
    <row r="69" spans="1:13" ht="12.75">
      <c r="A69" s="244" t="s">
        <v>419</v>
      </c>
      <c r="B69" s="332" t="s">
        <v>624</v>
      </c>
      <c r="C69" s="335" t="s">
        <v>625</v>
      </c>
      <c r="D69" s="336">
        <f>2000-890</f>
        <v>1110</v>
      </c>
      <c r="E69" s="337"/>
      <c r="F69" s="329">
        <f t="shared" si="5"/>
        <v>1110</v>
      </c>
      <c r="G69" s="247"/>
      <c r="H69" s="245"/>
      <c r="I69" s="330"/>
      <c r="J69" s="247"/>
      <c r="K69" s="246"/>
      <c r="L69" s="330"/>
      <c r="M69" s="331">
        <f t="shared" si="6"/>
        <v>1110</v>
      </c>
    </row>
    <row r="70" spans="1:13" ht="12.75">
      <c r="A70" s="244" t="s">
        <v>420</v>
      </c>
      <c r="B70" s="332" t="s">
        <v>626</v>
      </c>
      <c r="C70" s="333" t="s">
        <v>627</v>
      </c>
      <c r="D70" s="327">
        <f>400-12</f>
        <v>388</v>
      </c>
      <c r="E70" s="334"/>
      <c r="F70" s="329">
        <f t="shared" si="5"/>
        <v>388</v>
      </c>
      <c r="G70" s="247"/>
      <c r="H70" s="245"/>
      <c r="I70" s="330"/>
      <c r="J70" s="247"/>
      <c r="K70" s="246"/>
      <c r="L70" s="330"/>
      <c r="M70" s="331">
        <f t="shared" si="6"/>
        <v>388</v>
      </c>
    </row>
    <row r="71" spans="1:13" ht="12.75">
      <c r="A71" s="244" t="s">
        <v>421</v>
      </c>
      <c r="B71" s="332" t="s">
        <v>628</v>
      </c>
      <c r="C71" s="333" t="s">
        <v>629</v>
      </c>
      <c r="D71" s="327"/>
      <c r="E71" s="334"/>
      <c r="F71" s="329">
        <f t="shared" si="5"/>
        <v>0</v>
      </c>
      <c r="G71" s="247"/>
      <c r="H71" s="245"/>
      <c r="I71" s="330"/>
      <c r="J71" s="247">
        <v>15</v>
      </c>
      <c r="K71" s="246"/>
      <c r="L71" s="330">
        <v>15</v>
      </c>
      <c r="M71" s="331">
        <f t="shared" si="6"/>
        <v>15</v>
      </c>
    </row>
    <row r="72" spans="1:13" s="248" customFormat="1" ht="13.5" thickBot="1">
      <c r="A72" s="955" t="s">
        <v>630</v>
      </c>
      <c r="B72" s="956"/>
      <c r="C72" s="957"/>
      <c r="D72" s="352">
        <f aca="true" t="shared" si="7" ref="D72:M72">SUM(D62:D71)</f>
        <v>347821</v>
      </c>
      <c r="E72" s="353">
        <f t="shared" si="7"/>
        <v>0</v>
      </c>
      <c r="F72" s="352">
        <f t="shared" si="7"/>
        <v>347821</v>
      </c>
      <c r="G72" s="364">
        <f t="shared" si="7"/>
        <v>0</v>
      </c>
      <c r="H72" s="251">
        <f t="shared" si="7"/>
        <v>0</v>
      </c>
      <c r="I72" s="365">
        <f t="shared" si="7"/>
        <v>0</v>
      </c>
      <c r="J72" s="364">
        <f t="shared" si="7"/>
        <v>15</v>
      </c>
      <c r="K72" s="251">
        <f t="shared" si="7"/>
        <v>0</v>
      </c>
      <c r="L72" s="365">
        <f t="shared" si="7"/>
        <v>15</v>
      </c>
      <c r="M72" s="366">
        <f t="shared" si="7"/>
        <v>347836</v>
      </c>
    </row>
    <row r="73" spans="1:13" s="248" customFormat="1" ht="12.75">
      <c r="A73" s="357"/>
      <c r="B73" s="358"/>
      <c r="C73" s="358"/>
      <c r="D73" s="358"/>
      <c r="E73" s="358"/>
      <c r="F73" s="359"/>
      <c r="G73" s="359"/>
      <c r="H73" s="359"/>
      <c r="I73" s="359"/>
      <c r="J73" s="359"/>
      <c r="K73" s="359"/>
      <c r="L73" s="359"/>
      <c r="M73" s="367"/>
    </row>
    <row r="74" spans="1:13" ht="12.75">
      <c r="A74" s="361"/>
      <c r="B74" s="953" t="s">
        <v>309</v>
      </c>
      <c r="C74" s="953"/>
      <c r="D74" s="953"/>
      <c r="E74" s="953"/>
      <c r="F74" s="953"/>
      <c r="G74" s="953"/>
      <c r="H74" s="953"/>
      <c r="I74" s="953"/>
      <c r="J74" s="953"/>
      <c r="K74" s="953"/>
      <c r="L74" s="953"/>
      <c r="M74" s="954"/>
    </row>
    <row r="75" spans="1:13" ht="12.75">
      <c r="A75" s="244" t="s">
        <v>412</v>
      </c>
      <c r="B75" s="332" t="s">
        <v>631</v>
      </c>
      <c r="C75" s="363" t="s">
        <v>578</v>
      </c>
      <c r="D75" s="336">
        <f>29396+237-978</f>
        <v>28655</v>
      </c>
      <c r="E75" s="368"/>
      <c r="F75" s="330">
        <f>SUM(D75:E75)</f>
        <v>28655</v>
      </c>
      <c r="G75" s="247"/>
      <c r="H75" s="245"/>
      <c r="I75" s="330">
        <f>SUM(G75:H75)</f>
        <v>0</v>
      </c>
      <c r="J75" s="247"/>
      <c r="K75" s="246"/>
      <c r="L75" s="330"/>
      <c r="M75" s="331">
        <f>SUM(F75,I75,L75)</f>
        <v>28655</v>
      </c>
    </row>
    <row r="76" spans="1:13" ht="12.75">
      <c r="A76" s="244" t="s">
        <v>413</v>
      </c>
      <c r="B76" s="332" t="s">
        <v>632</v>
      </c>
      <c r="C76" s="333" t="s">
        <v>633</v>
      </c>
      <c r="D76" s="561">
        <f>106873-1-7056+24+6+980+177+12+335+2269+614+678+183+1193+322+1000+270+3715+2905+784+1575+425+10699-48+182+2265+612+1624-155+34+327+88+4326+1167+2460+664-3124-2015-686</f>
        <v>135703</v>
      </c>
      <c r="E76" s="369">
        <f>330+89+844+228+150+121</f>
        <v>1762</v>
      </c>
      <c r="F76" s="330">
        <f>SUM(D76:E76)</f>
        <v>137465</v>
      </c>
      <c r="G76" s="247"/>
      <c r="H76" s="245"/>
      <c r="I76" s="330">
        <f>SUM(G76:H76)</f>
        <v>0</v>
      </c>
      <c r="J76" s="247"/>
      <c r="K76" s="246"/>
      <c r="L76" s="330"/>
      <c r="M76" s="331">
        <f>SUM(F76,I76,L76)</f>
        <v>137465</v>
      </c>
    </row>
    <row r="77" spans="1:13" ht="15.75" customHeight="1">
      <c r="A77" s="244" t="s">
        <v>414</v>
      </c>
      <c r="B77" s="332" t="s">
        <v>634</v>
      </c>
      <c r="C77" s="333" t="s">
        <v>633</v>
      </c>
      <c r="D77" s="327">
        <f>8559+16+10+3+241+65+12+3+439+119</f>
        <v>9467</v>
      </c>
      <c r="E77" s="369"/>
      <c r="F77" s="330">
        <f>SUM(D77:E77)</f>
        <v>9467</v>
      </c>
      <c r="G77" s="247"/>
      <c r="H77" s="245"/>
      <c r="I77" s="330">
        <f>SUM(G77:H77)</f>
        <v>0</v>
      </c>
      <c r="J77" s="247"/>
      <c r="K77" s="246"/>
      <c r="L77" s="330"/>
      <c r="M77" s="331">
        <f>SUM(F77,I77,L77)</f>
        <v>9467</v>
      </c>
    </row>
    <row r="78" spans="1:13" ht="12.75">
      <c r="A78" s="244" t="s">
        <v>415</v>
      </c>
      <c r="B78" s="332" t="s">
        <v>509</v>
      </c>
      <c r="C78" s="333" t="s">
        <v>635</v>
      </c>
      <c r="D78" s="327"/>
      <c r="E78" s="369"/>
      <c r="F78" s="330">
        <f>SUM(D78:E78)</f>
        <v>0</v>
      </c>
      <c r="G78" s="247">
        <f>16687-1125+64+7+114+421-342+160</f>
        <v>15986</v>
      </c>
      <c r="H78" s="245"/>
      <c r="I78" s="330">
        <f>SUM(G78:H78)</f>
        <v>15986</v>
      </c>
      <c r="J78" s="247"/>
      <c r="K78" s="246"/>
      <c r="L78" s="330"/>
      <c r="M78" s="331">
        <f>SUM(F78,I78,L78)</f>
        <v>15986</v>
      </c>
    </row>
    <row r="79" spans="1:13" ht="13.5" thickBot="1">
      <c r="A79" s="955" t="s">
        <v>636</v>
      </c>
      <c r="B79" s="956"/>
      <c r="C79" s="957"/>
      <c r="D79" s="354">
        <f aca="true" t="shared" si="8" ref="D79:M79">SUM(D75:D78)</f>
        <v>173825</v>
      </c>
      <c r="E79" s="370">
        <f t="shared" si="8"/>
        <v>1762</v>
      </c>
      <c r="F79" s="370">
        <f t="shared" si="8"/>
        <v>175587</v>
      </c>
      <c r="G79" s="371">
        <f t="shared" si="8"/>
        <v>15986</v>
      </c>
      <c r="H79" s="353">
        <f t="shared" si="8"/>
        <v>0</v>
      </c>
      <c r="I79" s="352">
        <f t="shared" si="8"/>
        <v>15986</v>
      </c>
      <c r="J79" s="371">
        <f t="shared" si="8"/>
        <v>0</v>
      </c>
      <c r="K79" s="370">
        <f t="shared" si="8"/>
        <v>0</v>
      </c>
      <c r="L79" s="370">
        <f t="shared" si="8"/>
        <v>0</v>
      </c>
      <c r="M79" s="356">
        <f t="shared" si="8"/>
        <v>191573</v>
      </c>
    </row>
    <row r="80" spans="1:13" s="377" customFormat="1" ht="15.75" thickBot="1">
      <c r="A80" s="929" t="s">
        <v>637</v>
      </c>
      <c r="B80" s="930"/>
      <c r="C80" s="931"/>
      <c r="D80" s="372">
        <f aca="true" t="shared" si="9" ref="D80:M80">SUM(D79,D72,D59)</f>
        <v>1860617</v>
      </c>
      <c r="E80" s="373">
        <f t="shared" si="9"/>
        <v>3963219</v>
      </c>
      <c r="F80" s="374">
        <f t="shared" si="9"/>
        <v>5823836</v>
      </c>
      <c r="G80" s="375">
        <f t="shared" si="9"/>
        <v>73840</v>
      </c>
      <c r="H80" s="373">
        <f t="shared" si="9"/>
        <v>216833</v>
      </c>
      <c r="I80" s="374">
        <f t="shared" si="9"/>
        <v>290673</v>
      </c>
      <c r="J80" s="375">
        <f t="shared" si="9"/>
        <v>38682</v>
      </c>
      <c r="K80" s="373">
        <f t="shared" si="9"/>
        <v>129</v>
      </c>
      <c r="L80" s="374">
        <f t="shared" si="9"/>
        <v>38811</v>
      </c>
      <c r="M80" s="376">
        <f t="shared" si="9"/>
        <v>6153320</v>
      </c>
    </row>
    <row r="82" spans="1:2" ht="12.75">
      <c r="A82" s="241" t="s">
        <v>638</v>
      </c>
      <c r="B82" s="241" t="s">
        <v>639</v>
      </c>
    </row>
    <row r="83" spans="1:2" ht="12.75">
      <c r="A83" s="241" t="s">
        <v>640</v>
      </c>
      <c r="B83" s="241" t="s">
        <v>641</v>
      </c>
    </row>
    <row r="84" spans="1:2" ht="12.75">
      <c r="A84" s="241" t="s">
        <v>642</v>
      </c>
      <c r="B84" s="241" t="s">
        <v>643</v>
      </c>
    </row>
    <row r="85" spans="1:2" ht="12.75">
      <c r="A85" s="241" t="s">
        <v>644</v>
      </c>
      <c r="B85" s="241" t="s">
        <v>645</v>
      </c>
    </row>
    <row r="86" spans="1:2" ht="12.75">
      <c r="A86" s="241" t="s">
        <v>646</v>
      </c>
      <c r="B86" s="241" t="s">
        <v>748</v>
      </c>
    </row>
    <row r="87" spans="1:2" ht="12.75">
      <c r="A87" s="241" t="s">
        <v>749</v>
      </c>
      <c r="B87" s="241" t="s">
        <v>750</v>
      </c>
    </row>
    <row r="88" spans="1:2" ht="12.75">
      <c r="A88" s="241" t="s">
        <v>751</v>
      </c>
      <c r="B88" s="241" t="s">
        <v>752</v>
      </c>
    </row>
    <row r="89" ht="12.75">
      <c r="B89" s="525" t="s">
        <v>115</v>
      </c>
    </row>
  </sheetData>
  <sheetProtection/>
  <mergeCells count="17">
    <mergeCell ref="H1:M1"/>
    <mergeCell ref="B74:M74"/>
    <mergeCell ref="A79:C79"/>
    <mergeCell ref="B9:M9"/>
    <mergeCell ref="A59:C59"/>
    <mergeCell ref="B61:M61"/>
    <mergeCell ref="A72:C72"/>
    <mergeCell ref="M4:M8"/>
    <mergeCell ref="D5:F7"/>
    <mergeCell ref="G5:I7"/>
    <mergeCell ref="A2:M2"/>
    <mergeCell ref="A80:C80"/>
    <mergeCell ref="J5:L7"/>
    <mergeCell ref="A4:A8"/>
    <mergeCell ref="B4:B8"/>
    <mergeCell ref="C4:C8"/>
    <mergeCell ref="D4:L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0" r:id="rId1"/>
  <rowBreaks count="1" manualBreakCount="1">
    <brk id="6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122"/>
  <sheetViews>
    <sheetView zoomScalePageLayoutView="0" workbookViewId="0" topLeftCell="A64">
      <selection activeCell="Z2" sqref="Z2"/>
    </sheetView>
  </sheetViews>
  <sheetFormatPr defaultColWidth="9.00390625" defaultRowHeight="12.75"/>
  <cols>
    <col min="1" max="1" width="6.125" style="241" customWidth="1"/>
    <col min="2" max="2" width="6.625" style="241" customWidth="1"/>
    <col min="3" max="3" width="27.625" style="241" customWidth="1"/>
    <col min="4" max="4" width="14.875" style="241" customWidth="1"/>
    <col min="5" max="5" width="14.625" style="241" customWidth="1"/>
    <col min="6" max="6" width="13.875" style="241" bestFit="1" customWidth="1"/>
    <col min="7" max="7" width="13.375" style="241" customWidth="1"/>
    <col min="8" max="8" width="12.625" style="241" customWidth="1"/>
    <col min="9" max="9" width="19.625" style="241" customWidth="1"/>
    <col min="10" max="10" width="9.25390625" style="241" customWidth="1"/>
    <col min="11" max="11" width="12.25390625" style="241" customWidth="1"/>
    <col min="12" max="12" width="19.25390625" style="241" customWidth="1"/>
    <col min="13" max="13" width="9.75390625" style="241" customWidth="1"/>
    <col min="14" max="14" width="9.125" style="241" customWidth="1"/>
    <col min="15" max="15" width="12.625" style="241" customWidth="1"/>
    <col min="16" max="16" width="9.75390625" style="241" bestFit="1" customWidth="1"/>
    <col min="17" max="17" width="13.00390625" style="241" customWidth="1"/>
    <col min="18" max="20" width="9.125" style="241" customWidth="1"/>
    <col min="21" max="21" width="9.875" style="241" customWidth="1"/>
    <col min="22" max="22" width="9.375" style="241" bestFit="1" customWidth="1"/>
    <col min="23" max="23" width="13.25390625" style="241" customWidth="1"/>
    <col min="24" max="24" width="15.875" style="241" customWidth="1"/>
    <col min="25" max="25" width="15.00390625" style="241" customWidth="1"/>
    <col min="26" max="26" width="14.875" style="241" bestFit="1" customWidth="1"/>
    <col min="27" max="28" width="13.875" style="241" customWidth="1"/>
    <col min="29" max="29" width="13.25390625" style="286" bestFit="1" customWidth="1"/>
    <col min="30" max="31" width="9.125" style="241" customWidth="1"/>
    <col min="32" max="32" width="9.25390625" style="241" bestFit="1" customWidth="1"/>
    <col min="33" max="16384" width="9.125" style="241" customWidth="1"/>
  </cols>
  <sheetData>
    <row r="1" spans="1:32" ht="12.75">
      <c r="A1" s="235"/>
      <c r="B1" s="236"/>
      <c r="C1" s="237"/>
      <c r="D1" s="237"/>
      <c r="I1" s="236"/>
      <c r="J1" s="236"/>
      <c r="K1" s="236"/>
      <c r="L1" s="240"/>
      <c r="M1" s="240"/>
      <c r="N1" s="240"/>
      <c r="O1" s="236"/>
      <c r="U1" s="8"/>
      <c r="V1" s="312"/>
      <c r="W1" s="312"/>
      <c r="X1" s="312"/>
      <c r="Y1" s="312"/>
      <c r="Z1" s="920" t="s">
        <v>166</v>
      </c>
      <c r="AA1" s="920"/>
      <c r="AB1" s="920"/>
      <c r="AC1" s="920"/>
      <c r="AD1" s="312"/>
      <c r="AE1" s="312"/>
      <c r="AF1" s="312"/>
    </row>
    <row r="2" spans="1:30" ht="12.75">
      <c r="A2" s="235"/>
      <c r="B2" s="236"/>
      <c r="C2" s="237"/>
      <c r="D2" s="237"/>
      <c r="E2" s="238"/>
      <c r="F2" s="239"/>
      <c r="G2" s="239"/>
      <c r="H2" s="239"/>
      <c r="I2" s="236"/>
      <c r="J2" s="236"/>
      <c r="K2" s="236"/>
      <c r="L2" s="240"/>
      <c r="M2" s="240"/>
      <c r="N2" s="240"/>
      <c r="O2" s="236"/>
      <c r="AC2" s="253"/>
      <c r="AD2" s="253"/>
    </row>
    <row r="3" spans="1:29" ht="15.75" customHeight="1">
      <c r="A3" s="989" t="s">
        <v>465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</row>
    <row r="4" spans="1:50" ht="13.5" thickBot="1">
      <c r="A4" s="990"/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90"/>
      <c r="O4" s="990"/>
      <c r="P4" s="990"/>
      <c r="Q4" s="990"/>
      <c r="R4" s="990"/>
      <c r="S4" s="990"/>
      <c r="T4" s="990"/>
      <c r="U4" s="990"/>
      <c r="V4" s="990"/>
      <c r="W4" s="990"/>
      <c r="X4" s="990"/>
      <c r="Y4" s="990"/>
      <c r="Z4" s="990"/>
      <c r="AA4" s="990"/>
      <c r="AB4" s="990"/>
      <c r="AC4" s="990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</row>
    <row r="5" spans="1:50" s="254" customFormat="1" ht="15" customHeight="1" thickBot="1" thickTop="1">
      <c r="A5" s="994" t="s">
        <v>50</v>
      </c>
      <c r="B5" s="995"/>
      <c r="C5" s="995"/>
      <c r="D5" s="991" t="s">
        <v>301</v>
      </c>
      <c r="E5" s="992"/>
      <c r="F5" s="993"/>
      <c r="G5" s="979" t="s">
        <v>753</v>
      </c>
      <c r="H5" s="1001"/>
      <c r="I5" s="1001"/>
      <c r="J5" s="1001"/>
      <c r="K5" s="1002"/>
      <c r="L5" s="965" t="s">
        <v>754</v>
      </c>
      <c r="M5" s="998"/>
      <c r="N5" s="998"/>
      <c r="O5" s="998"/>
      <c r="P5" s="998"/>
      <c r="Q5" s="1011"/>
      <c r="R5" s="965" t="s">
        <v>789</v>
      </c>
      <c r="S5" s="998"/>
      <c r="T5" s="998"/>
      <c r="U5" s="998"/>
      <c r="V5" s="998"/>
      <c r="W5" s="998"/>
      <c r="X5" s="1006" t="s">
        <v>790</v>
      </c>
      <c r="Y5" s="1007"/>
      <c r="Z5" s="1007"/>
      <c r="AA5" s="1008" t="s">
        <v>297</v>
      </c>
      <c r="AB5" s="1009"/>
      <c r="AC5" s="1010"/>
      <c r="AD5" s="274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</row>
    <row r="6" spans="1:30" s="253" customFormat="1" ht="16.5" customHeight="1" thickBot="1">
      <c r="A6" s="996"/>
      <c r="B6" s="997"/>
      <c r="C6" s="997"/>
      <c r="D6" s="379" t="s">
        <v>440</v>
      </c>
      <c r="E6" s="380" t="s">
        <v>441</v>
      </c>
      <c r="F6" s="381" t="s">
        <v>449</v>
      </c>
      <c r="G6" s="1003"/>
      <c r="H6" s="1004"/>
      <c r="I6" s="1004"/>
      <c r="J6" s="1004"/>
      <c r="K6" s="1005"/>
      <c r="L6" s="999"/>
      <c r="M6" s="1000"/>
      <c r="N6" s="1000"/>
      <c r="O6" s="1000"/>
      <c r="P6" s="1000"/>
      <c r="Q6" s="1012"/>
      <c r="R6" s="999"/>
      <c r="S6" s="1000"/>
      <c r="T6" s="1000"/>
      <c r="U6" s="1000"/>
      <c r="V6" s="1000"/>
      <c r="W6" s="1000"/>
      <c r="X6" s="382" t="s">
        <v>440</v>
      </c>
      <c r="Y6" s="383" t="s">
        <v>441</v>
      </c>
      <c r="Z6" s="384" t="s">
        <v>449</v>
      </c>
      <c r="AA6" s="385" t="s">
        <v>440</v>
      </c>
      <c r="AB6" s="386" t="s">
        <v>441</v>
      </c>
      <c r="AC6" s="535" t="s">
        <v>449</v>
      </c>
      <c r="AD6" s="274"/>
    </row>
    <row r="7" spans="1:30" s="256" customFormat="1" ht="22.5" customHeight="1">
      <c r="A7" s="255"/>
      <c r="C7" s="387"/>
      <c r="D7" s="388"/>
      <c r="F7" s="389"/>
      <c r="G7" s="987" t="s">
        <v>791</v>
      </c>
      <c r="H7" s="983"/>
      <c r="I7" s="983"/>
      <c r="J7" s="390">
        <v>45135</v>
      </c>
      <c r="K7" s="971">
        <f>SUM(J7:J29)</f>
        <v>186880</v>
      </c>
      <c r="L7" s="982" t="s">
        <v>792</v>
      </c>
      <c r="M7" s="983"/>
      <c r="N7" s="983"/>
      <c r="O7" s="983"/>
      <c r="P7" s="391">
        <v>302</v>
      </c>
      <c r="Q7" s="971">
        <f>SUM(P7:P29)</f>
        <v>250369</v>
      </c>
      <c r="R7" s="977" t="s">
        <v>793</v>
      </c>
      <c r="S7" s="978"/>
      <c r="T7" s="978"/>
      <c r="U7" s="978"/>
      <c r="V7" s="392">
        <f>9525-4500-1215</f>
        <v>3810</v>
      </c>
      <c r="W7" s="1016">
        <f>SUM(V7:V29)</f>
        <v>1067562</v>
      </c>
      <c r="X7" s="393"/>
      <c r="Y7" s="394"/>
      <c r="Z7" s="395"/>
      <c r="AA7" s="396"/>
      <c r="AB7" s="397"/>
      <c r="AC7" s="536"/>
      <c r="AD7" s="255"/>
    </row>
    <row r="8" spans="1:30" s="256" customFormat="1" ht="28.5" customHeight="1">
      <c r="A8" s="255"/>
      <c r="C8" s="388"/>
      <c r="D8" s="388"/>
      <c r="F8" s="389"/>
      <c r="G8" s="988" t="s">
        <v>794</v>
      </c>
      <c r="H8" s="973"/>
      <c r="I8" s="973"/>
      <c r="J8" s="398">
        <v>34476</v>
      </c>
      <c r="K8" s="963"/>
      <c r="L8" s="977" t="s">
        <v>795</v>
      </c>
      <c r="M8" s="978"/>
      <c r="N8" s="978"/>
      <c r="O8" s="978"/>
      <c r="P8" s="392">
        <v>2762</v>
      </c>
      <c r="Q8" s="963"/>
      <c r="R8" s="972" t="s">
        <v>796</v>
      </c>
      <c r="S8" s="973"/>
      <c r="T8" s="973"/>
      <c r="U8" s="973"/>
      <c r="V8" s="392">
        <v>516</v>
      </c>
      <c r="W8" s="1017"/>
      <c r="X8" s="399"/>
      <c r="Y8" s="394"/>
      <c r="Z8" s="400"/>
      <c r="AA8" s="255"/>
      <c r="AB8" s="401"/>
      <c r="AC8" s="537"/>
      <c r="AD8" s="255"/>
    </row>
    <row r="9" spans="1:30" s="256" customFormat="1" ht="20.25" customHeight="1">
      <c r="A9" s="314"/>
      <c r="B9" s="315"/>
      <c r="C9" s="402" t="s">
        <v>567</v>
      </c>
      <c r="D9" s="403">
        <v>1338971</v>
      </c>
      <c r="E9" s="404">
        <v>3961457</v>
      </c>
      <c r="F9" s="405">
        <f>SUM(D9:E9)</f>
        <v>5300428</v>
      </c>
      <c r="G9" s="1030" t="s">
        <v>797</v>
      </c>
      <c r="H9" s="1031"/>
      <c r="I9" s="1031"/>
      <c r="J9" s="398">
        <v>7397</v>
      </c>
      <c r="K9" s="963"/>
      <c r="L9" s="977" t="s">
        <v>798</v>
      </c>
      <c r="M9" s="978"/>
      <c r="N9" s="978"/>
      <c r="O9" s="978"/>
      <c r="P9" s="392">
        <v>12000</v>
      </c>
      <c r="Q9" s="963"/>
      <c r="R9" s="977" t="s">
        <v>799</v>
      </c>
      <c r="S9" s="978"/>
      <c r="T9" s="978"/>
      <c r="U9" s="978"/>
      <c r="V9" s="392">
        <f>90063-2109-569</f>
        <v>87385</v>
      </c>
      <c r="W9" s="1017"/>
      <c r="X9" s="406"/>
      <c r="Y9" s="407"/>
      <c r="Z9" s="400"/>
      <c r="AA9" s="408"/>
      <c r="AB9" s="409"/>
      <c r="AC9" s="538"/>
      <c r="AD9" s="255"/>
    </row>
    <row r="10" spans="1:30" s="256" customFormat="1" ht="28.5" customHeight="1">
      <c r="A10" s="260"/>
      <c r="B10" s="261"/>
      <c r="C10" s="411"/>
      <c r="D10" s="411"/>
      <c r="F10" s="389"/>
      <c r="G10" s="988" t="s">
        <v>800</v>
      </c>
      <c r="H10" s="973"/>
      <c r="I10" s="973"/>
      <c r="J10" s="398">
        <v>10675</v>
      </c>
      <c r="K10" s="963"/>
      <c r="L10" s="977" t="s">
        <v>801</v>
      </c>
      <c r="M10" s="978"/>
      <c r="N10" s="978"/>
      <c r="O10" s="978"/>
      <c r="P10" s="392">
        <f>15000+55+595</f>
        <v>15650</v>
      </c>
      <c r="Q10" s="963"/>
      <c r="R10" s="977" t="s">
        <v>802</v>
      </c>
      <c r="S10" s="978"/>
      <c r="T10" s="978"/>
      <c r="U10" s="978"/>
      <c r="V10" s="392">
        <v>5288</v>
      </c>
      <c r="W10" s="1017"/>
      <c r="X10" s="406"/>
      <c r="Y10" s="407"/>
      <c r="Z10" s="400"/>
      <c r="AA10" s="408"/>
      <c r="AB10" s="409"/>
      <c r="AC10" s="538"/>
      <c r="AD10" s="255"/>
    </row>
    <row r="11" spans="1:30" s="256" customFormat="1" ht="24.75" customHeight="1">
      <c r="A11" s="260"/>
      <c r="B11" s="261"/>
      <c r="C11" s="411"/>
      <c r="D11" s="411"/>
      <c r="F11" s="389"/>
      <c r="G11" s="981" t="s">
        <v>803</v>
      </c>
      <c r="H11" s="978"/>
      <c r="I11" s="978"/>
      <c r="J11" s="398">
        <v>237</v>
      </c>
      <c r="K11" s="963"/>
      <c r="L11" s="972" t="s">
        <v>804</v>
      </c>
      <c r="M11" s="973"/>
      <c r="N11" s="973"/>
      <c r="O11" s="973"/>
      <c r="P11" s="392">
        <f>16355-2572-4052</f>
        <v>9731</v>
      </c>
      <c r="Q11" s="963"/>
      <c r="R11" s="972" t="s">
        <v>805</v>
      </c>
      <c r="S11" s="973"/>
      <c r="T11" s="973"/>
      <c r="U11" s="973"/>
      <c r="V11" s="392">
        <f>136700-7733+8202+3410+757</f>
        <v>141336</v>
      </c>
      <c r="W11" s="1017"/>
      <c r="X11" s="406"/>
      <c r="Y11" s="407"/>
      <c r="Z11" s="400"/>
      <c r="AA11" s="408"/>
      <c r="AB11" s="409"/>
      <c r="AC11" s="538"/>
      <c r="AD11" s="255"/>
    </row>
    <row r="12" spans="1:30" s="256" customFormat="1" ht="25.5" customHeight="1">
      <c r="A12" s="260"/>
      <c r="B12" s="261"/>
      <c r="C12" s="411"/>
      <c r="D12" s="411"/>
      <c r="F12" s="412"/>
      <c r="G12" s="981" t="s">
        <v>562</v>
      </c>
      <c r="H12" s="978"/>
      <c r="I12" s="978"/>
      <c r="J12" s="392">
        <v>43080</v>
      </c>
      <c r="K12" s="963"/>
      <c r="L12" s="977" t="s">
        <v>806</v>
      </c>
      <c r="M12" s="978"/>
      <c r="N12" s="978"/>
      <c r="O12" s="978"/>
      <c r="P12" s="392">
        <f>55</f>
        <v>55</v>
      </c>
      <c r="Q12" s="963"/>
      <c r="R12" s="972" t="s">
        <v>807</v>
      </c>
      <c r="S12" s="973"/>
      <c r="T12" s="973"/>
      <c r="U12" s="973"/>
      <c r="V12" s="392">
        <f>7531+203-30-15+240+306+60</f>
        <v>8295</v>
      </c>
      <c r="W12" s="1017"/>
      <c r="X12" s="413">
        <f>SUM(W7,Q7,K7)</f>
        <v>1504811</v>
      </c>
      <c r="Y12" s="415">
        <f>SUM(Q30,W30,K30)</f>
        <v>3974084</v>
      </c>
      <c r="Z12" s="414">
        <f>SUM(Y12,X12)</f>
        <v>5478895</v>
      </c>
      <c r="AA12" s="413">
        <f>X12-D9</f>
        <v>165840</v>
      </c>
      <c r="AB12" s="415">
        <f>Y12-E9</f>
        <v>12627</v>
      </c>
      <c r="AC12" s="539">
        <f>SUM(AA12:AB12)</f>
        <v>178467</v>
      </c>
      <c r="AD12" s="255"/>
    </row>
    <row r="13" spans="1:30" s="253" customFormat="1" ht="15" customHeight="1">
      <c r="A13" s="262"/>
      <c r="B13" s="263"/>
      <c r="C13" s="417"/>
      <c r="D13" s="417"/>
      <c r="F13" s="418"/>
      <c r="G13" s="259" t="s">
        <v>466</v>
      </c>
      <c r="H13" s="259"/>
      <c r="I13" s="259"/>
      <c r="J13" s="392">
        <f>34444-25033-211</f>
        <v>9200</v>
      </c>
      <c r="K13" s="963"/>
      <c r="L13" s="977" t="s">
        <v>756</v>
      </c>
      <c r="M13" s="978"/>
      <c r="N13" s="978"/>
      <c r="O13" s="978"/>
      <c r="P13" s="392">
        <v>11727</v>
      </c>
      <c r="Q13" s="963"/>
      <c r="R13" s="977" t="s">
        <v>808</v>
      </c>
      <c r="S13" s="978"/>
      <c r="T13" s="978"/>
      <c r="U13" s="978"/>
      <c r="V13" s="419">
        <f>693-203</f>
        <v>490</v>
      </c>
      <c r="W13" s="1017"/>
      <c r="X13" s="406"/>
      <c r="Y13" s="407"/>
      <c r="Z13" s="400"/>
      <c r="AA13" s="408"/>
      <c r="AB13" s="409"/>
      <c r="AC13" s="538"/>
      <c r="AD13" s="274"/>
    </row>
    <row r="14" spans="1:30" s="253" customFormat="1" ht="15" customHeight="1">
      <c r="A14" s="262"/>
      <c r="B14" s="263"/>
      <c r="C14" s="417"/>
      <c r="D14" s="417"/>
      <c r="F14" s="418"/>
      <c r="G14" s="981" t="s">
        <v>783</v>
      </c>
      <c r="H14" s="978"/>
      <c r="I14" s="978"/>
      <c r="J14" s="392">
        <f>1415+277-710</f>
        <v>982</v>
      </c>
      <c r="K14" s="963"/>
      <c r="L14" s="977" t="s">
        <v>787</v>
      </c>
      <c r="M14" s="978"/>
      <c r="N14" s="978"/>
      <c r="O14" s="978"/>
      <c r="P14" s="392">
        <f>169186-3093-23790</f>
        <v>142303</v>
      </c>
      <c r="Q14" s="963"/>
      <c r="R14" s="977" t="s">
        <v>652</v>
      </c>
      <c r="S14" s="978"/>
      <c r="T14" s="978"/>
      <c r="U14" s="978"/>
      <c r="V14" s="419">
        <f>2300+56+130+17+216+187+606+350+134+28</f>
        <v>4024</v>
      </c>
      <c r="W14" s="1017"/>
      <c r="X14" s="406"/>
      <c r="Y14" s="407"/>
      <c r="Z14" s="400"/>
      <c r="AA14" s="408"/>
      <c r="AB14" s="409"/>
      <c r="AC14" s="538"/>
      <c r="AD14" s="274"/>
    </row>
    <row r="15" spans="1:30" s="253" customFormat="1" ht="15" customHeight="1">
      <c r="A15" s="262"/>
      <c r="B15" s="263"/>
      <c r="C15" s="417"/>
      <c r="D15" s="417"/>
      <c r="F15" s="418"/>
      <c r="G15" s="981" t="s">
        <v>755</v>
      </c>
      <c r="H15" s="978"/>
      <c r="I15" s="978"/>
      <c r="J15" s="392">
        <v>839</v>
      </c>
      <c r="K15" s="963"/>
      <c r="L15" s="977" t="s">
        <v>757</v>
      </c>
      <c r="M15" s="978"/>
      <c r="N15" s="978"/>
      <c r="O15" s="978"/>
      <c r="P15" s="392">
        <v>183</v>
      </c>
      <c r="Q15" s="963"/>
      <c r="R15" s="977" t="s">
        <v>861</v>
      </c>
      <c r="S15" s="978"/>
      <c r="T15" s="978"/>
      <c r="U15" s="978"/>
      <c r="V15" s="419">
        <v>127</v>
      </c>
      <c r="W15" s="1017"/>
      <c r="X15" s="406"/>
      <c r="Y15" s="407"/>
      <c r="Z15" s="400"/>
      <c r="AA15" s="408"/>
      <c r="AB15" s="409"/>
      <c r="AC15" s="538"/>
      <c r="AD15" s="274"/>
    </row>
    <row r="16" spans="1:30" s="253" customFormat="1" ht="15" customHeight="1">
      <c r="A16" s="262"/>
      <c r="B16" s="263"/>
      <c r="C16" s="417"/>
      <c r="D16" s="417"/>
      <c r="F16" s="418"/>
      <c r="G16" s="981" t="s">
        <v>21</v>
      </c>
      <c r="H16" s="978"/>
      <c r="I16" s="978"/>
      <c r="J16" s="392">
        <v>25033</v>
      </c>
      <c r="K16" s="963"/>
      <c r="L16" s="977" t="s">
        <v>779</v>
      </c>
      <c r="M16" s="978"/>
      <c r="N16" s="978"/>
      <c r="O16" s="978"/>
      <c r="P16" s="392">
        <v>38</v>
      </c>
      <c r="Q16" s="963"/>
      <c r="R16" s="977" t="s">
        <v>809</v>
      </c>
      <c r="S16" s="978"/>
      <c r="T16" s="978"/>
      <c r="U16" s="978"/>
      <c r="V16" s="419">
        <v>15</v>
      </c>
      <c r="W16" s="1017"/>
      <c r="X16" s="406"/>
      <c r="Y16" s="407"/>
      <c r="Z16" s="400"/>
      <c r="AA16" s="408"/>
      <c r="AB16" s="409"/>
      <c r="AC16" s="538"/>
      <c r="AD16" s="274"/>
    </row>
    <row r="17" spans="1:30" s="253" customFormat="1" ht="15" customHeight="1">
      <c r="A17" s="262"/>
      <c r="B17" s="263"/>
      <c r="C17" s="417"/>
      <c r="D17" s="417"/>
      <c r="F17" s="418"/>
      <c r="G17" s="981" t="s">
        <v>22</v>
      </c>
      <c r="H17" s="978"/>
      <c r="I17" s="978"/>
      <c r="J17" s="392">
        <v>1086</v>
      </c>
      <c r="K17" s="963"/>
      <c r="L17" s="977" t="s">
        <v>780</v>
      </c>
      <c r="M17" s="978"/>
      <c r="N17" s="978"/>
      <c r="O17" s="978"/>
      <c r="P17" s="392">
        <v>3715</v>
      </c>
      <c r="Q17" s="963"/>
      <c r="R17" s="977" t="s">
        <v>810</v>
      </c>
      <c r="S17" s="978"/>
      <c r="T17" s="978"/>
      <c r="U17" s="978"/>
      <c r="V17" s="419">
        <f>188+222+29</f>
        <v>439</v>
      </c>
      <c r="W17" s="1017"/>
      <c r="X17" s="406"/>
      <c r="Y17" s="407"/>
      <c r="Z17" s="400"/>
      <c r="AA17" s="408"/>
      <c r="AB17" s="409"/>
      <c r="AC17" s="538"/>
      <c r="AD17" s="274"/>
    </row>
    <row r="18" spans="1:30" s="253" customFormat="1" ht="15" customHeight="1">
      <c r="A18" s="262"/>
      <c r="B18" s="263"/>
      <c r="C18" s="417"/>
      <c r="D18" s="417"/>
      <c r="F18" s="418"/>
      <c r="G18" s="689" t="s">
        <v>855</v>
      </c>
      <c r="H18" s="259"/>
      <c r="I18" s="259"/>
      <c r="J18" s="392">
        <v>356</v>
      </c>
      <c r="K18" s="963"/>
      <c r="L18" s="977" t="s">
        <v>781</v>
      </c>
      <c r="M18" s="978"/>
      <c r="N18" s="978"/>
      <c r="O18" s="978"/>
      <c r="P18" s="392">
        <v>12050</v>
      </c>
      <c r="Q18" s="963"/>
      <c r="R18" s="977" t="s">
        <v>314</v>
      </c>
      <c r="S18" s="978"/>
      <c r="T18" s="978"/>
      <c r="U18" s="978"/>
      <c r="V18" s="392">
        <f>703558+4363+121+856+12160+88+367+2282</f>
        <v>723795</v>
      </c>
      <c r="W18" s="1017"/>
      <c r="X18" s="406"/>
      <c r="Y18" s="407"/>
      <c r="Z18" s="400"/>
      <c r="AA18" s="408"/>
      <c r="AB18" s="409"/>
      <c r="AC18" s="538"/>
      <c r="AD18" s="274"/>
    </row>
    <row r="19" spans="1:30" s="253" customFormat="1" ht="15" customHeight="1">
      <c r="A19" s="262"/>
      <c r="B19" s="263"/>
      <c r="C19" s="417"/>
      <c r="D19" s="417"/>
      <c r="F19" s="418"/>
      <c r="G19" s="689" t="s">
        <v>856</v>
      </c>
      <c r="H19" s="259"/>
      <c r="I19" s="259"/>
      <c r="J19" s="392">
        <v>44</v>
      </c>
      <c r="K19" s="963"/>
      <c r="L19" s="977" t="s">
        <v>782</v>
      </c>
      <c r="M19" s="978"/>
      <c r="N19" s="978"/>
      <c r="O19" s="978"/>
      <c r="P19" s="392">
        <v>13994</v>
      </c>
      <c r="Q19" s="963"/>
      <c r="R19" s="977" t="s">
        <v>308</v>
      </c>
      <c r="S19" s="978"/>
      <c r="T19" s="978"/>
      <c r="U19" s="978"/>
      <c r="V19" s="565">
        <v>14338</v>
      </c>
      <c r="W19" s="1017"/>
      <c r="X19" s="406"/>
      <c r="Y19" s="407"/>
      <c r="Z19" s="400"/>
      <c r="AA19" s="408"/>
      <c r="AB19" s="409"/>
      <c r="AC19" s="538"/>
      <c r="AD19" s="274"/>
    </row>
    <row r="20" spans="1:30" s="253" customFormat="1" ht="15" customHeight="1">
      <c r="A20" s="262"/>
      <c r="B20" s="263"/>
      <c r="C20" s="417"/>
      <c r="D20" s="417"/>
      <c r="F20" s="418"/>
      <c r="G20" s="689" t="s">
        <v>857</v>
      </c>
      <c r="H20" s="259"/>
      <c r="I20" s="259"/>
      <c r="J20" s="392">
        <v>4258</v>
      </c>
      <c r="K20" s="963"/>
      <c r="L20" s="977" t="s">
        <v>811</v>
      </c>
      <c r="M20" s="978"/>
      <c r="N20" s="978"/>
      <c r="O20" s="978"/>
      <c r="P20" s="565">
        <f>6500+6000+1677</f>
        <v>14177</v>
      </c>
      <c r="Q20" s="963"/>
      <c r="R20" s="977" t="s">
        <v>313</v>
      </c>
      <c r="S20" s="978"/>
      <c r="T20" s="978"/>
      <c r="U20" s="978"/>
      <c r="V20" s="565">
        <v>19788</v>
      </c>
      <c r="W20" s="1017"/>
      <c r="X20" s="406"/>
      <c r="Y20" s="407"/>
      <c r="Z20" s="400"/>
      <c r="AA20" s="408"/>
      <c r="AB20" s="409"/>
      <c r="AC20" s="538"/>
      <c r="AD20" s="274"/>
    </row>
    <row r="21" spans="1:30" s="253" customFormat="1" ht="15" customHeight="1">
      <c r="A21" s="262"/>
      <c r="B21" s="263"/>
      <c r="C21" s="417"/>
      <c r="D21" s="417"/>
      <c r="F21" s="418"/>
      <c r="G21" s="981" t="s">
        <v>648</v>
      </c>
      <c r="H21" s="978"/>
      <c r="I21" s="978"/>
      <c r="J21" s="392">
        <v>3840</v>
      </c>
      <c r="K21" s="963"/>
      <c r="L21" s="977" t="s">
        <v>20</v>
      </c>
      <c r="M21" s="978"/>
      <c r="N21" s="978"/>
      <c r="O21" s="978"/>
      <c r="P21" s="256">
        <v>237</v>
      </c>
      <c r="Q21" s="963"/>
      <c r="R21" s="977" t="s">
        <v>118</v>
      </c>
      <c r="S21" s="978"/>
      <c r="T21" s="978"/>
      <c r="U21" s="978"/>
      <c r="V21" s="565">
        <v>8393</v>
      </c>
      <c r="W21" s="1017"/>
      <c r="X21" s="406"/>
      <c r="Y21" s="407"/>
      <c r="Z21" s="400"/>
      <c r="AA21" s="408"/>
      <c r="AB21" s="409"/>
      <c r="AC21" s="538"/>
      <c r="AD21" s="274"/>
    </row>
    <row r="22" spans="1:30" s="253" customFormat="1" ht="15" customHeight="1">
      <c r="A22" s="262"/>
      <c r="B22" s="263"/>
      <c r="C22" s="417"/>
      <c r="D22" s="417"/>
      <c r="F22" s="418"/>
      <c r="G22" s="981" t="s">
        <v>650</v>
      </c>
      <c r="H22" s="978"/>
      <c r="I22" s="978"/>
      <c r="J22" s="398">
        <v>242</v>
      </c>
      <c r="K22" s="963"/>
      <c r="L22" s="977" t="s">
        <v>27</v>
      </c>
      <c r="M22" s="978"/>
      <c r="N22" s="978"/>
      <c r="O22" s="978"/>
      <c r="P22" s="256">
        <v>1610</v>
      </c>
      <c r="Q22" s="963"/>
      <c r="R22" s="977" t="s">
        <v>117</v>
      </c>
      <c r="S22" s="978"/>
      <c r="T22" s="978"/>
      <c r="U22" s="978"/>
      <c r="V22" s="565">
        <v>43227</v>
      </c>
      <c r="W22" s="1017"/>
      <c r="X22" s="406"/>
      <c r="Y22" s="407"/>
      <c r="Z22" s="400"/>
      <c r="AA22" s="408"/>
      <c r="AB22" s="409"/>
      <c r="AC22" s="538"/>
      <c r="AD22" s="274"/>
    </row>
    <row r="23" spans="1:30" s="253" customFormat="1" ht="15" customHeight="1">
      <c r="A23" s="262"/>
      <c r="B23" s="263"/>
      <c r="C23" s="417"/>
      <c r="D23" s="417"/>
      <c r="F23" s="418"/>
      <c r="K23" s="963"/>
      <c r="L23" s="977" t="s">
        <v>32</v>
      </c>
      <c r="M23" s="978"/>
      <c r="N23" s="978"/>
      <c r="O23" s="978"/>
      <c r="P23" s="256">
        <v>198</v>
      </c>
      <c r="Q23" s="963"/>
      <c r="R23" s="977" t="s">
        <v>31</v>
      </c>
      <c r="S23" s="978"/>
      <c r="T23" s="978"/>
      <c r="U23" s="978"/>
      <c r="V23" s="577">
        <v>318</v>
      </c>
      <c r="W23" s="1017"/>
      <c r="X23" s="406"/>
      <c r="Y23" s="407"/>
      <c r="Z23" s="400"/>
      <c r="AA23" s="408"/>
      <c r="AB23" s="409"/>
      <c r="AC23" s="538"/>
      <c r="AD23" s="274"/>
    </row>
    <row r="24" spans="1:30" s="253" customFormat="1" ht="27" customHeight="1">
      <c r="A24" s="262"/>
      <c r="B24" s="263"/>
      <c r="C24" s="417"/>
      <c r="D24" s="417"/>
      <c r="F24" s="418"/>
      <c r="K24" s="963"/>
      <c r="L24" s="972" t="s">
        <v>34</v>
      </c>
      <c r="M24" s="973"/>
      <c r="N24" s="973"/>
      <c r="O24" s="973"/>
      <c r="P24" s="392">
        <v>4052</v>
      </c>
      <c r="Q24" s="963"/>
      <c r="R24" s="977" t="s">
        <v>26</v>
      </c>
      <c r="S24" s="978"/>
      <c r="T24" s="978"/>
      <c r="U24" s="978"/>
      <c r="V24" s="565">
        <v>2352</v>
      </c>
      <c r="W24" s="1017"/>
      <c r="X24" s="406"/>
      <c r="Y24" s="407"/>
      <c r="Z24" s="400"/>
      <c r="AA24" s="408"/>
      <c r="AB24" s="409"/>
      <c r="AC24" s="538"/>
      <c r="AD24" s="274"/>
    </row>
    <row r="25" spans="1:30" s="253" customFormat="1" ht="15" customHeight="1">
      <c r="A25" s="262"/>
      <c r="B25" s="263"/>
      <c r="C25" s="417"/>
      <c r="D25" s="417"/>
      <c r="F25" s="418"/>
      <c r="K25" s="963"/>
      <c r="L25" s="977" t="s">
        <v>852</v>
      </c>
      <c r="M25" s="978"/>
      <c r="N25" s="978"/>
      <c r="O25" s="978"/>
      <c r="P25" s="392">
        <v>4199</v>
      </c>
      <c r="Q25" s="963"/>
      <c r="R25" s="977" t="s">
        <v>28</v>
      </c>
      <c r="S25" s="978"/>
      <c r="T25" s="978"/>
      <c r="U25" s="978"/>
      <c r="V25" s="256">
        <v>355</v>
      </c>
      <c r="W25" s="1017"/>
      <c r="X25" s="406"/>
      <c r="Y25" s="407"/>
      <c r="Z25" s="400"/>
      <c r="AA25" s="408"/>
      <c r="AB25" s="409"/>
      <c r="AC25" s="538"/>
      <c r="AD25" s="274"/>
    </row>
    <row r="26" spans="1:30" s="253" customFormat="1" ht="15" customHeight="1">
      <c r="A26" s="262"/>
      <c r="B26" s="263"/>
      <c r="C26" s="417"/>
      <c r="D26" s="417"/>
      <c r="F26" s="418"/>
      <c r="K26" s="963"/>
      <c r="L26" s="977" t="s">
        <v>853</v>
      </c>
      <c r="M26" s="978"/>
      <c r="N26" s="978"/>
      <c r="O26" s="978"/>
      <c r="P26" s="256">
        <f>514+257</f>
        <v>771</v>
      </c>
      <c r="Q26" s="963"/>
      <c r="R26" s="977" t="s">
        <v>29</v>
      </c>
      <c r="S26" s="978"/>
      <c r="T26" s="978"/>
      <c r="U26" s="978"/>
      <c r="V26" s="565">
        <v>1016</v>
      </c>
      <c r="W26" s="1017"/>
      <c r="X26" s="406"/>
      <c r="Y26" s="407"/>
      <c r="Z26" s="400"/>
      <c r="AA26" s="408"/>
      <c r="AB26" s="409"/>
      <c r="AC26" s="538"/>
      <c r="AD26" s="274"/>
    </row>
    <row r="27" spans="1:30" s="253" customFormat="1" ht="15" customHeight="1">
      <c r="A27" s="262"/>
      <c r="B27" s="263"/>
      <c r="C27" s="417"/>
      <c r="D27" s="417"/>
      <c r="F27" s="418"/>
      <c r="K27" s="963"/>
      <c r="L27" s="977" t="s">
        <v>649</v>
      </c>
      <c r="M27" s="978"/>
      <c r="N27" s="978"/>
      <c r="O27" s="978"/>
      <c r="P27" s="256">
        <v>529</v>
      </c>
      <c r="Q27" s="963"/>
      <c r="R27" s="977" t="s">
        <v>854</v>
      </c>
      <c r="S27" s="978"/>
      <c r="T27" s="978"/>
      <c r="U27" s="978"/>
      <c r="V27" s="256">
        <v>798</v>
      </c>
      <c r="W27" s="1017"/>
      <c r="X27" s="406"/>
      <c r="Y27" s="407"/>
      <c r="Z27" s="400"/>
      <c r="AA27" s="408"/>
      <c r="AB27" s="409"/>
      <c r="AC27" s="538"/>
      <c r="AD27" s="274"/>
    </row>
    <row r="28" spans="1:30" s="253" customFormat="1" ht="15" customHeight="1">
      <c r="A28" s="262"/>
      <c r="B28" s="263"/>
      <c r="C28" s="417"/>
      <c r="D28" s="417"/>
      <c r="F28" s="418"/>
      <c r="K28" s="963"/>
      <c r="L28" s="977" t="s">
        <v>651</v>
      </c>
      <c r="M28" s="978"/>
      <c r="N28" s="978"/>
      <c r="O28" s="978"/>
      <c r="P28" s="392">
        <v>86</v>
      </c>
      <c r="Q28" s="963"/>
      <c r="R28" s="977" t="s">
        <v>850</v>
      </c>
      <c r="S28" s="978"/>
      <c r="T28" s="978"/>
      <c r="U28" s="978"/>
      <c r="V28" s="256">
        <v>30</v>
      </c>
      <c r="W28" s="1017"/>
      <c r="X28" s="406"/>
      <c r="Y28" s="407"/>
      <c r="Z28" s="400"/>
      <c r="AA28" s="408"/>
      <c r="AB28" s="409"/>
      <c r="AC28" s="538"/>
      <c r="AD28" s="274"/>
    </row>
    <row r="29" spans="1:30" s="253" customFormat="1" ht="17.25" customHeight="1" thickBot="1">
      <c r="A29" s="262"/>
      <c r="B29" s="263"/>
      <c r="C29" s="417"/>
      <c r="D29" s="417"/>
      <c r="F29" s="418"/>
      <c r="K29" s="963"/>
      <c r="L29" s="258"/>
      <c r="M29" s="259"/>
      <c r="N29" s="259"/>
      <c r="O29" s="259"/>
      <c r="P29" s="256"/>
      <c r="Q29" s="963"/>
      <c r="R29" s="985" t="s">
        <v>863</v>
      </c>
      <c r="S29" s="986"/>
      <c r="T29" s="986"/>
      <c r="U29" s="986"/>
      <c r="V29" s="565">
        <v>1427</v>
      </c>
      <c r="W29" s="1017"/>
      <c r="X29" s="406"/>
      <c r="Y29" s="407"/>
      <c r="Z29" s="400"/>
      <c r="AA29" s="408"/>
      <c r="AB29" s="409"/>
      <c r="AC29" s="538"/>
      <c r="AD29" s="274"/>
    </row>
    <row r="30" spans="1:30" s="253" customFormat="1" ht="15.75" customHeight="1">
      <c r="A30" s="262"/>
      <c r="B30" s="263"/>
      <c r="C30" s="417"/>
      <c r="D30" s="417"/>
      <c r="E30" s="726" t="s">
        <v>438</v>
      </c>
      <c r="F30" s="418"/>
      <c r="G30" s="987" t="s">
        <v>23</v>
      </c>
      <c r="H30" s="983"/>
      <c r="I30" s="983"/>
      <c r="J30" s="568">
        <v>226</v>
      </c>
      <c r="K30" s="971">
        <f>SUM(J30:J35)</f>
        <v>259</v>
      </c>
      <c r="L30" s="982" t="s">
        <v>787</v>
      </c>
      <c r="M30" s="983"/>
      <c r="N30" s="983"/>
      <c r="O30" s="983"/>
      <c r="P30" s="690">
        <f>23790-1974</f>
        <v>21816</v>
      </c>
      <c r="Q30" s="971">
        <f>SUM(P30:P35)</f>
        <v>3087636</v>
      </c>
      <c r="R30" s="566" t="s">
        <v>851</v>
      </c>
      <c r="S30" s="257"/>
      <c r="T30" s="257"/>
      <c r="U30" s="257"/>
      <c r="V30" s="569">
        <f>105213-50000-1385+15-10965-7657</f>
        <v>35221</v>
      </c>
      <c r="W30" s="1016">
        <f>SUM(V30:V35)</f>
        <v>886189</v>
      </c>
      <c r="X30" s="406"/>
      <c r="Y30" s="407"/>
      <c r="Z30" s="400"/>
      <c r="AA30" s="408"/>
      <c r="AB30" s="409"/>
      <c r="AC30" s="538"/>
      <c r="AD30" s="274"/>
    </row>
    <row r="31" spans="1:30" s="253" customFormat="1" ht="15.75" customHeight="1">
      <c r="A31" s="262"/>
      <c r="B31" s="263"/>
      <c r="C31" s="417"/>
      <c r="D31" s="417"/>
      <c r="F31" s="418"/>
      <c r="G31" s="981" t="s">
        <v>24</v>
      </c>
      <c r="H31" s="978"/>
      <c r="I31" s="978"/>
      <c r="J31" s="256">
        <v>33</v>
      </c>
      <c r="K31" s="963"/>
      <c r="L31" s="977" t="s">
        <v>860</v>
      </c>
      <c r="M31" s="978"/>
      <c r="N31" s="978"/>
      <c r="O31" s="978"/>
      <c r="P31" s="392">
        <v>10</v>
      </c>
      <c r="Q31" s="963"/>
      <c r="R31" s="258" t="s">
        <v>311</v>
      </c>
      <c r="S31" s="259"/>
      <c r="T31" s="259"/>
      <c r="U31" s="259"/>
      <c r="V31" s="419">
        <v>11400</v>
      </c>
      <c r="W31" s="1017"/>
      <c r="X31" s="406"/>
      <c r="Y31" s="407"/>
      <c r="Z31" s="400"/>
      <c r="AA31" s="408"/>
      <c r="AB31" s="409"/>
      <c r="AC31" s="538"/>
      <c r="AD31" s="274"/>
    </row>
    <row r="32" spans="1:30" s="253" customFormat="1" ht="15.75" customHeight="1">
      <c r="A32" s="262"/>
      <c r="B32" s="263"/>
      <c r="C32" s="417"/>
      <c r="D32" s="417"/>
      <c r="F32" s="418"/>
      <c r="G32" s="274"/>
      <c r="K32" s="963"/>
      <c r="L32" s="977" t="s">
        <v>785</v>
      </c>
      <c r="M32" s="978"/>
      <c r="N32" s="978"/>
      <c r="O32" s="978"/>
      <c r="P32" s="392">
        <v>2481729</v>
      </c>
      <c r="Q32" s="963"/>
      <c r="R32" s="258" t="s">
        <v>312</v>
      </c>
      <c r="S32" s="259"/>
      <c r="T32" s="259"/>
      <c r="U32" s="259"/>
      <c r="V32" s="419">
        <v>12439</v>
      </c>
      <c r="W32" s="1017"/>
      <c r="X32" s="406"/>
      <c r="Y32" s="407"/>
      <c r="Z32" s="400"/>
      <c r="AA32" s="408"/>
      <c r="AB32" s="409"/>
      <c r="AC32" s="538"/>
      <c r="AD32" s="274"/>
    </row>
    <row r="33" spans="1:30" s="253" customFormat="1" ht="30" customHeight="1">
      <c r="A33" s="262"/>
      <c r="B33" s="263"/>
      <c r="C33" s="417"/>
      <c r="D33" s="417"/>
      <c r="F33" s="418"/>
      <c r="G33" s="274"/>
      <c r="K33" s="963"/>
      <c r="L33" s="972" t="s">
        <v>788</v>
      </c>
      <c r="M33" s="973"/>
      <c r="N33" s="973"/>
      <c r="O33" s="973"/>
      <c r="P33" s="392">
        <f>556341+25000</f>
        <v>581341</v>
      </c>
      <c r="Q33" s="963"/>
      <c r="R33" s="977" t="s">
        <v>786</v>
      </c>
      <c r="S33" s="978"/>
      <c r="T33" s="978"/>
      <c r="U33" s="978"/>
      <c r="V33" s="392">
        <f>116721+703558+6750</f>
        <v>827029</v>
      </c>
      <c r="W33" s="1017"/>
      <c r="X33" s="406"/>
      <c r="Y33" s="407"/>
      <c r="Z33" s="400"/>
      <c r="AA33" s="408"/>
      <c r="AB33" s="409"/>
      <c r="AC33" s="538"/>
      <c r="AD33" s="274"/>
    </row>
    <row r="34" spans="1:30" s="253" customFormat="1" ht="16.5" customHeight="1">
      <c r="A34" s="262"/>
      <c r="B34" s="263"/>
      <c r="C34" s="417"/>
      <c r="D34" s="417"/>
      <c r="F34" s="418"/>
      <c r="G34" s="274"/>
      <c r="H34" s="265"/>
      <c r="I34" s="265"/>
      <c r="K34" s="963"/>
      <c r="L34" s="977" t="s">
        <v>651</v>
      </c>
      <c r="M34" s="978"/>
      <c r="N34" s="978"/>
      <c r="O34" s="978"/>
      <c r="P34" s="392">
        <v>2740</v>
      </c>
      <c r="Q34" s="963"/>
      <c r="R34" s="977" t="s">
        <v>467</v>
      </c>
      <c r="S34" s="978"/>
      <c r="T34" s="978"/>
      <c r="U34" s="978"/>
      <c r="V34" s="565">
        <v>0</v>
      </c>
      <c r="W34" s="1017"/>
      <c r="X34" s="406"/>
      <c r="Y34" s="407"/>
      <c r="Z34" s="400"/>
      <c r="AA34" s="408"/>
      <c r="AB34" s="409"/>
      <c r="AC34" s="538"/>
      <c r="AD34" s="274"/>
    </row>
    <row r="35" spans="1:30" s="253" customFormat="1" ht="16.5" customHeight="1" thickBot="1">
      <c r="A35" s="262"/>
      <c r="B35" s="263"/>
      <c r="C35" s="417"/>
      <c r="D35" s="417"/>
      <c r="F35" s="418"/>
      <c r="G35" s="274"/>
      <c r="H35" s="265"/>
      <c r="I35" s="265"/>
      <c r="K35" s="963"/>
      <c r="Q35" s="963"/>
      <c r="R35" s="258" t="s">
        <v>265</v>
      </c>
      <c r="S35" s="259"/>
      <c r="T35" s="259"/>
      <c r="U35" s="259"/>
      <c r="V35" s="419">
        <v>100</v>
      </c>
      <c r="W35" s="1017"/>
      <c r="X35" s="406"/>
      <c r="Y35" s="407"/>
      <c r="Z35" s="400"/>
      <c r="AA35" s="408"/>
      <c r="AB35" s="409"/>
      <c r="AC35" s="538"/>
      <c r="AD35" s="274"/>
    </row>
    <row r="36" spans="1:30" s="268" customFormat="1" ht="17.25" thickBot="1" thickTop="1">
      <c r="A36" s="700"/>
      <c r="B36" s="1018" t="s">
        <v>450</v>
      </c>
      <c r="C36" s="1019"/>
      <c r="D36" s="701">
        <v>38667</v>
      </c>
      <c r="E36" s="702">
        <v>129</v>
      </c>
      <c r="F36" s="703">
        <f>SUM(D36:E36)</f>
        <v>38796</v>
      </c>
      <c r="G36" s="1076" t="s">
        <v>783</v>
      </c>
      <c r="H36" s="984"/>
      <c r="I36" s="984"/>
      <c r="J36" s="704">
        <v>360</v>
      </c>
      <c r="K36" s="516">
        <f>SUM(J36)</f>
        <v>360</v>
      </c>
      <c r="L36" s="984" t="s">
        <v>813</v>
      </c>
      <c r="M36" s="984"/>
      <c r="N36" s="984"/>
      <c r="O36" s="705"/>
      <c r="P36" s="706">
        <v>26236</v>
      </c>
      <c r="Q36" s="516">
        <v>26236</v>
      </c>
      <c r="R36" s="1081" t="s">
        <v>814</v>
      </c>
      <c r="S36" s="984"/>
      <c r="T36" s="984"/>
      <c r="U36" s="984"/>
      <c r="V36" s="707">
        <v>152</v>
      </c>
      <c r="W36" s="517">
        <v>152</v>
      </c>
      <c r="X36" s="708">
        <f>SUM(W36,Q36,K36)</f>
        <v>26748</v>
      </c>
      <c r="Y36" s="709">
        <v>0</v>
      </c>
      <c r="Z36" s="710">
        <f>SUM(X36:Y36)</f>
        <v>26748</v>
      </c>
      <c r="AA36" s="708">
        <f>X36-D36</f>
        <v>-11919</v>
      </c>
      <c r="AB36" s="709">
        <f>Y36-E36</f>
        <v>-129</v>
      </c>
      <c r="AC36" s="711">
        <f>SUM(AA36:AB36)</f>
        <v>-12048</v>
      </c>
      <c r="AD36" s="580"/>
    </row>
    <row r="37" spans="1:48" s="268" customFormat="1" ht="17.25" customHeight="1" thickTop="1">
      <c r="A37" s="267"/>
      <c r="B37" s="253"/>
      <c r="C37" s="698"/>
      <c r="D37" s="459"/>
      <c r="E37" s="459"/>
      <c r="F37" s="418"/>
      <c r="G37" s="981" t="s">
        <v>858</v>
      </c>
      <c r="H37" s="978"/>
      <c r="I37" s="978"/>
      <c r="J37" s="578">
        <v>400</v>
      </c>
      <c r="K37" s="962">
        <f>SUM(J37:J39)</f>
        <v>400</v>
      </c>
      <c r="L37" s="977" t="s">
        <v>859</v>
      </c>
      <c r="M37" s="978"/>
      <c r="N37" s="978"/>
      <c r="O37" s="978"/>
      <c r="P37" s="578">
        <v>2670</v>
      </c>
      <c r="Q37" s="962">
        <f>SUM(P37:P39)</f>
        <v>13635</v>
      </c>
      <c r="R37" s="977" t="s">
        <v>33</v>
      </c>
      <c r="S37" s="978"/>
      <c r="T37" s="978"/>
      <c r="U37" s="978"/>
      <c r="V37" s="577">
        <v>279</v>
      </c>
      <c r="W37" s="1078">
        <f>SUM(V37:V39)</f>
        <v>548</v>
      </c>
      <c r="X37" s="724"/>
      <c r="Y37" s="722"/>
      <c r="Z37" s="722"/>
      <c r="AA37" s="722"/>
      <c r="AB37" s="722"/>
      <c r="AC37" s="723"/>
      <c r="AD37" s="274"/>
      <c r="AE37" s="253">
        <f>SUM(AC12:AC39)</f>
        <v>30122</v>
      </c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</row>
    <row r="38" spans="1:30" s="253" customFormat="1" ht="29.25" customHeight="1">
      <c r="A38" s="267"/>
      <c r="C38" s="698"/>
      <c r="D38" s="459"/>
      <c r="F38" s="418"/>
      <c r="G38" s="689"/>
      <c r="H38" s="259"/>
      <c r="I38" s="259"/>
      <c r="J38" s="578"/>
      <c r="K38" s="963"/>
      <c r="L38" s="258"/>
      <c r="M38" s="259"/>
      <c r="N38" s="259"/>
      <c r="O38" s="259"/>
      <c r="P38" s="578"/>
      <c r="Q38" s="963"/>
      <c r="R38" s="972" t="s">
        <v>862</v>
      </c>
      <c r="S38" s="973"/>
      <c r="T38" s="973"/>
      <c r="U38" s="973"/>
      <c r="V38" s="256">
        <v>58</v>
      </c>
      <c r="W38" s="1079"/>
      <c r="X38" s="725"/>
      <c r="Y38" s="442"/>
      <c r="Z38" s="415"/>
      <c r="AA38" s="415"/>
      <c r="AB38" s="415"/>
      <c r="AC38" s="538"/>
      <c r="AD38" s="274"/>
    </row>
    <row r="39" spans="1:30" s="253" customFormat="1" ht="16.5" customHeight="1" thickBot="1">
      <c r="A39" s="267"/>
      <c r="C39" s="698"/>
      <c r="D39" s="459"/>
      <c r="F39" s="418"/>
      <c r="G39" s="689"/>
      <c r="H39" s="259"/>
      <c r="I39" s="259"/>
      <c r="J39" s="578"/>
      <c r="K39" s="964"/>
      <c r="L39" s="985" t="s">
        <v>865</v>
      </c>
      <c r="M39" s="986"/>
      <c r="N39" s="986"/>
      <c r="O39" s="986"/>
      <c r="P39" s="697">
        <v>10965</v>
      </c>
      <c r="Q39" s="964"/>
      <c r="R39" s="985" t="s">
        <v>868</v>
      </c>
      <c r="S39" s="986"/>
      <c r="T39" s="986"/>
      <c r="U39" s="986"/>
      <c r="V39" s="714">
        <v>211</v>
      </c>
      <c r="W39" s="1080"/>
      <c r="X39" s="725">
        <f>SUM(W37,Q37,K37)</f>
        <v>14583</v>
      </c>
      <c r="Y39" s="415">
        <f>SUM(Q40,W40,K40)</f>
        <v>123807</v>
      </c>
      <c r="Z39" s="414">
        <f>SUM(X39:Y39)</f>
        <v>138390</v>
      </c>
      <c r="AA39" s="413">
        <f>X39-D40</f>
        <v>-43271</v>
      </c>
      <c r="AB39" s="415">
        <f>Y39-E40</f>
        <v>-93026</v>
      </c>
      <c r="AC39" s="538">
        <f>SUM(AA39:AB39)</f>
        <v>-136297</v>
      </c>
      <c r="AD39" s="274"/>
    </row>
    <row r="40" spans="1:30" s="253" customFormat="1" ht="15.75" thickBot="1">
      <c r="A40" s="1025" t="s">
        <v>568</v>
      </c>
      <c r="B40" s="1026"/>
      <c r="C40" s="1027"/>
      <c r="D40" s="439">
        <v>57854</v>
      </c>
      <c r="E40" s="404">
        <v>216833</v>
      </c>
      <c r="F40" s="405">
        <f>SUM(D40:E40)</f>
        <v>274687</v>
      </c>
      <c r="G40" s="574" t="s">
        <v>468</v>
      </c>
      <c r="H40" s="257"/>
      <c r="I40" s="257"/>
      <c r="J40" s="569">
        <f>2265+50000-50000+1</f>
        <v>2266</v>
      </c>
      <c r="K40" s="971">
        <f>SUM(J40:J42)</f>
        <v>14016</v>
      </c>
      <c r="L40" s="567" t="s">
        <v>469</v>
      </c>
      <c r="M40" s="568"/>
      <c r="N40" s="568"/>
      <c r="O40" s="568"/>
      <c r="P40" s="569">
        <f>29711-1371</f>
        <v>28340</v>
      </c>
      <c r="Q40" s="971">
        <f>SUM(P40:P42)</f>
        <v>109791</v>
      </c>
      <c r="W40" s="971"/>
      <c r="X40" s="441"/>
      <c r="Y40" s="442"/>
      <c r="Z40" s="414"/>
      <c r="AA40" s="413"/>
      <c r="AB40" s="415"/>
      <c r="AC40" s="538"/>
      <c r="AD40" s="274"/>
    </row>
    <row r="41" spans="1:30" s="253" customFormat="1" ht="15">
      <c r="A41" s="753"/>
      <c r="B41" s="315"/>
      <c r="C41" s="402"/>
      <c r="D41" s="439"/>
      <c r="E41" s="404"/>
      <c r="F41" s="405"/>
      <c r="G41" s="689"/>
      <c r="H41" s="259"/>
      <c r="I41" s="259"/>
      <c r="J41" s="565"/>
      <c r="K41" s="963"/>
      <c r="L41" s="982" t="s">
        <v>653</v>
      </c>
      <c r="M41" s="983"/>
      <c r="N41" s="983"/>
      <c r="O41" s="983"/>
      <c r="P41" s="569">
        <v>17025</v>
      </c>
      <c r="Q41" s="963"/>
      <c r="W41" s="963"/>
      <c r="X41" s="441"/>
      <c r="Y41" s="442"/>
      <c r="Z41" s="414"/>
      <c r="AA41" s="413"/>
      <c r="AB41" s="415"/>
      <c r="AC41" s="538"/>
      <c r="AD41" s="274"/>
    </row>
    <row r="42" spans="1:30" s="253" customFormat="1" ht="15.75" thickBot="1">
      <c r="A42" s="693"/>
      <c r="B42" s="691"/>
      <c r="C42" s="692"/>
      <c r="D42" s="694"/>
      <c r="E42" s="695"/>
      <c r="F42" s="696"/>
      <c r="G42" s="1075" t="s">
        <v>30</v>
      </c>
      <c r="H42" s="986"/>
      <c r="I42" s="986"/>
      <c r="J42" s="697">
        <f>475217-462071-1396</f>
        <v>11750</v>
      </c>
      <c r="K42" s="974"/>
      <c r="L42" s="712" t="s">
        <v>25</v>
      </c>
      <c r="M42" s="713"/>
      <c r="N42" s="713"/>
      <c r="O42" s="713"/>
      <c r="P42" s="714">
        <v>64426</v>
      </c>
      <c r="Q42" s="974"/>
      <c r="W42" s="974"/>
      <c r="X42" s="441"/>
      <c r="Y42" s="442"/>
      <c r="Z42" s="400"/>
      <c r="AA42" s="408"/>
      <c r="AB42" s="409"/>
      <c r="AC42" s="540"/>
      <c r="AD42" s="274"/>
    </row>
    <row r="43" spans="1:48" s="272" customFormat="1" ht="16.5" thickBot="1">
      <c r="A43" s="1022" t="s">
        <v>451</v>
      </c>
      <c r="B43" s="1023"/>
      <c r="C43" s="1024"/>
      <c r="D43" s="477">
        <f>SUM(D8:D42)</f>
        <v>1435492</v>
      </c>
      <c r="E43" s="443">
        <f>SUM(E7:E42)</f>
        <v>4178419</v>
      </c>
      <c r="F43" s="444">
        <f>SUM(F7:F42)</f>
        <v>5613911</v>
      </c>
      <c r="G43" s="445"/>
      <c r="H43" s="1054" t="s">
        <v>452</v>
      </c>
      <c r="I43" s="1055"/>
      <c r="J43" s="1056"/>
      <c r="K43" s="699">
        <f>SUM(K7:K42)</f>
        <v>201915</v>
      </c>
      <c r="L43" s="446"/>
      <c r="M43" s="975" t="s">
        <v>453</v>
      </c>
      <c r="N43" s="975"/>
      <c r="O43" s="975"/>
      <c r="P43" s="976"/>
      <c r="Q43" s="447">
        <f>SUM(Q7:Q42)</f>
        <v>3487667</v>
      </c>
      <c r="R43" s="715"/>
      <c r="S43" s="1066" t="s">
        <v>454</v>
      </c>
      <c r="T43" s="1066"/>
      <c r="U43" s="1066"/>
      <c r="V43" s="1067"/>
      <c r="W43" s="448">
        <f>SUM(W7:W42)</f>
        <v>1954451</v>
      </c>
      <c r="X43" s="716">
        <f>SUM(X7:X42)</f>
        <v>1546142</v>
      </c>
      <c r="Y43" s="717">
        <f>SUM(Y7:Y42)</f>
        <v>4097891</v>
      </c>
      <c r="Z43" s="718">
        <f>SUM(X43:Y43)</f>
        <v>5644033</v>
      </c>
      <c r="AA43" s="719">
        <f>SUM(AA10:AA42)</f>
        <v>110650</v>
      </c>
      <c r="AB43" s="720">
        <f>SUM(AB9:AB42)</f>
        <v>-80528</v>
      </c>
      <c r="AC43" s="721">
        <f>SUM(AA43:AB43)</f>
        <v>30122</v>
      </c>
      <c r="AD43" s="274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</row>
    <row r="44" spans="1:30" s="454" customFormat="1" ht="14.25" customHeight="1" thickBot="1" thickTop="1">
      <c r="A44" s="994" t="s">
        <v>48</v>
      </c>
      <c r="B44" s="966"/>
      <c r="C44" s="1020"/>
      <c r="D44" s="991" t="s">
        <v>301</v>
      </c>
      <c r="E44" s="992"/>
      <c r="F44" s="993"/>
      <c r="G44" s="979" t="s">
        <v>753</v>
      </c>
      <c r="H44" s="966"/>
      <c r="I44" s="966"/>
      <c r="J44" s="966"/>
      <c r="K44" s="967"/>
      <c r="L44" s="965" t="s">
        <v>754</v>
      </c>
      <c r="M44" s="966"/>
      <c r="N44" s="966"/>
      <c r="O44" s="966"/>
      <c r="P44" s="966"/>
      <c r="Q44" s="967"/>
      <c r="R44" s="965" t="s">
        <v>789</v>
      </c>
      <c r="S44" s="966"/>
      <c r="T44" s="966"/>
      <c r="U44" s="966"/>
      <c r="V44" s="966"/>
      <c r="W44" s="1064"/>
      <c r="X44" s="1013" t="s">
        <v>790</v>
      </c>
      <c r="Y44" s="1007"/>
      <c r="Z44" s="1014"/>
      <c r="AA44" s="1015" t="s">
        <v>297</v>
      </c>
      <c r="AB44" s="1009"/>
      <c r="AC44" s="1010"/>
      <c r="AD44" s="453"/>
    </row>
    <row r="45" spans="1:48" s="254" customFormat="1" ht="15.75" customHeight="1" thickBot="1" thickTop="1">
      <c r="A45" s="980"/>
      <c r="B45" s="969"/>
      <c r="C45" s="1021"/>
      <c r="D45" s="379" t="s">
        <v>440</v>
      </c>
      <c r="E45" s="380" t="s">
        <v>441</v>
      </c>
      <c r="F45" s="381" t="s">
        <v>449</v>
      </c>
      <c r="G45" s="980"/>
      <c r="H45" s="969"/>
      <c r="I45" s="969"/>
      <c r="J45" s="969"/>
      <c r="K45" s="970"/>
      <c r="L45" s="968"/>
      <c r="M45" s="969"/>
      <c r="N45" s="969"/>
      <c r="O45" s="969"/>
      <c r="P45" s="969"/>
      <c r="Q45" s="970"/>
      <c r="R45" s="968"/>
      <c r="S45" s="969"/>
      <c r="T45" s="969"/>
      <c r="U45" s="969"/>
      <c r="V45" s="969"/>
      <c r="W45" s="1065"/>
      <c r="X45" s="455" t="s">
        <v>440</v>
      </c>
      <c r="Y45" s="456" t="s">
        <v>441</v>
      </c>
      <c r="Z45" s="457" t="s">
        <v>449</v>
      </c>
      <c r="AA45" s="458" t="s">
        <v>440</v>
      </c>
      <c r="AB45" s="386" t="s">
        <v>441</v>
      </c>
      <c r="AC45" s="535" t="s">
        <v>449</v>
      </c>
      <c r="AD45" s="274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</row>
    <row r="46" spans="1:30" s="253" customFormat="1" ht="25.5" customHeight="1">
      <c r="A46" s="255"/>
      <c r="D46" s="459"/>
      <c r="F46" s="389"/>
      <c r="G46" s="257" t="s">
        <v>815</v>
      </c>
      <c r="H46" s="257"/>
      <c r="I46" s="257"/>
      <c r="J46" s="390">
        <f>122510+155-11302</f>
        <v>111363</v>
      </c>
      <c r="K46" s="971">
        <f>SUM(J46:J55)</f>
        <v>313907</v>
      </c>
      <c r="L46" s="972" t="s">
        <v>818</v>
      </c>
      <c r="M46" s="973"/>
      <c r="N46" s="973"/>
      <c r="O46" s="973"/>
      <c r="P46" s="392">
        <f>460-79</f>
        <v>381</v>
      </c>
      <c r="Q46" s="971">
        <f>SUM(P46:P55)</f>
        <v>381</v>
      </c>
      <c r="R46" s="972" t="s">
        <v>816</v>
      </c>
      <c r="S46" s="973"/>
      <c r="T46" s="973"/>
      <c r="U46" s="973"/>
      <c r="V46" s="392">
        <v>200</v>
      </c>
      <c r="W46" s="1016">
        <f>SUM(V46:V55)</f>
        <v>28919</v>
      </c>
      <c r="X46" s="285"/>
      <c r="Y46" s="460"/>
      <c r="Z46" s="461"/>
      <c r="AA46" s="255"/>
      <c r="AB46" s="401"/>
      <c r="AC46" s="537"/>
      <c r="AD46" s="274"/>
    </row>
    <row r="47" spans="1:30" s="253" customFormat="1" ht="24" customHeight="1">
      <c r="A47" s="274"/>
      <c r="B47" s="263"/>
      <c r="C47" s="263"/>
      <c r="D47" s="462"/>
      <c r="F47" s="418"/>
      <c r="G47" s="259" t="s">
        <v>817</v>
      </c>
      <c r="H47" s="259"/>
      <c r="I47" s="259"/>
      <c r="J47" s="398">
        <f>504+20</f>
        <v>524</v>
      </c>
      <c r="K47" s="963"/>
      <c r="Q47" s="963"/>
      <c r="R47" s="977" t="s">
        <v>819</v>
      </c>
      <c r="S47" s="978"/>
      <c r="T47" s="978"/>
      <c r="U47" s="978"/>
      <c r="V47" s="392">
        <v>150</v>
      </c>
      <c r="W47" s="1017"/>
      <c r="X47" s="410"/>
      <c r="Y47" s="407"/>
      <c r="Z47" s="400"/>
      <c r="AA47" s="408"/>
      <c r="AB47" s="409"/>
      <c r="AC47" s="538"/>
      <c r="AD47" s="274"/>
    </row>
    <row r="48" spans="1:30" s="253" customFormat="1" ht="18.75" customHeight="1">
      <c r="A48" s="274"/>
      <c r="B48" s="1026" t="s">
        <v>567</v>
      </c>
      <c r="C48" s="1027"/>
      <c r="D48" s="439">
        <v>347821</v>
      </c>
      <c r="E48" s="404">
        <v>0</v>
      </c>
      <c r="F48" s="405">
        <f>SUM(D48:E48)</f>
        <v>347821</v>
      </c>
      <c r="G48" s="259" t="s">
        <v>820</v>
      </c>
      <c r="H48" s="259"/>
      <c r="I48" s="259"/>
      <c r="J48" s="398">
        <f>29250-6508</f>
        <v>22742</v>
      </c>
      <c r="K48" s="963"/>
      <c r="L48" s="977"/>
      <c r="M48" s="978"/>
      <c r="N48" s="978"/>
      <c r="O48" s="978"/>
      <c r="P48" s="392"/>
      <c r="Q48" s="963"/>
      <c r="R48" s="977" t="s">
        <v>821</v>
      </c>
      <c r="S48" s="978"/>
      <c r="T48" s="978"/>
      <c r="U48" s="978"/>
      <c r="V48" s="463">
        <v>161</v>
      </c>
      <c r="W48" s="1017"/>
      <c r="X48" s="410">
        <f>SUM(W46,Q46,K46)</f>
        <v>343207</v>
      </c>
      <c r="Y48" s="407">
        <v>0</v>
      </c>
      <c r="Z48" s="414">
        <f>SUM(Y48,X48)</f>
        <v>343207</v>
      </c>
      <c r="AA48" s="413">
        <f>X48-D48</f>
        <v>-4614</v>
      </c>
      <c r="AB48" s="415">
        <v>0</v>
      </c>
      <c r="AC48" s="538">
        <f>SUM(AA48:AB48)</f>
        <v>-4614</v>
      </c>
      <c r="AD48" s="274"/>
    </row>
    <row r="49" spans="1:30" s="253" customFormat="1" ht="12.75" customHeight="1">
      <c r="A49" s="274"/>
      <c r="B49" s="263"/>
      <c r="C49" s="263"/>
      <c r="D49" s="464"/>
      <c r="E49" s="465"/>
      <c r="F49" s="466"/>
      <c r="G49" s="259" t="s">
        <v>822</v>
      </c>
      <c r="H49" s="259"/>
      <c r="I49" s="259"/>
      <c r="J49" s="398">
        <f>1989+100</f>
        <v>2089</v>
      </c>
      <c r="K49" s="963"/>
      <c r="L49" s="977"/>
      <c r="M49" s="978"/>
      <c r="N49" s="978"/>
      <c r="O49" s="978"/>
      <c r="P49" s="392"/>
      <c r="Q49" s="963"/>
      <c r="R49" s="977" t="s">
        <v>823</v>
      </c>
      <c r="S49" s="978"/>
      <c r="T49" s="978"/>
      <c r="U49" s="978"/>
      <c r="V49" s="392">
        <f>372+1372+370</f>
        <v>2114</v>
      </c>
      <c r="W49" s="1017"/>
      <c r="X49" s="410"/>
      <c r="Y49" s="407"/>
      <c r="Z49" s="400"/>
      <c r="AA49" s="408"/>
      <c r="AB49" s="409"/>
      <c r="AC49" s="538"/>
      <c r="AD49" s="274"/>
    </row>
    <row r="50" spans="1:30" s="253" customFormat="1" ht="12.75" customHeight="1">
      <c r="A50" s="274"/>
      <c r="B50" s="263"/>
      <c r="C50" s="263"/>
      <c r="D50" s="464"/>
      <c r="E50" s="465"/>
      <c r="F50" s="466"/>
      <c r="G50" s="259" t="s">
        <v>824</v>
      </c>
      <c r="H50" s="259"/>
      <c r="I50" s="259"/>
      <c r="J50" s="398">
        <f>2000-960</f>
        <v>1040</v>
      </c>
      <c r="K50" s="963"/>
      <c r="L50" s="258"/>
      <c r="M50" s="259"/>
      <c r="N50" s="259"/>
      <c r="O50" s="259"/>
      <c r="P50" s="392"/>
      <c r="Q50" s="963"/>
      <c r="R50" s="977" t="s">
        <v>825</v>
      </c>
      <c r="S50" s="978"/>
      <c r="T50" s="978"/>
      <c r="U50" s="978"/>
      <c r="V50" s="419">
        <v>150</v>
      </c>
      <c r="W50" s="1017"/>
      <c r="X50" s="410"/>
      <c r="Y50" s="407"/>
      <c r="Z50" s="400"/>
      <c r="AA50" s="408"/>
      <c r="AB50" s="409"/>
      <c r="AC50" s="538"/>
      <c r="AD50" s="274"/>
    </row>
    <row r="51" spans="1:30" s="253" customFormat="1" ht="12.75" customHeight="1">
      <c r="A51" s="274"/>
      <c r="B51" s="263"/>
      <c r="C51" s="263"/>
      <c r="D51" s="464"/>
      <c r="E51" s="465"/>
      <c r="F51" s="466"/>
      <c r="G51" s="978" t="s">
        <v>562</v>
      </c>
      <c r="H51" s="978"/>
      <c r="I51" s="978"/>
      <c r="J51" s="398">
        <v>33322</v>
      </c>
      <c r="K51" s="963"/>
      <c r="L51" s="258"/>
      <c r="M51" s="259"/>
      <c r="N51" s="259"/>
      <c r="O51" s="259"/>
      <c r="P51" s="392"/>
      <c r="Q51" s="963"/>
      <c r="R51" s="977" t="s">
        <v>308</v>
      </c>
      <c r="S51" s="978"/>
      <c r="T51" s="978"/>
      <c r="U51" s="978"/>
      <c r="V51" s="256">
        <v>12050</v>
      </c>
      <c r="W51" s="1017"/>
      <c r="X51" s="392"/>
      <c r="Y51" s="409"/>
      <c r="Z51" s="400"/>
      <c r="AA51" s="408"/>
      <c r="AB51" s="409"/>
      <c r="AC51" s="538"/>
      <c r="AD51" s="274"/>
    </row>
    <row r="52" spans="1:30" s="253" customFormat="1" ht="12.75" customHeight="1">
      <c r="A52" s="274"/>
      <c r="B52" s="263"/>
      <c r="C52" s="263"/>
      <c r="D52" s="464"/>
      <c r="E52" s="465"/>
      <c r="F52" s="466"/>
      <c r="G52" s="981" t="s">
        <v>550</v>
      </c>
      <c r="H52" s="978"/>
      <c r="I52" s="978"/>
      <c r="J52" s="468">
        <v>129889</v>
      </c>
      <c r="K52" s="963"/>
      <c r="L52" s="258"/>
      <c r="M52" s="259"/>
      <c r="N52" s="259"/>
      <c r="O52" s="259"/>
      <c r="P52" s="392"/>
      <c r="Q52" s="963"/>
      <c r="R52" s="977" t="s">
        <v>313</v>
      </c>
      <c r="S52" s="978"/>
      <c r="T52" s="978"/>
      <c r="U52" s="978"/>
      <c r="V52" s="256">
        <v>100</v>
      </c>
      <c r="W52" s="1017"/>
      <c r="X52" s="408"/>
      <c r="Y52" s="409"/>
      <c r="Z52" s="400"/>
      <c r="AA52" s="408"/>
      <c r="AB52" s="409"/>
      <c r="AC52" s="538"/>
      <c r="AD52" s="274"/>
    </row>
    <row r="53" spans="1:30" s="253" customFormat="1" ht="12.75" customHeight="1">
      <c r="A53" s="274"/>
      <c r="B53" s="263"/>
      <c r="C53" s="263"/>
      <c r="D53" s="464"/>
      <c r="E53" s="465"/>
      <c r="F53" s="466"/>
      <c r="G53" s="981" t="s">
        <v>783</v>
      </c>
      <c r="H53" s="978"/>
      <c r="I53" s="978"/>
      <c r="J53" s="392">
        <v>2045</v>
      </c>
      <c r="K53" s="963"/>
      <c r="L53" s="258"/>
      <c r="M53" s="259"/>
      <c r="N53" s="259"/>
      <c r="O53" s="259"/>
      <c r="P53" s="392"/>
      <c r="Q53" s="963"/>
      <c r="R53" s="977" t="s">
        <v>315</v>
      </c>
      <c r="S53" s="978"/>
      <c r="T53" s="978"/>
      <c r="U53" s="978"/>
      <c r="V53" s="256">
        <v>13994</v>
      </c>
      <c r="W53" s="1017"/>
      <c r="X53" s="408"/>
      <c r="Y53" s="409"/>
      <c r="Z53" s="400"/>
      <c r="AA53" s="408"/>
      <c r="AB53" s="409"/>
      <c r="AC53" s="538"/>
      <c r="AD53" s="274"/>
    </row>
    <row r="54" spans="1:30" s="253" customFormat="1" ht="12.75" customHeight="1">
      <c r="A54" s="274"/>
      <c r="B54" s="263"/>
      <c r="C54" s="263"/>
      <c r="D54" s="464"/>
      <c r="E54" s="465"/>
      <c r="F54" s="466"/>
      <c r="G54" s="981" t="s">
        <v>864</v>
      </c>
      <c r="H54" s="978"/>
      <c r="I54" s="978"/>
      <c r="J54" s="392">
        <f>10666+5</f>
        <v>10671</v>
      </c>
      <c r="K54" s="963"/>
      <c r="L54" s="258"/>
      <c r="M54" s="259"/>
      <c r="N54" s="259"/>
      <c r="O54" s="259"/>
      <c r="P54" s="392"/>
      <c r="Q54" s="963"/>
      <c r="R54" s="259"/>
      <c r="S54" s="259"/>
      <c r="T54" s="259"/>
      <c r="U54" s="259"/>
      <c r="V54" s="256"/>
      <c r="W54" s="1017"/>
      <c r="X54" s="392"/>
      <c r="Y54" s="409"/>
      <c r="Z54" s="400"/>
      <c r="AA54" s="408"/>
      <c r="AB54" s="409"/>
      <c r="AC54" s="538"/>
      <c r="AD54" s="274"/>
    </row>
    <row r="55" spans="1:30" s="253" customFormat="1" ht="12.75" customHeight="1" thickBot="1">
      <c r="A55" s="274"/>
      <c r="B55" s="263"/>
      <c r="C55" s="263"/>
      <c r="D55" s="464"/>
      <c r="E55" s="465"/>
      <c r="F55" s="467"/>
      <c r="G55" s="981" t="s">
        <v>855</v>
      </c>
      <c r="H55" s="978"/>
      <c r="I55" s="978"/>
      <c r="J55" s="392">
        <v>222</v>
      </c>
      <c r="K55" s="964"/>
      <c r="L55" s="258"/>
      <c r="M55" s="259"/>
      <c r="N55" s="259"/>
      <c r="O55" s="259"/>
      <c r="P55" s="392"/>
      <c r="Q55" s="964"/>
      <c r="R55" s="263"/>
      <c r="S55" s="275"/>
      <c r="W55" s="1068"/>
      <c r="X55" s="563"/>
      <c r="Y55" s="426"/>
      <c r="Z55" s="424"/>
      <c r="AA55" s="425"/>
      <c r="AB55" s="426"/>
      <c r="AC55" s="538"/>
      <c r="AD55" s="274"/>
    </row>
    <row r="56" spans="1:49" s="268" customFormat="1" ht="15.75" customHeight="1" thickBot="1">
      <c r="A56" s="469"/>
      <c r="B56" s="1028" t="s">
        <v>812</v>
      </c>
      <c r="C56" s="1029"/>
      <c r="D56" s="431">
        <v>15</v>
      </c>
      <c r="E56" s="432">
        <v>0</v>
      </c>
      <c r="F56" s="428">
        <f>SUM(D56:E56)</f>
        <v>15</v>
      </c>
      <c r="G56" s="1077" t="s">
        <v>826</v>
      </c>
      <c r="H56" s="1077"/>
      <c r="I56" s="1077"/>
      <c r="J56" s="470">
        <v>15</v>
      </c>
      <c r="K56" s="436">
        <v>15</v>
      </c>
      <c r="L56" s="435"/>
      <c r="M56" s="433"/>
      <c r="N56" s="433"/>
      <c r="O56" s="433"/>
      <c r="P56" s="471"/>
      <c r="Q56" s="436">
        <v>0</v>
      </c>
      <c r="R56" s="433"/>
      <c r="S56" s="433"/>
      <c r="T56" s="433"/>
      <c r="U56" s="433"/>
      <c r="V56" s="434"/>
      <c r="W56" s="472">
        <v>0</v>
      </c>
      <c r="X56" s="473">
        <f>SUM(W56,Q56,K56)</f>
        <v>15</v>
      </c>
      <c r="Y56" s="437">
        <v>0</v>
      </c>
      <c r="Z56" s="438">
        <f>SUM(X56:Y56)</f>
        <v>15</v>
      </c>
      <c r="AA56" s="429">
        <f>X56-D56</f>
        <v>0</v>
      </c>
      <c r="AB56" s="430">
        <v>0</v>
      </c>
      <c r="AC56" s="541">
        <v>0</v>
      </c>
      <c r="AD56" s="274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</row>
    <row r="57" spans="1:30" s="253" customFormat="1" ht="15.75" customHeight="1">
      <c r="A57" s="274"/>
      <c r="B57" s="315"/>
      <c r="C57" s="315"/>
      <c r="D57" s="439"/>
      <c r="E57" s="404"/>
      <c r="F57" s="466"/>
      <c r="G57" s="259"/>
      <c r="H57" s="259"/>
      <c r="I57" s="259"/>
      <c r="J57" s="474"/>
      <c r="K57" s="440"/>
      <c r="L57" s="267"/>
      <c r="P57" s="420"/>
      <c r="Q57" s="440"/>
      <c r="W57" s="475"/>
      <c r="X57" s="476"/>
      <c r="Y57" s="442"/>
      <c r="Z57" s="400"/>
      <c r="AA57" s="408"/>
      <c r="AB57" s="409"/>
      <c r="AC57" s="538"/>
      <c r="AD57" s="274"/>
    </row>
    <row r="58" spans="1:30" s="253" customFormat="1" ht="15.75" customHeight="1" thickBot="1">
      <c r="A58" s="1022" t="s">
        <v>49</v>
      </c>
      <c r="B58" s="1023"/>
      <c r="C58" s="1024"/>
      <c r="D58" s="477">
        <f>SUM(D46:D57)</f>
        <v>347836</v>
      </c>
      <c r="E58" s="443">
        <f>SUM(E46:E57)</f>
        <v>0</v>
      </c>
      <c r="F58" s="444">
        <f>SUM(F46:F57)</f>
        <v>347836</v>
      </c>
      <c r="G58" s="478"/>
      <c r="H58" s="1054" t="s">
        <v>452</v>
      </c>
      <c r="I58" s="1055"/>
      <c r="J58" s="1056"/>
      <c r="K58" s="447">
        <f>SUM(K46:K56)</f>
        <v>313922</v>
      </c>
      <c r="L58" s="446"/>
      <c r="M58" s="975" t="s">
        <v>453</v>
      </c>
      <c r="N58" s="975"/>
      <c r="O58" s="975"/>
      <c r="P58" s="976"/>
      <c r="Q58" s="447">
        <f>SUM(Q46:Q56)</f>
        <v>381</v>
      </c>
      <c r="R58" s="445"/>
      <c r="S58" s="975" t="s">
        <v>454</v>
      </c>
      <c r="T58" s="975"/>
      <c r="U58" s="975"/>
      <c r="V58" s="976"/>
      <c r="W58" s="479">
        <f>SUM(W46:W56)</f>
        <v>28919</v>
      </c>
      <c r="X58" s="480">
        <f>SUM(X46:X56)</f>
        <v>343222</v>
      </c>
      <c r="Y58" s="449">
        <v>0</v>
      </c>
      <c r="Z58" s="450">
        <f>SUM(X58:Y58)</f>
        <v>343222</v>
      </c>
      <c r="AA58" s="451">
        <f>X58-D58</f>
        <v>-4614</v>
      </c>
      <c r="AB58" s="452">
        <v>0</v>
      </c>
      <c r="AC58" s="542">
        <f>SUM(AA58:AB58)</f>
        <v>-4614</v>
      </c>
      <c r="AD58" s="274"/>
    </row>
    <row r="59" spans="1:49" s="272" customFormat="1" ht="17.25" thickBot="1" thickTop="1">
      <c r="A59" s="271"/>
      <c r="B59" s="278"/>
      <c r="C59" s="278"/>
      <c r="D59" s="481"/>
      <c r="F59" s="482"/>
      <c r="I59" s="279"/>
      <c r="J59" s="279"/>
      <c r="K59" s="313"/>
      <c r="L59" s="273"/>
      <c r="Q59" s="313"/>
      <c r="W59" s="483"/>
      <c r="X59" s="484"/>
      <c r="Y59" s="485"/>
      <c r="Z59" s="486"/>
      <c r="AA59" s="271"/>
      <c r="AB59" s="487"/>
      <c r="AC59" s="543"/>
      <c r="AD59" s="274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</row>
    <row r="60" spans="1:49" ht="18.75" customHeight="1" thickBot="1" thickTop="1">
      <c r="A60" s="994" t="s">
        <v>309</v>
      </c>
      <c r="B60" s="995"/>
      <c r="C60" s="995"/>
      <c r="D60" s="991" t="s">
        <v>301</v>
      </c>
      <c r="E60" s="992"/>
      <c r="F60" s="993"/>
      <c r="G60" s="979" t="s">
        <v>753</v>
      </c>
      <c r="H60" s="1033"/>
      <c r="I60" s="1033"/>
      <c r="J60" s="1033"/>
      <c r="K60" s="1034"/>
      <c r="L60" s="965" t="s">
        <v>754</v>
      </c>
      <c r="M60" s="998"/>
      <c r="N60" s="998"/>
      <c r="O60" s="998"/>
      <c r="P60" s="998"/>
      <c r="Q60" s="1011"/>
      <c r="R60" s="965" t="s">
        <v>789</v>
      </c>
      <c r="S60" s="998"/>
      <c r="T60" s="998"/>
      <c r="U60" s="998"/>
      <c r="V60" s="998"/>
      <c r="W60" s="1062"/>
      <c r="X60" s="1013" t="s">
        <v>790</v>
      </c>
      <c r="Y60" s="1007"/>
      <c r="Z60" s="1007"/>
      <c r="AA60" s="1008" t="s">
        <v>297</v>
      </c>
      <c r="AB60" s="1009"/>
      <c r="AC60" s="1010"/>
      <c r="AD60" s="274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</row>
    <row r="61" spans="1:30" ht="16.5" customHeight="1" thickBot="1">
      <c r="A61" s="996"/>
      <c r="B61" s="997"/>
      <c r="C61" s="997"/>
      <c r="D61" s="379" t="s">
        <v>440</v>
      </c>
      <c r="E61" s="380" t="s">
        <v>441</v>
      </c>
      <c r="F61" s="381" t="s">
        <v>449</v>
      </c>
      <c r="G61" s="1035"/>
      <c r="H61" s="1036"/>
      <c r="I61" s="1036"/>
      <c r="J61" s="1036"/>
      <c r="K61" s="1037"/>
      <c r="L61" s="999"/>
      <c r="M61" s="1000"/>
      <c r="N61" s="1000"/>
      <c r="O61" s="1000"/>
      <c r="P61" s="1000"/>
      <c r="Q61" s="1012"/>
      <c r="R61" s="999"/>
      <c r="S61" s="1000"/>
      <c r="T61" s="1000"/>
      <c r="U61" s="1000"/>
      <c r="V61" s="1000"/>
      <c r="W61" s="1063"/>
      <c r="X61" s="455" t="s">
        <v>440</v>
      </c>
      <c r="Y61" s="383" t="s">
        <v>441</v>
      </c>
      <c r="Z61" s="384" t="s">
        <v>449</v>
      </c>
      <c r="AA61" s="382" t="s">
        <v>440</v>
      </c>
      <c r="AB61" s="386" t="s">
        <v>441</v>
      </c>
      <c r="AC61" s="535" t="s">
        <v>449</v>
      </c>
      <c r="AD61" s="274"/>
    </row>
    <row r="62" spans="1:30" ht="2.25" customHeight="1" hidden="1">
      <c r="A62" s="274"/>
      <c r="B62" s="253"/>
      <c r="C62" s="253"/>
      <c r="D62" s="459"/>
      <c r="F62" s="418"/>
      <c r="K62" s="266"/>
      <c r="L62" s="267"/>
      <c r="M62" s="253"/>
      <c r="N62" s="253"/>
      <c r="O62" s="253"/>
      <c r="P62" s="253"/>
      <c r="Q62" s="266"/>
      <c r="W62" s="270"/>
      <c r="X62" s="253"/>
      <c r="Y62" s="459"/>
      <c r="Z62" s="286"/>
      <c r="AA62" s="274"/>
      <c r="AB62" s="459"/>
      <c r="AC62" s="537"/>
      <c r="AD62" s="274"/>
    </row>
    <row r="63" spans="1:30" ht="30.75" customHeight="1">
      <c r="A63" s="274"/>
      <c r="B63" s="253"/>
      <c r="C63" s="253"/>
      <c r="D63" s="459"/>
      <c r="F63" s="418"/>
      <c r="G63" s="973" t="s">
        <v>827</v>
      </c>
      <c r="H63" s="973"/>
      <c r="I63" s="973"/>
      <c r="J63" s="488">
        <f>14892-918</f>
        <v>13974</v>
      </c>
      <c r="K63" s="963">
        <f>SUM(J63:J68)</f>
        <v>127376</v>
      </c>
      <c r="L63" s="972" t="s">
        <v>470</v>
      </c>
      <c r="M63" s="973"/>
      <c r="N63" s="973"/>
      <c r="O63" s="973"/>
      <c r="P63" s="392">
        <v>10699</v>
      </c>
      <c r="Q63" s="963">
        <f>SUM(P63)</f>
        <v>10699</v>
      </c>
      <c r="R63" s="972" t="s">
        <v>828</v>
      </c>
      <c r="S63" s="1073"/>
      <c r="T63" s="1073"/>
      <c r="U63" s="1073"/>
      <c r="V63" s="489">
        <v>4373</v>
      </c>
      <c r="W63" s="1017">
        <f>SUM(V63:V66)</f>
        <v>16734</v>
      </c>
      <c r="X63" s="392"/>
      <c r="Y63" s="409"/>
      <c r="Z63" s="400"/>
      <c r="AA63" s="408"/>
      <c r="AB63" s="409"/>
      <c r="AC63" s="538"/>
      <c r="AD63" s="274"/>
    </row>
    <row r="64" spans="1:30" ht="27" customHeight="1">
      <c r="A64" s="1043" t="s">
        <v>567</v>
      </c>
      <c r="B64" s="920"/>
      <c r="C64" s="1044"/>
      <c r="D64" s="439">
        <v>173825</v>
      </c>
      <c r="E64" s="404">
        <v>1762</v>
      </c>
      <c r="F64" s="405">
        <f>SUM(D64:E64)</f>
        <v>175587</v>
      </c>
      <c r="G64" s="988" t="s">
        <v>551</v>
      </c>
      <c r="H64" s="973"/>
      <c r="I64" s="973"/>
      <c r="J64" s="398">
        <f>85008+6051-2295</f>
        <v>88764</v>
      </c>
      <c r="K64" s="963"/>
      <c r="L64" s="267"/>
      <c r="M64" s="253"/>
      <c r="N64" s="253"/>
      <c r="O64" s="253"/>
      <c r="P64" s="253"/>
      <c r="Q64" s="963"/>
      <c r="R64" s="977" t="s">
        <v>829</v>
      </c>
      <c r="S64" s="978"/>
      <c r="T64" s="978"/>
      <c r="U64" s="978"/>
      <c r="V64" s="489">
        <v>499</v>
      </c>
      <c r="W64" s="1017"/>
      <c r="X64" s="416">
        <f>SUM(W63,Q63,K63)</f>
        <v>154809</v>
      </c>
      <c r="Y64" s="415">
        <f>SUM(W68+Q67)</f>
        <v>1491</v>
      </c>
      <c r="Z64" s="414">
        <f>SUM(X64:Y64)</f>
        <v>156300</v>
      </c>
      <c r="AA64" s="584">
        <f>X64-D64</f>
        <v>-19016</v>
      </c>
      <c r="AB64" s="415">
        <f>Y64-E64</f>
        <v>-271</v>
      </c>
      <c r="AC64" s="539">
        <f>SUM(AA64:AB64)</f>
        <v>-19287</v>
      </c>
      <c r="AD64" s="274"/>
    </row>
    <row r="65" spans="1:30" ht="15.75" customHeight="1">
      <c r="A65" s="314"/>
      <c r="B65" s="312"/>
      <c r="C65" s="562"/>
      <c r="D65" s="439"/>
      <c r="E65" s="404"/>
      <c r="F65" s="405"/>
      <c r="G65" s="981" t="s">
        <v>559</v>
      </c>
      <c r="H65" s="978"/>
      <c r="I65" s="978"/>
      <c r="J65" s="398">
        <f>13806-198</f>
        <v>13608</v>
      </c>
      <c r="K65" s="963"/>
      <c r="L65" s="267"/>
      <c r="M65" s="253"/>
      <c r="N65" s="253"/>
      <c r="O65" s="253"/>
      <c r="P65" s="570"/>
      <c r="Q65" s="963"/>
      <c r="R65" s="977" t="s">
        <v>308</v>
      </c>
      <c r="S65" s="978"/>
      <c r="T65" s="978"/>
      <c r="U65" s="978"/>
      <c r="V65" s="577">
        <v>3296</v>
      </c>
      <c r="W65" s="1017"/>
      <c r="X65" s="410"/>
      <c r="Y65" s="407"/>
      <c r="Z65" s="414"/>
      <c r="AA65" s="413"/>
      <c r="AB65" s="415"/>
      <c r="AC65" s="538"/>
      <c r="AD65" s="274"/>
    </row>
    <row r="66" spans="1:30" ht="13.5" customHeight="1" thickBot="1">
      <c r="A66" s="314"/>
      <c r="B66" s="312"/>
      <c r="C66" s="562"/>
      <c r="D66" s="439"/>
      <c r="E66" s="404"/>
      <c r="F66" s="405"/>
      <c r="G66" s="981" t="s">
        <v>783</v>
      </c>
      <c r="H66" s="978"/>
      <c r="I66" s="978"/>
      <c r="J66" s="392">
        <v>3995</v>
      </c>
      <c r="K66" s="963"/>
      <c r="L66" s="276"/>
      <c r="M66" s="277"/>
      <c r="N66" s="277"/>
      <c r="O66" s="277"/>
      <c r="P66" s="571"/>
      <c r="Q66" s="964"/>
      <c r="R66" s="985" t="s">
        <v>313</v>
      </c>
      <c r="S66" s="986"/>
      <c r="T66" s="986"/>
      <c r="U66" s="986"/>
      <c r="V66" s="579">
        <v>8566</v>
      </c>
      <c r="W66" s="1068"/>
      <c r="X66" s="410"/>
      <c r="Y66" s="407"/>
      <c r="Z66" s="414"/>
      <c r="AA66" s="413"/>
      <c r="AB66" s="415"/>
      <c r="AC66" s="538"/>
      <c r="AD66" s="274"/>
    </row>
    <row r="67" spans="1:30" ht="32.25" customHeight="1">
      <c r="A67" s="314"/>
      <c r="B67" s="312"/>
      <c r="C67" s="562"/>
      <c r="D67" s="439"/>
      <c r="E67" s="404"/>
      <c r="F67" s="405"/>
      <c r="G67" s="981" t="s">
        <v>784</v>
      </c>
      <c r="H67" s="978"/>
      <c r="I67" s="978"/>
      <c r="J67" s="578">
        <f>2000+4651</f>
        <v>6651</v>
      </c>
      <c r="K67" s="963"/>
      <c r="L67" s="972" t="s">
        <v>471</v>
      </c>
      <c r="M67" s="973"/>
      <c r="N67" s="973"/>
      <c r="O67" s="973"/>
      <c r="P67" s="392">
        <v>1072</v>
      </c>
      <c r="Q67" s="971">
        <f>SUM(P67)</f>
        <v>1072</v>
      </c>
      <c r="W67" s="575"/>
      <c r="X67" s="410"/>
      <c r="Y67" s="407"/>
      <c r="Z67" s="414"/>
      <c r="AA67" s="413"/>
      <c r="AB67" s="415"/>
      <c r="AC67" s="538"/>
      <c r="AD67" s="274"/>
    </row>
    <row r="68" spans="1:30" ht="14.25" customHeight="1">
      <c r="A68" s="314"/>
      <c r="B68" s="312"/>
      <c r="C68" s="562"/>
      <c r="D68" s="439"/>
      <c r="E68" s="404"/>
      <c r="F68" s="405"/>
      <c r="G68" s="981" t="s">
        <v>855</v>
      </c>
      <c r="H68" s="978"/>
      <c r="I68" s="978"/>
      <c r="J68" s="392">
        <v>384</v>
      </c>
      <c r="K68" s="963"/>
      <c r="L68" s="267"/>
      <c r="M68" s="253"/>
      <c r="N68" s="253"/>
      <c r="O68" s="253"/>
      <c r="P68" s="253"/>
      <c r="Q68" s="963"/>
      <c r="R68" s="977" t="s">
        <v>316</v>
      </c>
      <c r="S68" s="978"/>
      <c r="T68" s="978"/>
      <c r="U68" s="978"/>
      <c r="V68" s="489">
        <v>419</v>
      </c>
      <c r="W68" s="575">
        <f>SUM(V68)</f>
        <v>419</v>
      </c>
      <c r="X68" s="410"/>
      <c r="Y68" s="407"/>
      <c r="Z68" s="414"/>
      <c r="AA68" s="413"/>
      <c r="AB68" s="415"/>
      <c r="AC68" s="538"/>
      <c r="AD68" s="274"/>
    </row>
    <row r="69" spans="1:30" ht="17.25" customHeight="1" thickBot="1">
      <c r="A69" s="260"/>
      <c r="B69" s="261"/>
      <c r="C69" s="261"/>
      <c r="D69" s="464"/>
      <c r="E69" s="465"/>
      <c r="F69" s="490"/>
      <c r="G69" s="421"/>
      <c r="H69" s="277"/>
      <c r="I69" s="277"/>
      <c r="J69" s="571"/>
      <c r="K69" s="964"/>
      <c r="L69" s="267"/>
      <c r="M69" s="253"/>
      <c r="N69" s="253"/>
      <c r="O69" s="253"/>
      <c r="P69" s="253"/>
      <c r="Q69" s="964"/>
      <c r="W69" s="576"/>
      <c r="X69" s="422"/>
      <c r="Y69" s="423"/>
      <c r="Z69" s="438"/>
      <c r="AA69" s="491"/>
      <c r="AB69" s="492"/>
      <c r="AC69" s="540"/>
      <c r="AD69" s="274"/>
    </row>
    <row r="70" spans="1:30" ht="27.75" customHeight="1">
      <c r="A70" s="1059" t="s">
        <v>568</v>
      </c>
      <c r="B70" s="1060"/>
      <c r="C70" s="1061"/>
      <c r="D70" s="427">
        <v>15986</v>
      </c>
      <c r="E70" s="493">
        <v>0</v>
      </c>
      <c r="F70" s="405">
        <f>SUM(D70:E70)</f>
        <v>15986</v>
      </c>
      <c r="G70" s="1071" t="s">
        <v>871</v>
      </c>
      <c r="H70" s="1071"/>
      <c r="I70" s="1071"/>
      <c r="J70" s="572">
        <f>8894-2964</f>
        <v>5930</v>
      </c>
      <c r="K70" s="1040">
        <f>SUM(J70:J73)</f>
        <v>7021</v>
      </c>
      <c r="L70" s="982" t="s">
        <v>872</v>
      </c>
      <c r="M70" s="983"/>
      <c r="N70" s="983"/>
      <c r="O70" s="983"/>
      <c r="P70" s="568">
        <v>1923</v>
      </c>
      <c r="Q70" s="971">
        <f>SUM(P70)</f>
        <v>1923</v>
      </c>
      <c r="R70" s="1070" t="s">
        <v>828</v>
      </c>
      <c r="S70" s="1071"/>
      <c r="T70" s="1071"/>
      <c r="U70" s="1071"/>
      <c r="V70" s="391">
        <v>821</v>
      </c>
      <c r="W70" s="494">
        <v>821</v>
      </c>
      <c r="X70" s="416">
        <f>SUM(W70,Q70,K70)</f>
        <v>9765</v>
      </c>
      <c r="Y70" s="415">
        <v>0</v>
      </c>
      <c r="Z70" s="414">
        <f>SUM(X70:Y70)</f>
        <v>9765</v>
      </c>
      <c r="AA70" s="416">
        <f>X70-D70</f>
        <v>-6221</v>
      </c>
      <c r="AB70" s="415">
        <v>0</v>
      </c>
      <c r="AC70" s="414">
        <f>SUM(AA70:AB70)</f>
        <v>-6221</v>
      </c>
      <c r="AD70" s="274"/>
    </row>
    <row r="71" spans="1:30" ht="27.75" customHeight="1">
      <c r="A71" s="314"/>
      <c r="B71" s="315"/>
      <c r="C71" s="315"/>
      <c r="D71" s="439"/>
      <c r="E71" s="404"/>
      <c r="F71" s="466"/>
      <c r="G71" s="988" t="s">
        <v>873</v>
      </c>
      <c r="H71" s="973"/>
      <c r="I71" s="973"/>
      <c r="J71" s="468">
        <f>1224-714</f>
        <v>510</v>
      </c>
      <c r="K71" s="1041"/>
      <c r="L71" s="258"/>
      <c r="M71" s="259"/>
      <c r="N71" s="259"/>
      <c r="O71" s="259"/>
      <c r="P71" s="253"/>
      <c r="Q71" s="963"/>
      <c r="R71" s="559"/>
      <c r="S71" s="560"/>
      <c r="T71" s="560"/>
      <c r="U71" s="560"/>
      <c r="V71" s="392"/>
      <c r="W71" s="564"/>
      <c r="X71" s="416"/>
      <c r="Y71" s="415"/>
      <c r="Z71" s="414"/>
      <c r="AA71" s="413"/>
      <c r="AB71" s="415"/>
      <c r="AC71" s="538"/>
      <c r="AD71" s="274"/>
    </row>
    <row r="72" spans="1:30" ht="17.25" customHeight="1">
      <c r="A72" s="314"/>
      <c r="B72" s="315"/>
      <c r="C72" s="315"/>
      <c r="D72" s="439"/>
      <c r="E72" s="404"/>
      <c r="F72" s="466"/>
      <c r="G72" s="981" t="s">
        <v>855</v>
      </c>
      <c r="H72" s="978"/>
      <c r="I72" s="978"/>
      <c r="J72" s="392">
        <v>46</v>
      </c>
      <c r="K72" s="1041"/>
      <c r="L72" s="258"/>
      <c r="M72" s="259"/>
      <c r="N72" s="259"/>
      <c r="O72" s="259"/>
      <c r="P72" s="253"/>
      <c r="Q72" s="963"/>
      <c r="R72" s="559"/>
      <c r="S72" s="560"/>
      <c r="T72" s="560"/>
      <c r="U72" s="560"/>
      <c r="V72" s="392"/>
      <c r="W72" s="564"/>
      <c r="X72" s="416"/>
      <c r="Y72" s="415"/>
      <c r="Z72" s="414"/>
      <c r="AA72" s="413"/>
      <c r="AB72" s="415"/>
      <c r="AC72" s="538"/>
      <c r="AD72" s="274"/>
    </row>
    <row r="73" spans="1:30" ht="17.25" customHeight="1" thickBot="1">
      <c r="A73" s="271"/>
      <c r="B73" s="272"/>
      <c r="C73" s="272"/>
      <c r="D73" s="495"/>
      <c r="E73" s="496"/>
      <c r="F73" s="497"/>
      <c r="G73" s="1038" t="s">
        <v>783</v>
      </c>
      <c r="H73" s="1039"/>
      <c r="I73" s="1039"/>
      <c r="J73" s="573">
        <v>535</v>
      </c>
      <c r="K73" s="1042"/>
      <c r="L73" s="273"/>
      <c r="M73" s="272"/>
      <c r="N73" s="272"/>
      <c r="O73" s="272"/>
      <c r="P73" s="272"/>
      <c r="Q73" s="1032"/>
      <c r="R73" s="273"/>
      <c r="S73" s="272"/>
      <c r="T73" s="272"/>
      <c r="U73" s="272"/>
      <c r="V73" s="498"/>
      <c r="W73" s="499"/>
      <c r="X73" s="500"/>
      <c r="Y73" s="501"/>
      <c r="Z73" s="502"/>
      <c r="AA73" s="503"/>
      <c r="AB73" s="501"/>
      <c r="AC73" s="544"/>
      <c r="AD73" s="274"/>
    </row>
    <row r="74" spans="1:42" ht="34.5" customHeight="1" thickBot="1" thickTop="1">
      <c r="A74" s="1051" t="s">
        <v>310</v>
      </c>
      <c r="B74" s="1052"/>
      <c r="C74" s="1053"/>
      <c r="D74" s="504">
        <f>SUM(D63:D73)</f>
        <v>189811</v>
      </c>
      <c r="E74" s="505">
        <f>SUM(E63:E73)</f>
        <v>1762</v>
      </c>
      <c r="F74" s="506">
        <f>SUM(D74:E74)</f>
        <v>191573</v>
      </c>
      <c r="G74" s="507"/>
      <c r="H74" s="1054" t="s">
        <v>452</v>
      </c>
      <c r="I74" s="1055"/>
      <c r="J74" s="1056"/>
      <c r="K74" s="509">
        <f>SUM(K63:K73)</f>
        <v>134397</v>
      </c>
      <c r="L74" s="508"/>
      <c r="M74" s="975" t="s">
        <v>453</v>
      </c>
      <c r="N74" s="975"/>
      <c r="O74" s="975"/>
      <c r="P74" s="976"/>
      <c r="Q74" s="509">
        <f>SUM(Q63:Q73)</f>
        <v>13694</v>
      </c>
      <c r="R74" s="510"/>
      <c r="S74" s="975" t="s">
        <v>454</v>
      </c>
      <c r="T74" s="975"/>
      <c r="U74" s="975"/>
      <c r="V74" s="976"/>
      <c r="W74" s="511">
        <f>SUM(W63:W73)</f>
        <v>17974</v>
      </c>
      <c r="X74" s="581">
        <f>SUM(X61:X73)</f>
        <v>164574</v>
      </c>
      <c r="Y74" s="582">
        <f>SUM(Y61:Y73)</f>
        <v>1491</v>
      </c>
      <c r="Z74" s="583">
        <f>SUM(X74:Y74)</f>
        <v>166065</v>
      </c>
      <c r="AA74" s="581">
        <f>X74-D74</f>
        <v>-25237</v>
      </c>
      <c r="AB74" s="727">
        <f>Y74-E74</f>
        <v>-271</v>
      </c>
      <c r="AC74" s="583">
        <f>SUM(AA74:AB74)</f>
        <v>-25508</v>
      </c>
      <c r="AD74" s="274"/>
      <c r="AE74" s="253"/>
      <c r="AF74" s="253">
        <f>SUM(AC70,AC64)</f>
        <v>-25508</v>
      </c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</row>
    <row r="75" spans="1:42" s="282" customFormat="1" ht="18.75" customHeight="1" thickBot="1" thickTop="1">
      <c r="A75" s="1045" t="s">
        <v>304</v>
      </c>
      <c r="B75" s="1046"/>
      <c r="C75" s="1047"/>
      <c r="D75" s="512">
        <f>SUM(D74,D58,D43)</f>
        <v>1973139</v>
      </c>
      <c r="E75" s="513">
        <f>SUM(E74,E58,E43)</f>
        <v>4180181</v>
      </c>
      <c r="F75" s="514">
        <f>SUM(D75:E75)</f>
        <v>6153320</v>
      </c>
      <c r="G75" s="280"/>
      <c r="H75" s="1048" t="s">
        <v>455</v>
      </c>
      <c r="I75" s="1049"/>
      <c r="J75" s="1050"/>
      <c r="K75" s="515">
        <f>SUM(K74,K58,K43)</f>
        <v>650234</v>
      </c>
      <c r="L75" s="281"/>
      <c r="M75" s="1057" t="s">
        <v>456</v>
      </c>
      <c r="N75" s="1057"/>
      <c r="O75" s="1057"/>
      <c r="P75" s="1058"/>
      <c r="Q75" s="516">
        <f>SUM(Q74,Q58,Q43)</f>
        <v>3501742</v>
      </c>
      <c r="S75" s="1057" t="s">
        <v>457</v>
      </c>
      <c r="T75" s="1057"/>
      <c r="U75" s="1057"/>
      <c r="V75" s="1058"/>
      <c r="W75" s="517">
        <f>SUM(W74,W58,W43)</f>
        <v>2001344</v>
      </c>
      <c r="X75" s="518">
        <f>SUM(X74,X58,X43)</f>
        <v>2053938</v>
      </c>
      <c r="Y75" s="519">
        <f>SUM(Y74,Y58,Y43)</f>
        <v>4099382</v>
      </c>
      <c r="Z75" s="520">
        <f>SUM(W75+Q75+K75)</f>
        <v>6153320</v>
      </c>
      <c r="AA75" s="521">
        <f>SUM(AA74,AA58,AA43)</f>
        <v>80799</v>
      </c>
      <c r="AB75" s="519">
        <f>SUM(AB74,AB58,AB43)</f>
        <v>-80799</v>
      </c>
      <c r="AC75" s="545">
        <f>SUM(AC74,AC58,AC43)</f>
        <v>0</v>
      </c>
      <c r="AD75" s="274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</row>
    <row r="76" spans="7:42" ht="12.75" customHeight="1" thickTop="1">
      <c r="G76" s="283"/>
      <c r="H76" s="283"/>
      <c r="I76" s="283"/>
      <c r="J76" s="284"/>
      <c r="K76" s="285"/>
      <c r="L76" s="254"/>
      <c r="M76" s="253"/>
      <c r="N76" s="253"/>
      <c r="O76" s="253"/>
      <c r="P76" s="253"/>
      <c r="Q76" s="253"/>
      <c r="R76" s="254"/>
      <c r="AC76" s="254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</row>
    <row r="77" spans="4:42" ht="18.75" customHeight="1">
      <c r="D77" s="1069" t="s">
        <v>565</v>
      </c>
      <c r="E77" s="1074"/>
      <c r="F77" s="1074"/>
      <c r="G77" s="259"/>
      <c r="H77" s="259"/>
      <c r="I77" s="259"/>
      <c r="J77" s="256"/>
      <c r="K77" s="285"/>
      <c r="L77" s="253"/>
      <c r="M77" s="253"/>
      <c r="N77" s="253"/>
      <c r="O77" s="253"/>
      <c r="P77" s="253"/>
      <c r="Q77" s="253"/>
      <c r="R77" s="253"/>
      <c r="W77" s="1069" t="s">
        <v>458</v>
      </c>
      <c r="X77" s="894"/>
      <c r="Y77" s="894"/>
      <c r="Z77" s="522"/>
      <c r="AA77" s="1069" t="s">
        <v>297</v>
      </c>
      <c r="AB77" s="894"/>
      <c r="AC77" s="894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</row>
    <row r="78" spans="4:31" ht="12.75" customHeight="1">
      <c r="D78" s="523" t="s">
        <v>440</v>
      </c>
      <c r="E78" s="523" t="s">
        <v>459</v>
      </c>
      <c r="F78" s="523" t="s">
        <v>449</v>
      </c>
      <c r="G78" s="259"/>
      <c r="H78" s="259"/>
      <c r="I78" s="259"/>
      <c r="J78" s="256"/>
      <c r="K78" s="285"/>
      <c r="L78" s="253"/>
      <c r="M78" s="253"/>
      <c r="N78" s="253"/>
      <c r="O78" s="253"/>
      <c r="P78" s="253"/>
      <c r="Q78" s="253"/>
      <c r="R78" s="253"/>
      <c r="S78" s="1072"/>
      <c r="T78" s="1072"/>
      <c r="U78" s="1072"/>
      <c r="V78" s="1072"/>
      <c r="W78" s="523" t="s">
        <v>440</v>
      </c>
      <c r="X78" s="523" t="s">
        <v>459</v>
      </c>
      <c r="Y78" s="523" t="s">
        <v>449</v>
      </c>
      <c r="Z78" s="252"/>
      <c r="AA78" s="523" t="s">
        <v>440</v>
      </c>
      <c r="AB78" s="523" t="s">
        <v>459</v>
      </c>
      <c r="AC78" s="523" t="s">
        <v>449</v>
      </c>
      <c r="AD78" s="253"/>
      <c r="AE78" s="253"/>
    </row>
    <row r="79" spans="3:31" ht="12.75" customHeight="1">
      <c r="C79" s="524" t="s">
        <v>460</v>
      </c>
      <c r="G79" s="259"/>
      <c r="H79" s="259"/>
      <c r="I79" s="259"/>
      <c r="J79" s="256"/>
      <c r="K79" s="285"/>
      <c r="L79" s="253"/>
      <c r="M79" s="253"/>
      <c r="N79" s="253"/>
      <c r="O79" s="253"/>
      <c r="P79" s="253"/>
      <c r="Q79" s="253"/>
      <c r="R79" s="253"/>
      <c r="T79" s="524" t="s">
        <v>460</v>
      </c>
      <c r="V79" s="1069"/>
      <c r="W79" s="894"/>
      <c r="AC79" s="253"/>
      <c r="AD79" s="253"/>
      <c r="AE79" s="253"/>
    </row>
    <row r="80" spans="3:31" ht="12.75" customHeight="1">
      <c r="C80" s="525" t="s">
        <v>461</v>
      </c>
      <c r="D80" s="488">
        <f>SUM(D9)</f>
        <v>1338971</v>
      </c>
      <c r="E80" s="488">
        <f>SUM(E9)</f>
        <v>3961457</v>
      </c>
      <c r="F80" s="488">
        <f>SUM(D80:E80)</f>
        <v>5300428</v>
      </c>
      <c r="G80" s="259"/>
      <c r="H80" s="259"/>
      <c r="I80" s="259"/>
      <c r="J80" s="256"/>
      <c r="K80" s="285"/>
      <c r="L80" s="253"/>
      <c r="M80" s="253"/>
      <c r="N80" s="253"/>
      <c r="O80" s="253"/>
      <c r="P80" s="253"/>
      <c r="Q80" s="253"/>
      <c r="R80" s="253"/>
      <c r="T80" s="525" t="s">
        <v>461</v>
      </c>
      <c r="V80" s="525"/>
      <c r="W80" s="488">
        <f>SUM(X12)</f>
        <v>1504811</v>
      </c>
      <c r="X80" s="488">
        <f>Y12</f>
        <v>3974084</v>
      </c>
      <c r="Y80" s="488">
        <f>SUM(W80:X80)</f>
        <v>5478895</v>
      </c>
      <c r="Z80" s="420"/>
      <c r="AA80" s="488">
        <f aca="true" t="shared" si="0" ref="AA80:AB82">W80-D80</f>
        <v>165840</v>
      </c>
      <c r="AB80" s="488">
        <f t="shared" si="0"/>
        <v>12627</v>
      </c>
      <c r="AC80" s="420">
        <f>SUM(AA80:AB80)</f>
        <v>178467</v>
      </c>
      <c r="AD80" s="253"/>
      <c r="AE80" s="253"/>
    </row>
    <row r="81" spans="3:31" ht="12.75" customHeight="1">
      <c r="C81" s="525" t="s">
        <v>328</v>
      </c>
      <c r="D81" s="488">
        <f>SUM(D48)</f>
        <v>347821</v>
      </c>
      <c r="E81" s="488">
        <f>SUM(E48)</f>
        <v>0</v>
      </c>
      <c r="F81" s="488">
        <f>SUM(D81:E81)</f>
        <v>347821</v>
      </c>
      <c r="G81" s="259"/>
      <c r="H81" s="259"/>
      <c r="I81" s="259"/>
      <c r="J81" s="264"/>
      <c r="K81" s="285"/>
      <c r="L81" s="253"/>
      <c r="M81" s="253"/>
      <c r="N81" s="253"/>
      <c r="O81" s="253"/>
      <c r="P81" s="253"/>
      <c r="Q81" s="253"/>
      <c r="R81" s="253"/>
      <c r="T81" s="525" t="s">
        <v>328</v>
      </c>
      <c r="V81" s="525"/>
      <c r="W81" s="488">
        <f>SUM(X48)</f>
        <v>343207</v>
      </c>
      <c r="X81" s="488">
        <f>Y48</f>
        <v>0</v>
      </c>
      <c r="Y81" s="488">
        <f>SUM(W81:X81)</f>
        <v>343207</v>
      </c>
      <c r="Z81" s="420"/>
      <c r="AA81" s="488">
        <f t="shared" si="0"/>
        <v>-4614</v>
      </c>
      <c r="AB81" s="488">
        <f t="shared" si="0"/>
        <v>0</v>
      </c>
      <c r="AC81" s="420">
        <f>SUM(AA81:AB81)</f>
        <v>-4614</v>
      </c>
      <c r="AD81" s="253"/>
      <c r="AE81" s="253"/>
    </row>
    <row r="82" spans="3:31" ht="12.75" customHeight="1">
      <c r="C82" s="534" t="s">
        <v>239</v>
      </c>
      <c r="D82" s="527">
        <f>SUM(D64)</f>
        <v>173825</v>
      </c>
      <c r="E82" s="527">
        <f>SUM(E64)</f>
        <v>1762</v>
      </c>
      <c r="F82" s="527">
        <f>SUM(D82:E82)</f>
        <v>175587</v>
      </c>
      <c r="K82" s="253"/>
      <c r="L82" s="253"/>
      <c r="M82" s="253"/>
      <c r="N82" s="253"/>
      <c r="O82" s="253"/>
      <c r="P82" s="253"/>
      <c r="Q82" s="253"/>
      <c r="R82" s="253"/>
      <c r="T82" s="534" t="s">
        <v>239</v>
      </c>
      <c r="U82" s="528"/>
      <c r="V82" s="526"/>
      <c r="W82" s="527">
        <f>SUM(X64)</f>
        <v>154809</v>
      </c>
      <c r="X82" s="527">
        <f>Y64</f>
        <v>1491</v>
      </c>
      <c r="Y82" s="527">
        <f>SUM(W82:X82)</f>
        <v>156300</v>
      </c>
      <c r="Z82" s="420"/>
      <c r="AA82" s="527">
        <f t="shared" si="0"/>
        <v>-19016</v>
      </c>
      <c r="AB82" s="527">
        <f t="shared" si="0"/>
        <v>-271</v>
      </c>
      <c r="AC82" s="527">
        <f>SUM(AA82:AB82)</f>
        <v>-19287</v>
      </c>
      <c r="AD82" s="253"/>
      <c r="AE82" s="253"/>
    </row>
    <row r="83" spans="3:31" ht="12.75" customHeight="1">
      <c r="C83" s="529" t="s">
        <v>303</v>
      </c>
      <c r="D83" s="488">
        <f>SUM(D80:D82)</f>
        <v>1860617</v>
      </c>
      <c r="E83" s="488">
        <f>SUM(E80:E82)</f>
        <v>3963219</v>
      </c>
      <c r="F83" s="488">
        <f>SUM(F80:F82)</f>
        <v>5823836</v>
      </c>
      <c r="K83" s="253"/>
      <c r="L83" s="253"/>
      <c r="M83" s="253"/>
      <c r="N83" s="253"/>
      <c r="O83" s="253"/>
      <c r="P83" s="253"/>
      <c r="Q83" s="253"/>
      <c r="R83" s="253"/>
      <c r="T83" s="529" t="s">
        <v>303</v>
      </c>
      <c r="V83" s="529"/>
      <c r="W83" s="488">
        <f>SUM(W80:W82)</f>
        <v>2002827</v>
      </c>
      <c r="X83" s="488">
        <f>SUM(X80:X82)</f>
        <v>3975575</v>
      </c>
      <c r="Y83" s="488">
        <f>SUM(Y80:Y82)</f>
        <v>5978402</v>
      </c>
      <c r="Z83" s="420"/>
      <c r="AA83" s="488">
        <f>SUM(AA80:AA82)</f>
        <v>142210</v>
      </c>
      <c r="AB83" s="488">
        <f>SUM(AB80:AB82)</f>
        <v>12356</v>
      </c>
      <c r="AC83" s="488">
        <f>SUM(AC80:AC82)</f>
        <v>154566</v>
      </c>
      <c r="AD83" s="253"/>
      <c r="AE83" s="253"/>
    </row>
    <row r="84" spans="4:31" ht="13.5" customHeight="1">
      <c r="D84" s="488"/>
      <c r="E84" s="488"/>
      <c r="F84" s="488"/>
      <c r="L84" s="253"/>
      <c r="M84" s="253"/>
      <c r="N84" s="253"/>
      <c r="O84" s="253"/>
      <c r="P84" s="253"/>
      <c r="Q84" s="253"/>
      <c r="R84" s="253"/>
      <c r="AC84" s="253"/>
      <c r="AD84" s="253"/>
      <c r="AE84" s="253"/>
    </row>
    <row r="85" spans="3:31" ht="12.75">
      <c r="C85" s="524" t="s">
        <v>462</v>
      </c>
      <c r="D85" s="488"/>
      <c r="E85" s="488"/>
      <c r="F85" s="488"/>
      <c r="L85" s="253"/>
      <c r="M85" s="253"/>
      <c r="N85" s="253"/>
      <c r="O85" s="253"/>
      <c r="P85" s="253"/>
      <c r="Q85" s="253"/>
      <c r="R85" s="253"/>
      <c r="T85" s="524" t="s">
        <v>462</v>
      </c>
      <c r="U85" s="378"/>
      <c r="V85" s="524"/>
      <c r="W85" s="530"/>
      <c r="X85" s="530"/>
      <c r="AC85" s="253"/>
      <c r="AD85" s="253"/>
      <c r="AE85" s="253"/>
    </row>
    <row r="86" spans="3:31" ht="12.75">
      <c r="C86" s="525" t="s">
        <v>461</v>
      </c>
      <c r="D86" s="488">
        <f>SUM(D40)</f>
        <v>57854</v>
      </c>
      <c r="E86" s="488">
        <f>SUM(E40)</f>
        <v>216833</v>
      </c>
      <c r="F86" s="488">
        <f>SUM(D86:E86)</f>
        <v>274687</v>
      </c>
      <c r="L86" s="253"/>
      <c r="M86" s="253"/>
      <c r="N86" s="253"/>
      <c r="O86" s="253"/>
      <c r="P86" s="253"/>
      <c r="Q86" s="253"/>
      <c r="R86" s="253"/>
      <c r="T86" s="525" t="s">
        <v>461</v>
      </c>
      <c r="V86" s="525"/>
      <c r="W86" s="488">
        <f>SUM(X39)</f>
        <v>14583</v>
      </c>
      <c r="X86" s="488">
        <f>Y39</f>
        <v>123807</v>
      </c>
      <c r="Y86" s="488">
        <f>SUM(W86:X86)</f>
        <v>138390</v>
      </c>
      <c r="Z86" s="420"/>
      <c r="AA86" s="488">
        <f aca="true" t="shared" si="1" ref="AA86:AB88">W86-D86</f>
        <v>-43271</v>
      </c>
      <c r="AB86" s="488">
        <f t="shared" si="1"/>
        <v>-93026</v>
      </c>
      <c r="AC86" s="420">
        <f>SUM(AA86:AB86)</f>
        <v>-136297</v>
      </c>
      <c r="AD86" s="253"/>
      <c r="AE86" s="253"/>
    </row>
    <row r="87" spans="3:31" ht="12.75">
      <c r="C87" s="525" t="s">
        <v>328</v>
      </c>
      <c r="D87" s="488">
        <v>0</v>
      </c>
      <c r="E87" s="488">
        <v>0</v>
      </c>
      <c r="F87" s="488">
        <f>SUM(D87:E87)</f>
        <v>0</v>
      </c>
      <c r="L87" s="253"/>
      <c r="M87" s="253"/>
      <c r="N87" s="253"/>
      <c r="O87" s="253"/>
      <c r="P87" s="253"/>
      <c r="Q87" s="253"/>
      <c r="R87" s="253"/>
      <c r="T87" s="525" t="s">
        <v>328</v>
      </c>
      <c r="V87" s="525"/>
      <c r="W87" s="488">
        <v>0</v>
      </c>
      <c r="X87" s="488">
        <v>0</v>
      </c>
      <c r="Y87" s="488">
        <f>SUM(W87:X87)</f>
        <v>0</v>
      </c>
      <c r="Z87" s="420"/>
      <c r="AA87" s="488">
        <f t="shared" si="1"/>
        <v>0</v>
      </c>
      <c r="AB87" s="488">
        <f t="shared" si="1"/>
        <v>0</v>
      </c>
      <c r="AC87" s="420">
        <f>SUM(AA87:AB87)</f>
        <v>0</v>
      </c>
      <c r="AD87" s="253"/>
      <c r="AE87" s="253"/>
    </row>
    <row r="88" spans="3:31" ht="12.75">
      <c r="C88" s="534" t="s">
        <v>239</v>
      </c>
      <c r="D88" s="527">
        <f>SUM(D70)</f>
        <v>15986</v>
      </c>
      <c r="E88" s="527">
        <f>SUM(E70)</f>
        <v>0</v>
      </c>
      <c r="F88" s="527">
        <f>SUM(D88:E88)</f>
        <v>15986</v>
      </c>
      <c r="L88" s="253"/>
      <c r="M88" s="253"/>
      <c r="N88" s="253"/>
      <c r="O88" s="253"/>
      <c r="P88" s="253"/>
      <c r="Q88" s="253"/>
      <c r="R88" s="253"/>
      <c r="T88" s="534" t="s">
        <v>239</v>
      </c>
      <c r="U88" s="528"/>
      <c r="V88" s="526"/>
      <c r="W88" s="527">
        <f>SUM(X70)</f>
        <v>9765</v>
      </c>
      <c r="X88" s="527">
        <v>0</v>
      </c>
      <c r="Y88" s="527">
        <f>SUM(W88:X88)</f>
        <v>9765</v>
      </c>
      <c r="Z88" s="420"/>
      <c r="AA88" s="527">
        <f t="shared" si="1"/>
        <v>-6221</v>
      </c>
      <c r="AB88" s="527">
        <f t="shared" si="1"/>
        <v>0</v>
      </c>
      <c r="AC88" s="527">
        <f>SUM(AA88:AB88)</f>
        <v>-6221</v>
      </c>
      <c r="AD88" s="253"/>
      <c r="AE88" s="253"/>
    </row>
    <row r="89" spans="3:31" ht="12.75">
      <c r="C89" s="529" t="s">
        <v>303</v>
      </c>
      <c r="D89" s="488">
        <f>SUM(D86:D88)</f>
        <v>73840</v>
      </c>
      <c r="E89" s="488">
        <f>SUM(E86:E88)</f>
        <v>216833</v>
      </c>
      <c r="F89" s="488">
        <f>SUM(F86:F88)</f>
        <v>290673</v>
      </c>
      <c r="L89" s="253"/>
      <c r="M89" s="253"/>
      <c r="N89" s="253"/>
      <c r="O89" s="253"/>
      <c r="P89" s="253"/>
      <c r="Q89" s="253"/>
      <c r="R89" s="253"/>
      <c r="T89" s="529" t="s">
        <v>303</v>
      </c>
      <c r="V89" s="529"/>
      <c r="W89" s="488">
        <f>SUM(W86:W88)</f>
        <v>24348</v>
      </c>
      <c r="X89" s="488">
        <f>SUM(X86:X88)</f>
        <v>123807</v>
      </c>
      <c r="Y89" s="488">
        <f>SUM(Y86:Y88)</f>
        <v>148155</v>
      </c>
      <c r="Z89" s="420"/>
      <c r="AA89" s="488">
        <f>SUM(AA86:AA88)</f>
        <v>-49492</v>
      </c>
      <c r="AB89" s="488">
        <f>SUM(AB86:AB88)</f>
        <v>-93026</v>
      </c>
      <c r="AC89" s="488">
        <f>SUM(AC86:AC88)</f>
        <v>-142518</v>
      </c>
      <c r="AD89" s="253"/>
      <c r="AE89" s="253"/>
    </row>
    <row r="90" spans="4:31" ht="12.75">
      <c r="D90" s="488"/>
      <c r="E90" s="488"/>
      <c r="F90" s="488"/>
      <c r="Z90" s="253"/>
      <c r="AA90" s="488"/>
      <c r="AB90" s="488"/>
      <c r="AC90" s="253"/>
      <c r="AD90" s="253"/>
      <c r="AE90" s="253"/>
    </row>
    <row r="91" spans="3:31" ht="12.75">
      <c r="C91" s="524" t="s">
        <v>463</v>
      </c>
      <c r="D91" s="488"/>
      <c r="E91" s="488"/>
      <c r="F91" s="488"/>
      <c r="T91" s="524" t="s">
        <v>463</v>
      </c>
      <c r="V91" s="524"/>
      <c r="Z91" s="253"/>
      <c r="AA91" s="488"/>
      <c r="AB91" s="488"/>
      <c r="AC91" s="253"/>
      <c r="AD91" s="253"/>
      <c r="AE91" s="253"/>
    </row>
    <row r="92" spans="3:31" ht="12.75">
      <c r="C92" s="525" t="s">
        <v>461</v>
      </c>
      <c r="D92" s="488">
        <f>SUM(D36)</f>
        <v>38667</v>
      </c>
      <c r="E92" s="488">
        <f>SUM(E36)</f>
        <v>129</v>
      </c>
      <c r="F92" s="488">
        <f>SUM(D92:E92)</f>
        <v>38796</v>
      </c>
      <c r="T92" s="525" t="s">
        <v>461</v>
      </c>
      <c r="V92" s="525"/>
      <c r="W92" s="488">
        <f>SUM(X36)</f>
        <v>26748</v>
      </c>
      <c r="X92" s="488">
        <v>0</v>
      </c>
      <c r="Y92" s="488">
        <f>SUM(W92:X92)</f>
        <v>26748</v>
      </c>
      <c r="Z92" s="420"/>
      <c r="AA92" s="488">
        <f aca="true" t="shared" si="2" ref="AA92:AB94">W92-D92</f>
        <v>-11919</v>
      </c>
      <c r="AB92" s="488">
        <f t="shared" si="2"/>
        <v>-129</v>
      </c>
      <c r="AC92" s="420">
        <f>SUM(AA92:AB92)</f>
        <v>-12048</v>
      </c>
      <c r="AD92" s="253"/>
      <c r="AE92" s="253"/>
    </row>
    <row r="93" spans="3:31" ht="12.75">
      <c r="C93" s="525" t="s">
        <v>328</v>
      </c>
      <c r="D93" s="488">
        <f>SUM(D56)</f>
        <v>15</v>
      </c>
      <c r="E93" s="488">
        <f>SUM(E56)</f>
        <v>0</v>
      </c>
      <c r="F93" s="488">
        <f>SUM(D93:E93)</f>
        <v>15</v>
      </c>
      <c r="T93" s="525" t="s">
        <v>328</v>
      </c>
      <c r="V93" s="525"/>
      <c r="W93" s="488">
        <f>SUM(X56)</f>
        <v>15</v>
      </c>
      <c r="X93" s="488">
        <v>0</v>
      </c>
      <c r="Y93" s="488">
        <f>SUM(W93:X93)</f>
        <v>15</v>
      </c>
      <c r="Z93" s="420"/>
      <c r="AA93" s="488">
        <f t="shared" si="2"/>
        <v>0</v>
      </c>
      <c r="AB93" s="488">
        <f t="shared" si="2"/>
        <v>0</v>
      </c>
      <c r="AC93" s="420">
        <f>SUM(AA93:AB93)</f>
        <v>0</v>
      </c>
      <c r="AD93" s="253"/>
      <c r="AE93" s="253"/>
    </row>
    <row r="94" spans="3:31" ht="12.75">
      <c r="C94" s="534" t="s">
        <v>239</v>
      </c>
      <c r="D94" s="527">
        <v>0</v>
      </c>
      <c r="E94" s="527">
        <v>0</v>
      </c>
      <c r="F94" s="527">
        <f>SUM(D94:E94)</f>
        <v>0</v>
      </c>
      <c r="T94" s="534" t="s">
        <v>239</v>
      </c>
      <c r="U94" s="528"/>
      <c r="V94" s="526"/>
      <c r="W94" s="527">
        <v>0</v>
      </c>
      <c r="X94" s="527">
        <v>0</v>
      </c>
      <c r="Y94" s="527">
        <f>SUM(W94:X94)</f>
        <v>0</v>
      </c>
      <c r="Z94" s="420"/>
      <c r="AA94" s="527">
        <f t="shared" si="2"/>
        <v>0</v>
      </c>
      <c r="AB94" s="527">
        <f t="shared" si="2"/>
        <v>0</v>
      </c>
      <c r="AC94" s="527">
        <f>SUM(AA94:AB94)</f>
        <v>0</v>
      </c>
      <c r="AD94" s="253"/>
      <c r="AE94" s="253"/>
    </row>
    <row r="95" spans="3:31" ht="12.75">
      <c r="C95" s="529" t="s">
        <v>303</v>
      </c>
      <c r="D95" s="488">
        <f>SUM(D92:D94)</f>
        <v>38682</v>
      </c>
      <c r="E95" s="488">
        <f>SUM(E92:E94)</f>
        <v>129</v>
      </c>
      <c r="F95" s="488">
        <f>SUM(F92:F94)</f>
        <v>38811</v>
      </c>
      <c r="T95" s="529" t="s">
        <v>303</v>
      </c>
      <c r="V95" s="529"/>
      <c r="W95" s="488">
        <f>SUM(W92:W94)</f>
        <v>26763</v>
      </c>
      <c r="X95" s="488">
        <f>SUM(X92:X94)</f>
        <v>0</v>
      </c>
      <c r="Y95" s="488">
        <f>SUM(Y92:Y94)</f>
        <v>26763</v>
      </c>
      <c r="Z95" s="420"/>
      <c r="AA95" s="488">
        <f>SUM(AA92:AA94)</f>
        <v>-11919</v>
      </c>
      <c r="AB95" s="488">
        <f>SUM(AB92:AB94)</f>
        <v>-129</v>
      </c>
      <c r="AC95" s="488">
        <f>SUM(AC92:AC94)</f>
        <v>-12048</v>
      </c>
      <c r="AD95" s="253"/>
      <c r="AE95" s="253"/>
    </row>
    <row r="96" spans="26:31" ht="12.75">
      <c r="Z96" s="253"/>
      <c r="AA96" s="488"/>
      <c r="AB96" s="488"/>
      <c r="AC96" s="253"/>
      <c r="AD96" s="253"/>
      <c r="AE96" s="253"/>
    </row>
    <row r="97" spans="3:31" s="531" customFormat="1" ht="12.75">
      <c r="C97" s="531" t="s">
        <v>464</v>
      </c>
      <c r="D97" s="532">
        <f>SUM(D95,D89,D83)</f>
        <v>1973139</v>
      </c>
      <c r="E97" s="532">
        <f>SUM(E95,E89,E83)</f>
        <v>4180181</v>
      </c>
      <c r="F97" s="532">
        <f>SUM(F95,F89,F83)</f>
        <v>6153320</v>
      </c>
      <c r="T97" s="531" t="s">
        <v>464</v>
      </c>
      <c r="W97" s="532">
        <f>SUM(W95,W89,W83)</f>
        <v>2053938</v>
      </c>
      <c r="X97" s="532">
        <f>SUM(X95,X89,X83)</f>
        <v>4099382</v>
      </c>
      <c r="Y97" s="532">
        <f>SUM(Y95,Y89,Y83)</f>
        <v>6153320</v>
      </c>
      <c r="Z97" s="404"/>
      <c r="AA97" s="532">
        <f>SUM(AA95,AA89,AA83)</f>
        <v>80799</v>
      </c>
      <c r="AB97" s="532">
        <f>SUM(AB95,AB89,AB83)</f>
        <v>-80799</v>
      </c>
      <c r="AC97" s="532">
        <f>SUM(AC95,AC89,AC83)</f>
        <v>0</v>
      </c>
      <c r="AD97" s="269"/>
      <c r="AE97" s="269"/>
    </row>
    <row r="98" spans="29:31" ht="12.75">
      <c r="AC98" s="253"/>
      <c r="AD98" s="253"/>
      <c r="AE98" s="253"/>
    </row>
    <row r="99" spans="29:31" ht="12.75">
      <c r="AC99" s="253"/>
      <c r="AD99" s="253"/>
      <c r="AE99" s="253"/>
    </row>
    <row r="100" spans="29:31" ht="12.75">
      <c r="AC100" s="253"/>
      <c r="AD100" s="253"/>
      <c r="AE100" s="253"/>
    </row>
    <row r="101" spans="29:31" ht="12.75">
      <c r="AC101" s="253"/>
      <c r="AD101" s="253"/>
      <c r="AE101" s="253"/>
    </row>
    <row r="102" spans="29:31" ht="12.75">
      <c r="AC102" s="253"/>
      <c r="AD102" s="253"/>
      <c r="AE102" s="253"/>
    </row>
    <row r="103" spans="29:31" ht="12.75">
      <c r="AC103" s="253"/>
      <c r="AD103" s="253"/>
      <c r="AE103" s="253"/>
    </row>
    <row r="104" spans="29:31" ht="12.75">
      <c r="AC104" s="253"/>
      <c r="AD104" s="253"/>
      <c r="AE104" s="253"/>
    </row>
    <row r="105" spans="29:31" ht="12.75">
      <c r="AC105" s="253"/>
      <c r="AD105" s="253"/>
      <c r="AE105" s="253"/>
    </row>
    <row r="106" spans="29:31" ht="12.75">
      <c r="AC106" s="253"/>
      <c r="AD106" s="253"/>
      <c r="AE106" s="253"/>
    </row>
    <row r="107" spans="29:31" ht="12.75">
      <c r="AC107" s="253"/>
      <c r="AD107" s="253"/>
      <c r="AE107" s="253"/>
    </row>
    <row r="108" spans="29:31" ht="12.75">
      <c r="AC108" s="253"/>
      <c r="AD108" s="253"/>
      <c r="AE108" s="253"/>
    </row>
    <row r="109" spans="29:31" ht="12.75">
      <c r="AC109" s="253"/>
      <c r="AD109" s="253"/>
      <c r="AE109" s="253"/>
    </row>
    <row r="110" spans="29:31" ht="12.75">
      <c r="AC110" s="253"/>
      <c r="AD110" s="253"/>
      <c r="AE110" s="253"/>
    </row>
    <row r="111" spans="29:31" ht="12.75">
      <c r="AC111" s="253"/>
      <c r="AD111" s="253"/>
      <c r="AE111" s="253"/>
    </row>
    <row r="112" spans="29:31" ht="12.75">
      <c r="AC112" s="253"/>
      <c r="AD112" s="253"/>
      <c r="AE112" s="253"/>
    </row>
    <row r="113" spans="29:31" ht="12.75">
      <c r="AC113" s="253"/>
      <c r="AD113" s="253"/>
      <c r="AE113" s="253"/>
    </row>
    <row r="114" spans="29:31" ht="12.75">
      <c r="AC114" s="253"/>
      <c r="AD114" s="253"/>
      <c r="AE114" s="253"/>
    </row>
    <row r="115" spans="29:31" ht="12.75">
      <c r="AC115" s="253"/>
      <c r="AD115" s="253"/>
      <c r="AE115" s="253"/>
    </row>
    <row r="116" spans="29:31" ht="12.75">
      <c r="AC116" s="253"/>
      <c r="AD116" s="253"/>
      <c r="AE116" s="253"/>
    </row>
    <row r="117" spans="29:31" ht="12.75">
      <c r="AC117" s="253"/>
      <c r="AD117" s="253"/>
      <c r="AE117" s="253"/>
    </row>
    <row r="118" spans="29:31" ht="12.75">
      <c r="AC118" s="253"/>
      <c r="AD118" s="253"/>
      <c r="AE118" s="253"/>
    </row>
    <row r="119" spans="29:31" ht="12.75">
      <c r="AC119" s="253"/>
      <c r="AD119" s="253"/>
      <c r="AE119" s="253"/>
    </row>
    <row r="120" spans="29:31" ht="12.75">
      <c r="AC120" s="253"/>
      <c r="AD120" s="253"/>
      <c r="AE120" s="253"/>
    </row>
    <row r="121" spans="29:31" ht="12.75">
      <c r="AC121" s="253"/>
      <c r="AD121" s="253"/>
      <c r="AE121" s="253"/>
    </row>
    <row r="122" spans="29:31" ht="12.75">
      <c r="AC122" s="253"/>
      <c r="AD122" s="253"/>
      <c r="AE122" s="253"/>
    </row>
  </sheetData>
  <sheetProtection/>
  <mergeCells count="184">
    <mergeCell ref="G31:I31"/>
    <mergeCell ref="K30:K35"/>
    <mergeCell ref="L23:O23"/>
    <mergeCell ref="L24:O24"/>
    <mergeCell ref="G52:I52"/>
    <mergeCell ref="W37:W39"/>
    <mergeCell ref="W40:W42"/>
    <mergeCell ref="G30:I30"/>
    <mergeCell ref="R36:U36"/>
    <mergeCell ref="R37:U37"/>
    <mergeCell ref="W30:W35"/>
    <mergeCell ref="R39:U39"/>
    <mergeCell ref="R38:U38"/>
    <mergeCell ref="K40:K42"/>
    <mergeCell ref="H58:J58"/>
    <mergeCell ref="G54:I54"/>
    <mergeCell ref="G56:I56"/>
    <mergeCell ref="G53:I53"/>
    <mergeCell ref="G42:I42"/>
    <mergeCell ref="G36:I36"/>
    <mergeCell ref="H43:J43"/>
    <mergeCell ref="G51:I51"/>
    <mergeCell ref="D77:F77"/>
    <mergeCell ref="G67:I67"/>
    <mergeCell ref="G70:I70"/>
    <mergeCell ref="L67:O67"/>
    <mergeCell ref="K63:K69"/>
    <mergeCell ref="AA60:AC60"/>
    <mergeCell ref="V79:W79"/>
    <mergeCell ref="R65:U65"/>
    <mergeCell ref="R70:U70"/>
    <mergeCell ref="R68:U68"/>
    <mergeCell ref="W77:Y77"/>
    <mergeCell ref="AA77:AC77"/>
    <mergeCell ref="S78:V78"/>
    <mergeCell ref="W63:W66"/>
    <mergeCell ref="S75:V75"/>
    <mergeCell ref="X60:Z60"/>
    <mergeCell ref="R8:U8"/>
    <mergeCell ref="R10:U10"/>
    <mergeCell ref="R9:U9"/>
    <mergeCell ref="R60:W61"/>
    <mergeCell ref="R44:W45"/>
    <mergeCell ref="S43:V43"/>
    <mergeCell ref="W46:W55"/>
    <mergeCell ref="R51:U51"/>
    <mergeCell ref="R49:U49"/>
    <mergeCell ref="S74:V74"/>
    <mergeCell ref="R64:U64"/>
    <mergeCell ref="M75:P75"/>
    <mergeCell ref="M74:P74"/>
    <mergeCell ref="R66:U66"/>
    <mergeCell ref="L70:O70"/>
    <mergeCell ref="G63:I63"/>
    <mergeCell ref="A75:C75"/>
    <mergeCell ref="H75:J75"/>
    <mergeCell ref="A74:C74"/>
    <mergeCell ref="H74:J74"/>
    <mergeCell ref="G68:I68"/>
    <mergeCell ref="A70:C70"/>
    <mergeCell ref="G72:I72"/>
    <mergeCell ref="A64:C64"/>
    <mergeCell ref="G64:I64"/>
    <mergeCell ref="G66:I66"/>
    <mergeCell ref="G65:I65"/>
    <mergeCell ref="G9:I9"/>
    <mergeCell ref="Q70:Q73"/>
    <mergeCell ref="Q67:Q69"/>
    <mergeCell ref="D60:F60"/>
    <mergeCell ref="G60:K61"/>
    <mergeCell ref="L60:Q61"/>
    <mergeCell ref="G73:I73"/>
    <mergeCell ref="G71:I71"/>
    <mergeCell ref="L63:O63"/>
    <mergeCell ref="K70:K73"/>
    <mergeCell ref="B48:C48"/>
    <mergeCell ref="A60:C61"/>
    <mergeCell ref="B56:C56"/>
    <mergeCell ref="A58:C58"/>
    <mergeCell ref="B36:C36"/>
    <mergeCell ref="A44:C45"/>
    <mergeCell ref="D44:F44"/>
    <mergeCell ref="A43:C43"/>
    <mergeCell ref="A40:C40"/>
    <mergeCell ref="X44:Z44"/>
    <mergeCell ref="AA44:AC44"/>
    <mergeCell ref="W7:W29"/>
    <mergeCell ref="R14:U14"/>
    <mergeCell ref="R15:U15"/>
    <mergeCell ref="R16:U16"/>
    <mergeCell ref="R18:U18"/>
    <mergeCell ref="R7:U7"/>
    <mergeCell ref="R22:U22"/>
    <mergeCell ref="R33:U33"/>
    <mergeCell ref="Z1:AC1"/>
    <mergeCell ref="A3:AC4"/>
    <mergeCell ref="D5:F5"/>
    <mergeCell ref="A5:C6"/>
    <mergeCell ref="R5:W6"/>
    <mergeCell ref="G5:K6"/>
    <mergeCell ref="X5:Z5"/>
    <mergeCell ref="AA5:AC5"/>
    <mergeCell ref="L5:Q6"/>
    <mergeCell ref="R11:U11"/>
    <mergeCell ref="R12:U12"/>
    <mergeCell ref="Q7:Q29"/>
    <mergeCell ref="R47:U47"/>
    <mergeCell ref="R13:U13"/>
    <mergeCell ref="R19:U19"/>
    <mergeCell ref="R21:U21"/>
    <mergeCell ref="R17:U17"/>
    <mergeCell ref="R29:U29"/>
    <mergeCell ref="R25:U25"/>
    <mergeCell ref="G7:I7"/>
    <mergeCell ref="G8:I8"/>
    <mergeCell ref="G10:I10"/>
    <mergeCell ref="L15:O15"/>
    <mergeCell ref="L13:O13"/>
    <mergeCell ref="L14:O14"/>
    <mergeCell ref="G12:I12"/>
    <mergeCell ref="L10:O10"/>
    <mergeCell ref="L12:O12"/>
    <mergeCell ref="L8:O8"/>
    <mergeCell ref="G14:I14"/>
    <mergeCell ref="G11:I11"/>
    <mergeCell ref="L19:O19"/>
    <mergeCell ref="G17:I17"/>
    <mergeCell ref="L16:O16"/>
    <mergeCell ref="L17:O17"/>
    <mergeCell ref="L11:O11"/>
    <mergeCell ref="R20:U20"/>
    <mergeCell ref="R23:U23"/>
    <mergeCell ref="R27:U27"/>
    <mergeCell ref="G15:I15"/>
    <mergeCell ref="G21:I21"/>
    <mergeCell ref="L27:O27"/>
    <mergeCell ref="G22:I22"/>
    <mergeCell ref="Q30:Q35"/>
    <mergeCell ref="R26:U26"/>
    <mergeCell ref="L32:O32"/>
    <mergeCell ref="L21:O21"/>
    <mergeCell ref="L31:O31"/>
    <mergeCell ref="L22:O22"/>
    <mergeCell ref="R34:U34"/>
    <mergeCell ref="R24:U24"/>
    <mergeCell ref="R28:U28"/>
    <mergeCell ref="L30:O30"/>
    <mergeCell ref="G16:I16"/>
    <mergeCell ref="L33:O33"/>
    <mergeCell ref="L49:O49"/>
    <mergeCell ref="L18:O18"/>
    <mergeCell ref="L36:N36"/>
    <mergeCell ref="L39:O39"/>
    <mergeCell ref="L46:O46"/>
    <mergeCell ref="L48:O48"/>
    <mergeCell ref="L20:O20"/>
    <mergeCell ref="K37:K39"/>
    <mergeCell ref="L25:O25"/>
    <mergeCell ref="L26:O26"/>
    <mergeCell ref="L37:O37"/>
    <mergeCell ref="K7:K29"/>
    <mergeCell ref="L7:O7"/>
    <mergeCell ref="L9:O9"/>
    <mergeCell ref="L28:O28"/>
    <mergeCell ref="L34:O34"/>
    <mergeCell ref="R50:U50"/>
    <mergeCell ref="G44:K45"/>
    <mergeCell ref="Q63:Q66"/>
    <mergeCell ref="G37:I37"/>
    <mergeCell ref="M58:P58"/>
    <mergeCell ref="G55:I55"/>
    <mergeCell ref="R52:U52"/>
    <mergeCell ref="S58:V58"/>
    <mergeCell ref="R53:U53"/>
    <mergeCell ref="R63:U63"/>
    <mergeCell ref="R46:U46"/>
    <mergeCell ref="Q40:Q42"/>
    <mergeCell ref="M43:P43"/>
    <mergeCell ref="R48:U48"/>
    <mergeCell ref="L41:O41"/>
    <mergeCell ref="Q37:Q39"/>
    <mergeCell ref="L44:Q45"/>
    <mergeCell ref="K46:K55"/>
    <mergeCell ref="Q46:Q5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zoomScaleSheetLayoutView="100" zoomScalePageLayoutView="0" workbookViewId="0" topLeftCell="A1">
      <selection activeCell="B2" sqref="B2:D2"/>
    </sheetView>
  </sheetViews>
  <sheetFormatPr defaultColWidth="8.875" defaultRowHeight="12.75"/>
  <cols>
    <col min="1" max="1" width="4.125" style="138" bestFit="1" customWidth="1"/>
    <col min="2" max="2" width="2.375" style="10" customWidth="1"/>
    <col min="3" max="3" width="73.875" style="10" customWidth="1"/>
    <col min="4" max="4" width="12.625" style="10" customWidth="1"/>
    <col min="5" max="16384" width="8.875" style="10" customWidth="1"/>
  </cols>
  <sheetData>
    <row r="1" spans="3:5" ht="15">
      <c r="C1" s="919" t="s">
        <v>167</v>
      </c>
      <c r="D1" s="894"/>
      <c r="E1" s="137"/>
    </row>
    <row r="2" spans="2:4" ht="15">
      <c r="B2" s="1085" t="s">
        <v>272</v>
      </c>
      <c r="C2" s="1085"/>
      <c r="D2" s="1085"/>
    </row>
    <row r="3" spans="2:4" ht="6" customHeight="1">
      <c r="B3" s="1085"/>
      <c r="C3" s="1085"/>
      <c r="D3" s="1085"/>
    </row>
    <row r="4" ht="15.75" thickBot="1">
      <c r="D4" s="16" t="s">
        <v>306</v>
      </c>
    </row>
    <row r="5" spans="1:4" s="11" customFormat="1" ht="14.25">
      <c r="A5" s="1093" t="s">
        <v>483</v>
      </c>
      <c r="B5" s="1086" t="s">
        <v>300</v>
      </c>
      <c r="C5" s="1087"/>
      <c r="D5" s="17" t="s">
        <v>339</v>
      </c>
    </row>
    <row r="6" spans="1:4" s="207" customFormat="1" ht="12">
      <c r="A6" s="1094"/>
      <c r="B6" s="1089" t="s">
        <v>477</v>
      </c>
      <c r="C6" s="1089"/>
      <c r="D6" s="206" t="s">
        <v>478</v>
      </c>
    </row>
    <row r="7" spans="1:4" s="11" customFormat="1" ht="14.25">
      <c r="A7" s="213">
        <v>1</v>
      </c>
      <c r="B7" s="208" t="s">
        <v>307</v>
      </c>
      <c r="C7" s="28"/>
      <c r="D7" s="18"/>
    </row>
    <row r="8" spans="1:4" s="30" customFormat="1" ht="15">
      <c r="A8" s="213">
        <v>2</v>
      </c>
      <c r="B8" s="209" t="s">
        <v>506</v>
      </c>
      <c r="C8" s="29"/>
      <c r="D8" s="27"/>
    </row>
    <row r="9" spans="1:4" ht="30">
      <c r="A9" s="213">
        <v>3</v>
      </c>
      <c r="B9" s="169" t="s">
        <v>340</v>
      </c>
      <c r="C9" s="189" t="s">
        <v>766</v>
      </c>
      <c r="D9" s="190">
        <f>22436-95</f>
        <v>22341</v>
      </c>
    </row>
    <row r="10" spans="1:4" ht="30">
      <c r="A10" s="213">
        <v>4</v>
      </c>
      <c r="B10" s="169" t="s">
        <v>340</v>
      </c>
      <c r="C10" s="31" t="s">
        <v>764</v>
      </c>
      <c r="D10" s="19">
        <f>59239+16627</f>
        <v>75866</v>
      </c>
    </row>
    <row r="11" spans="1:4" ht="15">
      <c r="A11" s="213">
        <v>5</v>
      </c>
      <c r="B11" s="169" t="s">
        <v>340</v>
      </c>
      <c r="C11" s="585" t="s">
        <v>654</v>
      </c>
      <c r="D11" s="190">
        <v>28</v>
      </c>
    </row>
    <row r="12" spans="1:4" ht="20.25" customHeight="1">
      <c r="A12" s="213">
        <v>6</v>
      </c>
      <c r="B12" s="169" t="s">
        <v>340</v>
      </c>
      <c r="C12" s="189" t="s">
        <v>160</v>
      </c>
      <c r="D12" s="19">
        <v>127</v>
      </c>
    </row>
    <row r="13" spans="1:4" ht="30.75" customHeight="1">
      <c r="A13" s="213">
        <v>7</v>
      </c>
      <c r="B13" s="169" t="s">
        <v>340</v>
      </c>
      <c r="C13" s="189" t="s">
        <v>767</v>
      </c>
      <c r="D13" s="19">
        <v>2324</v>
      </c>
    </row>
    <row r="14" spans="1:4" ht="29.25" customHeight="1">
      <c r="A14" s="213">
        <v>8</v>
      </c>
      <c r="B14" s="169" t="s">
        <v>340</v>
      </c>
      <c r="C14" s="189" t="s">
        <v>931</v>
      </c>
      <c r="D14" s="19">
        <f>11369+9307</f>
        <v>20676</v>
      </c>
    </row>
    <row r="15" spans="1:4" ht="29.25" customHeight="1">
      <c r="A15" s="213">
        <v>9</v>
      </c>
      <c r="B15" s="169" t="s">
        <v>340</v>
      </c>
      <c r="C15" s="189" t="s">
        <v>178</v>
      </c>
      <c r="D15" s="19">
        <f>64426-5926</f>
        <v>58500</v>
      </c>
    </row>
    <row r="16" spans="1:4" ht="29.25" customHeight="1">
      <c r="A16" s="213">
        <v>10</v>
      </c>
      <c r="B16" s="169" t="s">
        <v>340</v>
      </c>
      <c r="C16" s="585" t="s">
        <v>557</v>
      </c>
      <c r="D16" s="19">
        <v>2610</v>
      </c>
    </row>
    <row r="17" spans="1:4" ht="29.25" customHeight="1">
      <c r="A17" s="213">
        <v>11</v>
      </c>
      <c r="B17" s="169" t="s">
        <v>340</v>
      </c>
      <c r="C17" s="585" t="s">
        <v>882</v>
      </c>
      <c r="D17" s="19">
        <v>532</v>
      </c>
    </row>
    <row r="18" spans="1:4" ht="16.5" customHeight="1">
      <c r="A18" s="213">
        <v>12</v>
      </c>
      <c r="B18" s="169" t="s">
        <v>340</v>
      </c>
      <c r="C18" s="585" t="s">
        <v>768</v>
      </c>
      <c r="D18" s="19">
        <v>508</v>
      </c>
    </row>
    <row r="19" spans="1:4" ht="16.5" customHeight="1">
      <c r="A19" s="213">
        <v>13</v>
      </c>
      <c r="B19" s="169" t="s">
        <v>340</v>
      </c>
      <c r="C19" s="585" t="s">
        <v>769</v>
      </c>
      <c r="D19" s="190">
        <v>546</v>
      </c>
    </row>
    <row r="20" spans="1:4" ht="18.75" customHeight="1">
      <c r="A20" s="213">
        <v>14</v>
      </c>
      <c r="B20" s="169" t="s">
        <v>340</v>
      </c>
      <c r="C20" s="585" t="s">
        <v>770</v>
      </c>
      <c r="D20" s="190">
        <v>3890099</v>
      </c>
    </row>
    <row r="21" spans="1:4" ht="18.75" customHeight="1">
      <c r="A21" s="213">
        <v>15</v>
      </c>
      <c r="B21" s="169" t="s">
        <v>340</v>
      </c>
      <c r="C21" s="585" t="s">
        <v>771</v>
      </c>
      <c r="D21" s="190">
        <f>38612-1974-14822+95+39</f>
        <v>21950</v>
      </c>
    </row>
    <row r="22" spans="1:4" ht="32.25" customHeight="1">
      <c r="A22" s="213">
        <v>16</v>
      </c>
      <c r="B22" s="169" t="s">
        <v>340</v>
      </c>
      <c r="C22" s="585" t="s">
        <v>883</v>
      </c>
      <c r="D22" s="190">
        <v>2158</v>
      </c>
    </row>
    <row r="23" spans="1:4" ht="19.5" customHeight="1">
      <c r="A23" s="213">
        <v>17</v>
      </c>
      <c r="B23" s="169" t="s">
        <v>340</v>
      </c>
      <c r="C23" s="585" t="s">
        <v>933</v>
      </c>
      <c r="D23" s="190">
        <v>306</v>
      </c>
    </row>
    <row r="24" spans="1:4" ht="19.5" customHeight="1">
      <c r="A24" s="213">
        <v>18</v>
      </c>
      <c r="B24" s="169" t="s">
        <v>340</v>
      </c>
      <c r="C24" s="585" t="s">
        <v>934</v>
      </c>
      <c r="D24" s="190">
        <v>450</v>
      </c>
    </row>
    <row r="25" spans="1:4" ht="17.25" customHeight="1">
      <c r="A25" s="213">
        <v>19</v>
      </c>
      <c r="B25" s="169" t="s">
        <v>340</v>
      </c>
      <c r="C25" s="585" t="s">
        <v>866</v>
      </c>
      <c r="D25" s="190">
        <v>7000</v>
      </c>
    </row>
    <row r="26" spans="1:4" ht="17.25" customHeight="1">
      <c r="A26" s="213">
        <v>20</v>
      </c>
      <c r="B26" s="169" t="s">
        <v>340</v>
      </c>
      <c r="C26" s="585" t="s">
        <v>867</v>
      </c>
      <c r="D26" s="190">
        <v>2000</v>
      </c>
    </row>
    <row r="27" spans="1:4" ht="17.25" customHeight="1">
      <c r="A27" s="213">
        <v>21</v>
      </c>
      <c r="B27" s="169" t="s">
        <v>340</v>
      </c>
      <c r="C27" s="585" t="s">
        <v>935</v>
      </c>
      <c r="D27" s="190">
        <v>129</v>
      </c>
    </row>
    <row r="28" spans="1:4" ht="17.25" customHeight="1">
      <c r="A28" s="213">
        <v>22</v>
      </c>
      <c r="B28" s="169" t="s">
        <v>340</v>
      </c>
      <c r="C28" s="585" t="s">
        <v>657</v>
      </c>
      <c r="D28" s="190">
        <v>116</v>
      </c>
    </row>
    <row r="29" spans="1:4" ht="17.25" customHeight="1">
      <c r="A29" s="213">
        <v>23</v>
      </c>
      <c r="B29" s="169" t="s">
        <v>340</v>
      </c>
      <c r="C29" s="585" t="s">
        <v>676</v>
      </c>
      <c r="D29" s="190">
        <v>2740</v>
      </c>
    </row>
    <row r="30" spans="1:4" s="62" customFormat="1" ht="15">
      <c r="A30" s="213">
        <v>24</v>
      </c>
      <c r="B30" s="589"/>
      <c r="C30" s="586" t="s">
        <v>401</v>
      </c>
      <c r="D30" s="192">
        <f>SUM(D9:D29)</f>
        <v>4111006</v>
      </c>
    </row>
    <row r="31" spans="1:4" s="62" customFormat="1" ht="15">
      <c r="A31" s="213">
        <v>25</v>
      </c>
      <c r="B31" s="1090" t="s">
        <v>309</v>
      </c>
      <c r="C31" s="1091"/>
      <c r="D31" s="1092"/>
    </row>
    <row r="32" spans="1:4" s="62" customFormat="1" ht="18" customHeight="1">
      <c r="A32" s="213">
        <v>26</v>
      </c>
      <c r="B32" s="589" t="s">
        <v>340</v>
      </c>
      <c r="C32" s="585" t="s">
        <v>320</v>
      </c>
      <c r="D32" s="758">
        <v>419</v>
      </c>
    </row>
    <row r="33" spans="1:4" s="62" customFormat="1" ht="30.75" customHeight="1">
      <c r="A33" s="213">
        <v>27</v>
      </c>
      <c r="B33" s="589" t="s">
        <v>340</v>
      </c>
      <c r="C33" s="585" t="s">
        <v>772</v>
      </c>
      <c r="D33" s="758">
        <v>1072</v>
      </c>
    </row>
    <row r="34" spans="1:4" s="62" customFormat="1" ht="20.25" customHeight="1">
      <c r="A34" s="213">
        <v>28</v>
      </c>
      <c r="B34" s="589" t="s">
        <v>340</v>
      </c>
      <c r="C34" s="685" t="s">
        <v>765</v>
      </c>
      <c r="D34" s="758">
        <v>150</v>
      </c>
    </row>
    <row r="35" spans="1:4" s="62" customFormat="1" ht="18" customHeight="1">
      <c r="A35" s="213">
        <v>29</v>
      </c>
      <c r="B35" s="589" t="s">
        <v>340</v>
      </c>
      <c r="C35" s="585" t="s">
        <v>113</v>
      </c>
      <c r="D35" s="758">
        <v>121</v>
      </c>
    </row>
    <row r="36" spans="1:4" s="62" customFormat="1" ht="15">
      <c r="A36" s="213">
        <v>30</v>
      </c>
      <c r="B36" s="589"/>
      <c r="C36" s="586" t="s">
        <v>321</v>
      </c>
      <c r="D36" s="192">
        <f>SUM(D32:D35)</f>
        <v>1762</v>
      </c>
    </row>
    <row r="37" spans="1:4" s="11" customFormat="1" ht="15" thickBot="1">
      <c r="A37" s="213">
        <v>31</v>
      </c>
      <c r="B37" s="759" t="s">
        <v>303</v>
      </c>
      <c r="C37" s="33"/>
      <c r="D37" s="22">
        <f>SUM(D30,D36)</f>
        <v>4112768</v>
      </c>
    </row>
    <row r="38" spans="1:4" ht="15">
      <c r="A38" s="213">
        <v>32</v>
      </c>
      <c r="B38" s="1088" t="s">
        <v>338</v>
      </c>
      <c r="C38" s="1083"/>
      <c r="D38" s="1084"/>
    </row>
    <row r="39" spans="1:4" s="30" customFormat="1" ht="15">
      <c r="A39" s="213">
        <v>33</v>
      </c>
      <c r="B39" s="233" t="s">
        <v>506</v>
      </c>
      <c r="C39" s="32"/>
      <c r="D39" s="20"/>
    </row>
    <row r="40" spans="1:4" s="30" customFormat="1" ht="30.75" customHeight="1">
      <c r="A40" s="213">
        <v>34</v>
      </c>
      <c r="B40" s="169" t="s">
        <v>340</v>
      </c>
      <c r="C40" s="189" t="s">
        <v>763</v>
      </c>
      <c r="D40" s="19">
        <v>3999</v>
      </c>
    </row>
    <row r="41" spans="1:4" s="30" customFormat="1" ht="17.25" customHeight="1">
      <c r="A41" s="213">
        <v>35</v>
      </c>
      <c r="B41" s="169" t="s">
        <v>340</v>
      </c>
      <c r="C41" s="585" t="s">
        <v>932</v>
      </c>
      <c r="D41" s="190">
        <v>232</v>
      </c>
    </row>
    <row r="42" spans="1:4" s="30" customFormat="1" ht="30.75" customHeight="1">
      <c r="A42" s="213">
        <v>36</v>
      </c>
      <c r="B42" s="169" t="s">
        <v>340</v>
      </c>
      <c r="C42" s="585" t="s">
        <v>936</v>
      </c>
      <c r="D42" s="19">
        <v>1650</v>
      </c>
    </row>
    <row r="43" spans="1:4" s="30" customFormat="1" ht="30.75" customHeight="1">
      <c r="A43" s="213">
        <v>37</v>
      </c>
      <c r="B43" s="169" t="s">
        <v>340</v>
      </c>
      <c r="C43" s="585" t="s">
        <v>655</v>
      </c>
      <c r="D43" s="19">
        <f>7580+6</f>
        <v>7586</v>
      </c>
    </row>
    <row r="44" spans="1:4" s="30" customFormat="1" ht="15">
      <c r="A44" s="213">
        <v>38</v>
      </c>
      <c r="B44" s="211"/>
      <c r="C44" s="14" t="s">
        <v>401</v>
      </c>
      <c r="D44" s="57">
        <f>SUM(D40:D43)</f>
        <v>13467</v>
      </c>
    </row>
    <row r="45" spans="1:4" ht="15.75" thickBot="1">
      <c r="A45" s="213">
        <v>39</v>
      </c>
      <c r="B45" s="210" t="s">
        <v>303</v>
      </c>
      <c r="C45" s="33"/>
      <c r="D45" s="24">
        <f>SUM(D44)</f>
        <v>13467</v>
      </c>
    </row>
    <row r="46" spans="1:4" ht="15">
      <c r="A46" s="213">
        <v>40</v>
      </c>
      <c r="B46" s="1083" t="s">
        <v>215</v>
      </c>
      <c r="C46" s="1083"/>
      <c r="D46" s="1084"/>
    </row>
    <row r="47" spans="1:4" s="30" customFormat="1" ht="15">
      <c r="A47" s="213">
        <v>41</v>
      </c>
      <c r="B47" s="34" t="s">
        <v>506</v>
      </c>
      <c r="C47" s="32"/>
      <c r="D47" s="23"/>
    </row>
    <row r="48" spans="1:4" s="30" customFormat="1" ht="15">
      <c r="A48" s="213">
        <v>42</v>
      </c>
      <c r="B48" s="169" t="s">
        <v>340</v>
      </c>
      <c r="C48" s="54" t="s">
        <v>472</v>
      </c>
      <c r="D48" s="21">
        <v>296</v>
      </c>
    </row>
    <row r="49" spans="1:4" s="30" customFormat="1" ht="15">
      <c r="A49" s="213">
        <v>43</v>
      </c>
      <c r="B49" s="169" t="s">
        <v>340</v>
      </c>
      <c r="C49" s="54" t="s">
        <v>177</v>
      </c>
      <c r="D49" s="21">
        <v>226</v>
      </c>
    </row>
    <row r="50" spans="1:4" s="30" customFormat="1" ht="15">
      <c r="A50" s="213">
        <v>44</v>
      </c>
      <c r="B50" s="169" t="s">
        <v>340</v>
      </c>
      <c r="C50" s="54" t="s">
        <v>937</v>
      </c>
      <c r="D50" s="21">
        <v>33</v>
      </c>
    </row>
    <row r="51" spans="1:4" s="30" customFormat="1" ht="15">
      <c r="A51" s="213">
        <v>45</v>
      </c>
      <c r="B51" s="169" t="s">
        <v>340</v>
      </c>
      <c r="C51" s="54" t="s">
        <v>216</v>
      </c>
      <c r="D51" s="21">
        <v>100</v>
      </c>
    </row>
    <row r="52" spans="1:4" s="30" customFormat="1" ht="30">
      <c r="A52" s="213">
        <v>46</v>
      </c>
      <c r="B52" s="169" t="s">
        <v>340</v>
      </c>
      <c r="C52" s="585" t="s">
        <v>656</v>
      </c>
      <c r="D52" s="21">
        <v>9067</v>
      </c>
    </row>
    <row r="53" spans="1:4" s="11" customFormat="1" ht="18" customHeight="1" thickBot="1">
      <c r="A53" s="213">
        <v>47</v>
      </c>
      <c r="B53" s="35" t="s">
        <v>303</v>
      </c>
      <c r="C53" s="33"/>
      <c r="D53" s="26">
        <f>SUM(D48:D52)</f>
        <v>9722</v>
      </c>
    </row>
    <row r="54" spans="1:4" ht="15">
      <c r="A54" s="213">
        <v>48</v>
      </c>
      <c r="B54" s="1083" t="s">
        <v>299</v>
      </c>
      <c r="C54" s="1083"/>
      <c r="D54" s="1084"/>
    </row>
    <row r="55" spans="1:4" s="30" customFormat="1" ht="15">
      <c r="A55" s="213">
        <v>49</v>
      </c>
      <c r="B55" s="34" t="s">
        <v>506</v>
      </c>
      <c r="C55" s="34"/>
      <c r="D55" s="25"/>
    </row>
    <row r="56" spans="1:4" ht="15">
      <c r="A56" s="213">
        <v>50</v>
      </c>
      <c r="B56" s="169" t="s">
        <v>340</v>
      </c>
      <c r="C56" s="13" t="s">
        <v>273</v>
      </c>
      <c r="D56" s="15">
        <f>2950+11750+1053</f>
        <v>15753</v>
      </c>
    </row>
    <row r="57" spans="1:4" ht="15">
      <c r="A57" s="213">
        <v>51</v>
      </c>
      <c r="B57" s="169" t="s">
        <v>340</v>
      </c>
      <c r="C57" s="63" t="s">
        <v>773</v>
      </c>
      <c r="D57" s="64">
        <f>21169+462071-462071-845</f>
        <v>20324</v>
      </c>
    </row>
    <row r="58" spans="1:4" s="11" customFormat="1" ht="15" thickBot="1">
      <c r="A58" s="213">
        <v>52</v>
      </c>
      <c r="B58" s="35" t="s">
        <v>303</v>
      </c>
      <c r="C58" s="33"/>
      <c r="D58" s="26">
        <f>SUM(D56:D57)</f>
        <v>36077</v>
      </c>
    </row>
    <row r="59" spans="1:4" ht="15">
      <c r="A59" s="213">
        <v>53</v>
      </c>
      <c r="B59" s="1083" t="s">
        <v>575</v>
      </c>
      <c r="C59" s="1083"/>
      <c r="D59" s="1084"/>
    </row>
    <row r="60" spans="1:4" s="30" customFormat="1" ht="15">
      <c r="A60" s="213">
        <v>54</v>
      </c>
      <c r="B60" s="34" t="s">
        <v>506</v>
      </c>
      <c r="C60" s="34"/>
      <c r="D60" s="25"/>
    </row>
    <row r="61" spans="1:4" ht="15">
      <c r="A61" s="213">
        <v>55</v>
      </c>
      <c r="B61" s="169" t="s">
        <v>340</v>
      </c>
      <c r="C61" s="13" t="s">
        <v>274</v>
      </c>
      <c r="D61" s="15">
        <f>185+51</f>
        <v>236</v>
      </c>
    </row>
    <row r="62" spans="1:4" ht="15">
      <c r="A62" s="213">
        <v>56</v>
      </c>
      <c r="B62" s="169" t="s">
        <v>340</v>
      </c>
      <c r="C62" s="63" t="s">
        <v>774</v>
      </c>
      <c r="D62" s="21">
        <f>5533-1396-51-208</f>
        <v>3878</v>
      </c>
    </row>
    <row r="63" spans="1:4" ht="30">
      <c r="A63" s="213">
        <v>57</v>
      </c>
      <c r="B63" s="169" t="s">
        <v>340</v>
      </c>
      <c r="C63" s="63" t="s">
        <v>930</v>
      </c>
      <c r="D63" s="21">
        <v>4033</v>
      </c>
    </row>
    <row r="64" spans="1:4" s="11" customFormat="1" ht="15" thickBot="1">
      <c r="A64" s="213">
        <v>58</v>
      </c>
      <c r="B64" s="35" t="s">
        <v>303</v>
      </c>
      <c r="C64" s="33"/>
      <c r="D64" s="26">
        <f>SUM(D61:D63)</f>
        <v>8147</v>
      </c>
    </row>
    <row r="65" spans="1:4" ht="15">
      <c r="A65" s="213">
        <v>59</v>
      </c>
      <c r="B65" s="1083" t="s">
        <v>474</v>
      </c>
      <c r="C65" s="1083"/>
      <c r="D65" s="1084"/>
    </row>
    <row r="66" spans="1:4" ht="15">
      <c r="A66" s="213">
        <v>60</v>
      </c>
      <c r="B66" s="34" t="s">
        <v>506</v>
      </c>
      <c r="C66" s="191"/>
      <c r="D66" s="188"/>
    </row>
    <row r="67" spans="1:4" s="11" customFormat="1" ht="15" thickBot="1">
      <c r="A67" s="756">
        <v>61</v>
      </c>
      <c r="B67" s="35" t="s">
        <v>303</v>
      </c>
      <c r="C67" s="33"/>
      <c r="D67" s="26">
        <v>0</v>
      </c>
    </row>
    <row r="68" spans="1:4" ht="21" customHeight="1" thickBot="1">
      <c r="A68" s="757">
        <v>62</v>
      </c>
      <c r="B68" s="212" t="s">
        <v>304</v>
      </c>
      <c r="C68" s="35"/>
      <c r="D68" s="26">
        <f>SUM(D37,D45,D53,D58,D64,D67)</f>
        <v>4180181</v>
      </c>
    </row>
    <row r="70" ht="21" customHeight="1"/>
    <row r="72" spans="2:4" ht="15">
      <c r="B72" s="1082"/>
      <c r="C72" s="1082"/>
      <c r="D72" s="1082"/>
    </row>
  </sheetData>
  <sheetProtection/>
  <mergeCells count="13">
    <mergeCell ref="A5:A6"/>
    <mergeCell ref="B65:D65"/>
    <mergeCell ref="B59:D59"/>
    <mergeCell ref="B72:D72"/>
    <mergeCell ref="B54:D54"/>
    <mergeCell ref="C1:D1"/>
    <mergeCell ref="B3:D3"/>
    <mergeCell ref="B46:D46"/>
    <mergeCell ref="B2:D2"/>
    <mergeCell ref="B5:C5"/>
    <mergeCell ref="B38:D38"/>
    <mergeCell ref="B6:C6"/>
    <mergeCell ref="B31:D3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3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C5" sqref="C5"/>
    </sheetView>
  </sheetViews>
  <sheetFormatPr defaultColWidth="8.875" defaultRowHeight="12.75"/>
  <cols>
    <col min="1" max="1" width="4.375" style="173" bestFit="1" customWidth="1"/>
    <col min="2" max="2" width="2.375" style="80" customWidth="1"/>
    <col min="3" max="3" width="78.375" style="80" customWidth="1"/>
    <col min="4" max="4" width="13.75390625" style="80" customWidth="1"/>
    <col min="5" max="16384" width="8.875" style="80" customWidth="1"/>
  </cols>
  <sheetData>
    <row r="1" spans="3:5" ht="15">
      <c r="C1" s="919" t="s">
        <v>168</v>
      </c>
      <c r="D1" s="894"/>
      <c r="E1" s="137"/>
    </row>
    <row r="2" spans="3:5" ht="15">
      <c r="C2" s="8"/>
      <c r="D2" s="137"/>
      <c r="E2" s="137"/>
    </row>
    <row r="3" spans="2:4" ht="15">
      <c r="B3" s="1100" t="s">
        <v>341</v>
      </c>
      <c r="C3" s="1100"/>
      <c r="D3" s="1100"/>
    </row>
    <row r="4" spans="2:4" ht="15">
      <c r="B4" s="1100" t="s">
        <v>505</v>
      </c>
      <c r="C4" s="1100"/>
      <c r="D4" s="1100"/>
    </row>
    <row r="5" spans="2:4" ht="15">
      <c r="B5" s="82"/>
      <c r="C5" s="82"/>
      <c r="D5" s="82"/>
    </row>
    <row r="6" ht="15">
      <c r="D6" s="81" t="s">
        <v>306</v>
      </c>
    </row>
    <row r="7" spans="1:4" s="83" customFormat="1" ht="21" customHeight="1">
      <c r="A7" s="1096" t="s">
        <v>483</v>
      </c>
      <c r="B7" s="1101" t="s">
        <v>300</v>
      </c>
      <c r="C7" s="1101"/>
      <c r="D7" s="175" t="s">
        <v>339</v>
      </c>
    </row>
    <row r="8" spans="1:4" s="172" customFormat="1" ht="12">
      <c r="A8" s="1097"/>
      <c r="B8" s="1098" t="s">
        <v>477</v>
      </c>
      <c r="C8" s="1099"/>
      <c r="D8" s="174" t="s">
        <v>478</v>
      </c>
    </row>
    <row r="9" spans="1:4" s="83" customFormat="1" ht="25.5" customHeight="1">
      <c r="A9" s="174">
        <v>1</v>
      </c>
      <c r="B9" s="85" t="s">
        <v>393</v>
      </c>
      <c r="C9" s="84"/>
      <c r="D9" s="181"/>
    </row>
    <row r="10" spans="1:4" ht="15">
      <c r="A10" s="174">
        <v>2</v>
      </c>
      <c r="B10" s="176" t="s">
        <v>502</v>
      </c>
      <c r="C10" s="171" t="s">
        <v>484</v>
      </c>
      <c r="D10" s="177">
        <v>500</v>
      </c>
    </row>
    <row r="11" spans="1:4" ht="15">
      <c r="A11" s="174">
        <v>3</v>
      </c>
      <c r="B11" s="176" t="s">
        <v>502</v>
      </c>
      <c r="C11" s="171" t="s">
        <v>907</v>
      </c>
      <c r="D11" s="587">
        <v>-64</v>
      </c>
    </row>
    <row r="12" spans="1:4" ht="15">
      <c r="A12" s="174">
        <v>4</v>
      </c>
      <c r="B12" s="176" t="s">
        <v>502</v>
      </c>
      <c r="C12" s="171" t="s">
        <v>908</v>
      </c>
      <c r="D12" s="587">
        <v>-97</v>
      </c>
    </row>
    <row r="13" spans="1:4" ht="15">
      <c r="A13" s="174">
        <v>5</v>
      </c>
      <c r="B13" s="176" t="s">
        <v>502</v>
      </c>
      <c r="C13" s="171" t="s">
        <v>909</v>
      </c>
      <c r="D13" s="587">
        <v>-55</v>
      </c>
    </row>
    <row r="14" spans="1:4" ht="15">
      <c r="A14" s="174">
        <v>6</v>
      </c>
      <c r="B14" s="176" t="s">
        <v>502</v>
      </c>
      <c r="C14" s="171" t="s">
        <v>910</v>
      </c>
      <c r="D14" s="587">
        <v>-82</v>
      </c>
    </row>
    <row r="15" spans="1:4" ht="15">
      <c r="A15" s="174">
        <v>7</v>
      </c>
      <c r="B15" s="176" t="s">
        <v>502</v>
      </c>
      <c r="C15" s="171" t="s">
        <v>911</v>
      </c>
      <c r="D15" s="587">
        <v>-210</v>
      </c>
    </row>
    <row r="16" spans="1:4" ht="15">
      <c r="A16" s="174">
        <v>8</v>
      </c>
      <c r="B16" s="176" t="s">
        <v>502</v>
      </c>
      <c r="C16" s="686" t="s">
        <v>912</v>
      </c>
      <c r="D16" s="177">
        <v>198</v>
      </c>
    </row>
    <row r="17" spans="1:4" ht="15">
      <c r="A17" s="174">
        <v>9</v>
      </c>
      <c r="B17" s="176" t="s">
        <v>502</v>
      </c>
      <c r="C17" s="686" t="s">
        <v>938</v>
      </c>
      <c r="D17" s="587">
        <v>-18</v>
      </c>
    </row>
    <row r="18" spans="1:4" ht="15">
      <c r="A18" s="174">
        <v>10</v>
      </c>
      <c r="B18" s="176" t="s">
        <v>502</v>
      </c>
      <c r="C18" s="686" t="s">
        <v>939</v>
      </c>
      <c r="D18" s="587">
        <v>-150</v>
      </c>
    </row>
    <row r="19" spans="1:4" ht="15">
      <c r="A19" s="174">
        <v>11</v>
      </c>
      <c r="B19" s="176" t="s">
        <v>502</v>
      </c>
      <c r="C19" s="686" t="s">
        <v>843</v>
      </c>
      <c r="D19" s="587">
        <v>-22</v>
      </c>
    </row>
    <row r="20" spans="1:4" s="83" customFormat="1" ht="15.75" customHeight="1">
      <c r="A20" s="174">
        <v>12</v>
      </c>
      <c r="B20" s="85" t="s">
        <v>303</v>
      </c>
      <c r="C20" s="85"/>
      <c r="D20" s="178">
        <f>SUM(D10:D19)</f>
        <v>0</v>
      </c>
    </row>
    <row r="21" spans="1:4" s="83" customFormat="1" ht="8.25" customHeight="1">
      <c r="A21" s="180"/>
      <c r="B21" s="179"/>
      <c r="C21" s="179"/>
      <c r="D21" s="181"/>
    </row>
    <row r="22" spans="1:4" s="83" customFormat="1" ht="17.25" customHeight="1">
      <c r="A22" s="174">
        <v>13</v>
      </c>
      <c r="B22" s="1095" t="s">
        <v>392</v>
      </c>
      <c r="C22" s="1095"/>
      <c r="D22" s="1095"/>
    </row>
    <row r="23" spans="1:4" s="83" customFormat="1" ht="30">
      <c r="A23" s="174">
        <v>14</v>
      </c>
      <c r="B23" s="176" t="s">
        <v>502</v>
      </c>
      <c r="C23" s="171" t="s">
        <v>545</v>
      </c>
      <c r="D23" s="177">
        <v>1650</v>
      </c>
    </row>
    <row r="24" spans="1:4" s="83" customFormat="1" ht="15">
      <c r="A24" s="174">
        <v>15</v>
      </c>
      <c r="B24" s="176" t="s">
        <v>502</v>
      </c>
      <c r="C24" s="171" t="s">
        <v>940</v>
      </c>
      <c r="D24" s="177">
        <v>3000</v>
      </c>
    </row>
    <row r="25" spans="1:4" s="83" customFormat="1" ht="15">
      <c r="A25" s="174">
        <v>16</v>
      </c>
      <c r="B25" s="176" t="s">
        <v>502</v>
      </c>
      <c r="C25" s="171" t="s">
        <v>842</v>
      </c>
      <c r="D25" s="587">
        <v>-1650</v>
      </c>
    </row>
    <row r="26" spans="1:4" s="83" customFormat="1" ht="14.25">
      <c r="A26" s="174">
        <v>17</v>
      </c>
      <c r="B26" s="85" t="s">
        <v>303</v>
      </c>
      <c r="C26" s="85"/>
      <c r="D26" s="178">
        <f>SUM(D23:D25)</f>
        <v>3000</v>
      </c>
    </row>
    <row r="27" spans="1:4" s="83" customFormat="1" ht="8.25" customHeight="1">
      <c r="A27" s="174"/>
      <c r="B27" s="176"/>
      <c r="C27" s="171"/>
      <c r="D27" s="177"/>
    </row>
    <row r="28" spans="1:4" s="83" customFormat="1" ht="15.75" customHeight="1">
      <c r="A28" s="174">
        <v>18</v>
      </c>
      <c r="B28" s="1095" t="s">
        <v>392</v>
      </c>
      <c r="C28" s="1095"/>
      <c r="D28" s="1095"/>
    </row>
    <row r="29" spans="1:4" s="83" customFormat="1" ht="15">
      <c r="A29" s="174">
        <v>19</v>
      </c>
      <c r="B29" s="176" t="s">
        <v>502</v>
      </c>
      <c r="C29" s="171" t="s">
        <v>546</v>
      </c>
      <c r="D29" s="177">
        <v>800</v>
      </c>
    </row>
    <row r="30" spans="1:4" ht="15.75" customHeight="1">
      <c r="A30" s="174">
        <v>20</v>
      </c>
      <c r="B30" s="176" t="s">
        <v>502</v>
      </c>
      <c r="C30" s="171" t="s">
        <v>759</v>
      </c>
      <c r="D30" s="177">
        <v>1232</v>
      </c>
    </row>
    <row r="31" spans="1:4" s="83" customFormat="1" ht="15.75" customHeight="1">
      <c r="A31" s="174">
        <v>21</v>
      </c>
      <c r="B31" s="85" t="s">
        <v>303</v>
      </c>
      <c r="C31" s="85"/>
      <c r="D31" s="178">
        <f>SUM(D29:D30)</f>
        <v>2032</v>
      </c>
    </row>
    <row r="32" spans="1:4" s="83" customFormat="1" ht="8.25" customHeight="1">
      <c r="A32" s="180"/>
      <c r="B32" s="179"/>
      <c r="C32" s="179"/>
      <c r="D32" s="181"/>
    </row>
    <row r="33" spans="1:4" ht="15">
      <c r="A33" s="174">
        <v>22</v>
      </c>
      <c r="B33" s="85" t="s">
        <v>547</v>
      </c>
      <c r="C33" s="84"/>
      <c r="D33" s="181"/>
    </row>
    <row r="34" spans="1:4" s="83" customFormat="1" ht="15">
      <c r="A34" s="174">
        <v>23</v>
      </c>
      <c r="B34" s="176" t="s">
        <v>502</v>
      </c>
      <c r="C34" s="171" t="s">
        <v>548</v>
      </c>
      <c r="D34" s="177">
        <v>500</v>
      </c>
    </row>
    <row r="35" spans="1:4" s="83" customFormat="1" ht="15">
      <c r="A35" s="174">
        <v>24</v>
      </c>
      <c r="B35" s="176" t="s">
        <v>502</v>
      </c>
      <c r="C35" s="171" t="s">
        <v>830</v>
      </c>
      <c r="D35" s="587">
        <v>-100</v>
      </c>
    </row>
    <row r="36" spans="1:4" ht="28.5" customHeight="1">
      <c r="A36" s="174">
        <v>25</v>
      </c>
      <c r="B36" s="176" t="s">
        <v>502</v>
      </c>
      <c r="C36" s="171" t="s">
        <v>758</v>
      </c>
      <c r="D36" s="177">
        <v>15765</v>
      </c>
    </row>
    <row r="37" spans="1:4" s="83" customFormat="1" ht="34.5" customHeight="1">
      <c r="A37" s="174">
        <v>26</v>
      </c>
      <c r="B37" s="176" t="s">
        <v>502</v>
      </c>
      <c r="C37" s="171" t="s">
        <v>760</v>
      </c>
      <c r="D37" s="588">
        <v>-4033</v>
      </c>
    </row>
    <row r="38" spans="1:4" s="83" customFormat="1" ht="15">
      <c r="A38" s="174">
        <v>27</v>
      </c>
      <c r="B38" s="176" t="s">
        <v>502</v>
      </c>
      <c r="C38" s="171" t="s">
        <v>761</v>
      </c>
      <c r="D38" s="588">
        <v>-892</v>
      </c>
    </row>
    <row r="39" spans="1:4" s="83" customFormat="1" ht="15">
      <c r="A39" s="174">
        <v>28</v>
      </c>
      <c r="B39" s="176" t="s">
        <v>502</v>
      </c>
      <c r="C39" s="171" t="s">
        <v>831</v>
      </c>
      <c r="D39" s="588">
        <v>-9300</v>
      </c>
    </row>
    <row r="40" spans="1:4" s="83" customFormat="1" ht="15">
      <c r="A40" s="174">
        <v>29</v>
      </c>
      <c r="B40" s="176" t="s">
        <v>502</v>
      </c>
      <c r="C40" s="171" t="s">
        <v>869</v>
      </c>
      <c r="D40" s="588">
        <v>-82</v>
      </c>
    </row>
    <row r="41" spans="1:4" s="83" customFormat="1" ht="15">
      <c r="A41" s="174">
        <v>30</v>
      </c>
      <c r="B41" s="176" t="s">
        <v>502</v>
      </c>
      <c r="C41" s="171" t="s">
        <v>870</v>
      </c>
      <c r="D41" s="588">
        <f>-24-95</f>
        <v>-119</v>
      </c>
    </row>
    <row r="42" spans="1:4" s="83" customFormat="1" ht="20.25" customHeight="1">
      <c r="A42" s="174">
        <v>31</v>
      </c>
      <c r="B42" s="176" t="s">
        <v>502</v>
      </c>
      <c r="C42" s="171" t="s">
        <v>884</v>
      </c>
      <c r="D42" s="681">
        <v>2054</v>
      </c>
    </row>
    <row r="43" spans="1:4" s="83" customFormat="1" ht="15.75" customHeight="1">
      <c r="A43" s="174">
        <v>32</v>
      </c>
      <c r="B43" s="176" t="s">
        <v>502</v>
      </c>
      <c r="C43" s="171" t="s">
        <v>885</v>
      </c>
      <c r="D43" s="587">
        <v>-1100</v>
      </c>
    </row>
    <row r="44" spans="1:4" s="83" customFormat="1" ht="30.75" customHeight="1">
      <c r="A44" s="174">
        <v>33</v>
      </c>
      <c r="B44" s="176" t="s">
        <v>502</v>
      </c>
      <c r="C44" s="585" t="s">
        <v>882</v>
      </c>
      <c r="D44" s="587">
        <v>-532</v>
      </c>
    </row>
    <row r="45" spans="1:4" s="83" customFormat="1" ht="30">
      <c r="A45" s="174">
        <v>34</v>
      </c>
      <c r="B45" s="176" t="s">
        <v>502</v>
      </c>
      <c r="C45" s="585" t="s">
        <v>883</v>
      </c>
      <c r="D45" s="587">
        <v>-2158</v>
      </c>
    </row>
    <row r="46" spans="1:4" s="83" customFormat="1" ht="15">
      <c r="A46" s="174">
        <v>35</v>
      </c>
      <c r="B46" s="176" t="s">
        <v>502</v>
      </c>
      <c r="C46" s="585" t="s">
        <v>886</v>
      </c>
      <c r="D46" s="587">
        <v>-98</v>
      </c>
    </row>
    <row r="47" spans="1:4" s="83" customFormat="1" ht="15">
      <c r="A47" s="174">
        <v>36</v>
      </c>
      <c r="B47" s="176" t="s">
        <v>502</v>
      </c>
      <c r="C47" s="585" t="s">
        <v>838</v>
      </c>
      <c r="D47" s="177">
        <v>240</v>
      </c>
    </row>
    <row r="48" spans="1:4" s="83" customFormat="1" ht="15">
      <c r="A48" s="174">
        <v>37</v>
      </c>
      <c r="B48" s="176" t="s">
        <v>502</v>
      </c>
      <c r="C48" s="585" t="s">
        <v>840</v>
      </c>
      <c r="D48" s="177">
        <v>1</v>
      </c>
    </row>
    <row r="49" spans="1:4" s="83" customFormat="1" ht="15">
      <c r="A49" s="174">
        <v>38</v>
      </c>
      <c r="B49" s="176" t="s">
        <v>502</v>
      </c>
      <c r="C49" s="585" t="s">
        <v>839</v>
      </c>
      <c r="D49" s="177">
        <v>10</v>
      </c>
    </row>
    <row r="50" spans="1:4" s="83" customFormat="1" ht="15">
      <c r="A50" s="174">
        <v>39</v>
      </c>
      <c r="B50" s="176" t="s">
        <v>502</v>
      </c>
      <c r="C50" s="585" t="s">
        <v>843</v>
      </c>
      <c r="D50" s="587">
        <v>-82</v>
      </c>
    </row>
    <row r="51" spans="1:4" s="83" customFormat="1" ht="15">
      <c r="A51" s="174">
        <v>40</v>
      </c>
      <c r="B51" s="176" t="s">
        <v>502</v>
      </c>
      <c r="C51" s="585" t="s">
        <v>841</v>
      </c>
      <c r="D51" s="587">
        <v>-74</v>
      </c>
    </row>
    <row r="52" spans="1:4" s="83" customFormat="1" ht="15">
      <c r="A52" s="174">
        <v>41</v>
      </c>
      <c r="B52" s="176" t="s">
        <v>502</v>
      </c>
      <c r="C52" s="585" t="s">
        <v>659</v>
      </c>
      <c r="D52" s="177">
        <v>60</v>
      </c>
    </row>
    <row r="53" spans="1:4" s="83" customFormat="1" ht="15">
      <c r="A53" s="174">
        <v>42</v>
      </c>
      <c r="B53" s="176" t="s">
        <v>502</v>
      </c>
      <c r="C53" s="585" t="s">
        <v>660</v>
      </c>
      <c r="D53" s="587">
        <v>-710</v>
      </c>
    </row>
    <row r="54" spans="1:4" s="83" customFormat="1" ht="15">
      <c r="A54" s="174">
        <v>43</v>
      </c>
      <c r="B54" s="176" t="s">
        <v>502</v>
      </c>
      <c r="C54" s="585" t="s">
        <v>658</v>
      </c>
      <c r="D54" s="177">
        <v>1770</v>
      </c>
    </row>
    <row r="55" spans="1:4" s="83" customFormat="1" ht="15">
      <c r="A55" s="174">
        <v>44</v>
      </c>
      <c r="B55" s="176" t="s">
        <v>502</v>
      </c>
      <c r="C55" s="585" t="s">
        <v>661</v>
      </c>
      <c r="D55" s="587">
        <v>-122</v>
      </c>
    </row>
    <row r="56" spans="1:4" s="83" customFormat="1" ht="15">
      <c r="A56" s="174">
        <v>45</v>
      </c>
      <c r="B56" s="176" t="s">
        <v>502</v>
      </c>
      <c r="C56" s="585" t="s">
        <v>662</v>
      </c>
      <c r="D56" s="587">
        <v>-116</v>
      </c>
    </row>
    <row r="57" spans="1:4" s="83" customFormat="1" ht="15">
      <c r="A57" s="174">
        <v>46</v>
      </c>
      <c r="B57" s="176" t="s">
        <v>502</v>
      </c>
      <c r="C57" s="585" t="s">
        <v>663</v>
      </c>
      <c r="D57" s="587">
        <v>-882</v>
      </c>
    </row>
    <row r="58" spans="1:4" ht="15.75" customHeight="1">
      <c r="A58" s="174">
        <v>47</v>
      </c>
      <c r="B58" s="85" t="s">
        <v>303</v>
      </c>
      <c r="C58" s="85"/>
      <c r="D58" s="178">
        <f>SUM(D34:D57)</f>
        <v>0</v>
      </c>
    </row>
    <row r="59" spans="1:4" s="83" customFormat="1" ht="8.25" customHeight="1">
      <c r="A59" s="180"/>
      <c r="B59" s="179"/>
      <c r="C59" s="179"/>
      <c r="D59" s="181"/>
    </row>
    <row r="60" spans="1:4" ht="15.75" customHeight="1">
      <c r="A60" s="174">
        <v>48</v>
      </c>
      <c r="B60" s="85" t="s">
        <v>832</v>
      </c>
      <c r="C60" s="84"/>
      <c r="D60" s="181"/>
    </row>
    <row r="61" spans="1:4" ht="15">
      <c r="A61" s="174">
        <v>49</v>
      </c>
      <c r="B61" s="176" t="s">
        <v>502</v>
      </c>
      <c r="C61" s="171" t="s">
        <v>833</v>
      </c>
      <c r="D61" s="177">
        <v>98185</v>
      </c>
    </row>
    <row r="62" spans="1:4" ht="15">
      <c r="A62" s="174">
        <v>50</v>
      </c>
      <c r="B62" s="176" t="s">
        <v>502</v>
      </c>
      <c r="C62" s="171" t="s">
        <v>834</v>
      </c>
      <c r="D62" s="588">
        <v>-32227</v>
      </c>
    </row>
    <row r="63" spans="1:4" ht="15">
      <c r="A63" s="174">
        <v>51</v>
      </c>
      <c r="B63" s="176" t="s">
        <v>502</v>
      </c>
      <c r="C63" s="171" t="s">
        <v>835</v>
      </c>
      <c r="D63" s="588">
        <v>-3999</v>
      </c>
    </row>
    <row r="64" spans="1:4" ht="15">
      <c r="A64" s="174">
        <v>52</v>
      </c>
      <c r="B64" s="176" t="s">
        <v>502</v>
      </c>
      <c r="C64" s="171" t="s">
        <v>836</v>
      </c>
      <c r="D64" s="588">
        <v>-1720</v>
      </c>
    </row>
    <row r="65" spans="1:4" ht="15">
      <c r="A65" s="174">
        <v>53</v>
      </c>
      <c r="B65" s="176" t="s">
        <v>502</v>
      </c>
      <c r="C65" s="171" t="s">
        <v>762</v>
      </c>
      <c r="D65" s="588">
        <v>-8393</v>
      </c>
    </row>
    <row r="66" spans="1:4" ht="15">
      <c r="A66" s="174">
        <v>54</v>
      </c>
      <c r="B66" s="176" t="s">
        <v>502</v>
      </c>
      <c r="C66" s="171" t="s">
        <v>837</v>
      </c>
      <c r="D66" s="588">
        <v>-51846</v>
      </c>
    </row>
    <row r="67" spans="1:4" ht="15">
      <c r="A67" s="174">
        <v>55</v>
      </c>
      <c r="B67" s="85" t="s">
        <v>303</v>
      </c>
      <c r="C67" s="85"/>
      <c r="D67" s="547">
        <f>SUM(D61:D66)</f>
        <v>0</v>
      </c>
    </row>
    <row r="68" spans="1:4" ht="12" customHeight="1">
      <c r="A68" s="180"/>
      <c r="B68" s="179"/>
      <c r="C68" s="179"/>
      <c r="D68" s="181"/>
    </row>
    <row r="69" spans="1:4" ht="15">
      <c r="A69" s="174">
        <v>56</v>
      </c>
      <c r="B69" s="85" t="s">
        <v>395</v>
      </c>
      <c r="C69" s="85"/>
      <c r="D69" s="178">
        <f>SUM(D20,D26,D31,D58,D67)</f>
        <v>5032</v>
      </c>
    </row>
    <row r="70" spans="1:4" ht="12" customHeight="1">
      <c r="A70" s="180"/>
      <c r="B70" s="179"/>
      <c r="C70" s="179"/>
      <c r="D70" s="181"/>
    </row>
    <row r="71" spans="1:4" ht="15">
      <c r="A71" s="174">
        <v>57</v>
      </c>
      <c r="B71" s="85" t="s">
        <v>396</v>
      </c>
      <c r="C71" s="85"/>
      <c r="D71" s="178">
        <v>0</v>
      </c>
    </row>
    <row r="72" spans="1:4" ht="11.25" customHeight="1">
      <c r="A72" s="180"/>
      <c r="B72" s="179"/>
      <c r="C72" s="179"/>
      <c r="D72" s="181"/>
    </row>
    <row r="73" spans="1:4" ht="18.75">
      <c r="A73" s="548">
        <v>58</v>
      </c>
      <c r="B73" s="549" t="s">
        <v>394</v>
      </c>
      <c r="C73" s="549"/>
      <c r="D73" s="550">
        <f>SUM(D71,D69)</f>
        <v>5032</v>
      </c>
    </row>
  </sheetData>
  <sheetProtection/>
  <mergeCells count="8">
    <mergeCell ref="C1:D1"/>
    <mergeCell ref="B3:D3"/>
    <mergeCell ref="B7:C7"/>
    <mergeCell ref="B4:D4"/>
    <mergeCell ref="B28:D28"/>
    <mergeCell ref="A7:A8"/>
    <mergeCell ref="B22:D22"/>
    <mergeCell ref="B8:C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375" style="0" customWidth="1"/>
    <col min="2" max="2" width="12.875" style="0" customWidth="1"/>
    <col min="3" max="3" width="17.00390625" style="0" customWidth="1"/>
    <col min="4" max="4" width="16.00390625" style="0" customWidth="1"/>
    <col min="5" max="5" width="14.375" style="0" customWidth="1"/>
    <col min="6" max="6" width="15.75390625" style="0" customWidth="1"/>
    <col min="7" max="7" width="17.25390625" style="0" customWidth="1"/>
    <col min="8" max="8" width="16.875" style="0" customWidth="1"/>
    <col min="9" max="9" width="19.625" style="0" customWidth="1"/>
  </cols>
  <sheetData>
    <row r="1" spans="1:9" ht="15.75">
      <c r="A1" s="730"/>
      <c r="B1" s="731"/>
      <c r="C1" s="731"/>
      <c r="D1" s="731"/>
      <c r="E1" s="731"/>
      <c r="F1" s="731"/>
      <c r="G1" s="731"/>
      <c r="H1" s="731"/>
      <c r="I1" s="732" t="s">
        <v>169</v>
      </c>
    </row>
    <row r="2" spans="1:9" ht="15.75">
      <c r="A2" s="730"/>
      <c r="B2" s="731"/>
      <c r="C2" s="731"/>
      <c r="D2" s="731"/>
      <c r="E2" s="731"/>
      <c r="F2" s="731"/>
      <c r="G2" s="731"/>
      <c r="H2" s="731"/>
      <c r="I2" s="731"/>
    </row>
    <row r="3" spans="1:9" ht="15.75">
      <c r="A3" s="730"/>
      <c r="B3" s="1102" t="s">
        <v>63</v>
      </c>
      <c r="C3" s="1102"/>
      <c r="D3" s="1102"/>
      <c r="E3" s="1102"/>
      <c r="F3" s="1102"/>
      <c r="G3" s="1102"/>
      <c r="H3" s="1102"/>
      <c r="I3" s="1102"/>
    </row>
    <row r="4" spans="1:9" ht="16.5" thickBot="1">
      <c r="A4" s="730"/>
      <c r="B4" s="733"/>
      <c r="C4" s="733"/>
      <c r="D4" s="733"/>
      <c r="E4" s="733"/>
      <c r="F4" s="733"/>
      <c r="G4" s="733"/>
      <c r="H4" s="733"/>
      <c r="I4" s="733"/>
    </row>
    <row r="5" spans="1:9" ht="15.75">
      <c r="A5" s="1103" t="s">
        <v>483</v>
      </c>
      <c r="B5" s="1105" t="s">
        <v>64</v>
      </c>
      <c r="C5" s="1105" t="s">
        <v>65</v>
      </c>
      <c r="D5" s="1105"/>
      <c r="E5" s="1105"/>
      <c r="F5" s="1105"/>
      <c r="G5" s="1105"/>
      <c r="H5" s="1105"/>
      <c r="I5" s="1107" t="s">
        <v>439</v>
      </c>
    </row>
    <row r="6" spans="1:9" ht="114.75">
      <c r="A6" s="1104"/>
      <c r="B6" s="1106"/>
      <c r="C6" s="735" t="s">
        <v>66</v>
      </c>
      <c r="D6" s="735" t="s">
        <v>67</v>
      </c>
      <c r="E6" s="735" t="s">
        <v>68</v>
      </c>
      <c r="F6" s="735" t="s">
        <v>69</v>
      </c>
      <c r="G6" s="735" t="s">
        <v>70</v>
      </c>
      <c r="H6" s="735" t="s">
        <v>71</v>
      </c>
      <c r="I6" s="1108"/>
    </row>
    <row r="7" spans="1:9" ht="12.75">
      <c r="A7" s="1104"/>
      <c r="B7" s="736" t="s">
        <v>477</v>
      </c>
      <c r="C7" s="737" t="s">
        <v>478</v>
      </c>
      <c r="D7" s="737" t="s">
        <v>479</v>
      </c>
      <c r="E7" s="737" t="s">
        <v>480</v>
      </c>
      <c r="F7" s="737" t="s">
        <v>481</v>
      </c>
      <c r="G7" s="737" t="s">
        <v>482</v>
      </c>
      <c r="H7" s="737" t="s">
        <v>485</v>
      </c>
      <c r="I7" s="738" t="s">
        <v>486</v>
      </c>
    </row>
    <row r="8" spans="1:9" ht="15.75">
      <c r="A8" s="739">
        <v>1</v>
      </c>
      <c r="B8" s="740" t="s">
        <v>505</v>
      </c>
      <c r="C8" s="741">
        <v>118936</v>
      </c>
      <c r="D8" s="741">
        <v>35221</v>
      </c>
      <c r="E8" s="741">
        <v>0</v>
      </c>
      <c r="F8" s="741">
        <v>0</v>
      </c>
      <c r="G8" s="741">
        <v>1300</v>
      </c>
      <c r="H8" s="741">
        <v>0</v>
      </c>
      <c r="I8" s="742">
        <f>SUM(C8:H8)</f>
        <v>155457</v>
      </c>
    </row>
    <row r="9" spans="1:9" ht="15.75">
      <c r="A9" s="734">
        <v>2</v>
      </c>
      <c r="B9" s="743" t="s">
        <v>508</v>
      </c>
      <c r="C9" s="744">
        <v>117550</v>
      </c>
      <c r="D9" s="744">
        <v>0</v>
      </c>
      <c r="E9" s="744">
        <v>0</v>
      </c>
      <c r="F9" s="744">
        <v>0</v>
      </c>
      <c r="G9" s="744">
        <v>1335</v>
      </c>
      <c r="H9" s="744">
        <v>0</v>
      </c>
      <c r="I9" s="745">
        <f aca="true" t="shared" si="0" ref="I9:I23">SUM(C9:H9)</f>
        <v>118885</v>
      </c>
    </row>
    <row r="10" spans="1:9" ht="15.75">
      <c r="A10" s="734">
        <v>3</v>
      </c>
      <c r="B10" s="743" t="s">
        <v>72</v>
      </c>
      <c r="C10" s="746">
        <v>119680</v>
      </c>
      <c r="D10" s="744">
        <v>0</v>
      </c>
      <c r="E10" s="744">
        <v>0</v>
      </c>
      <c r="F10" s="744">
        <v>0</v>
      </c>
      <c r="G10" s="746">
        <v>1360</v>
      </c>
      <c r="H10" s="744">
        <v>0</v>
      </c>
      <c r="I10" s="745">
        <f t="shared" si="0"/>
        <v>121040</v>
      </c>
    </row>
    <row r="11" spans="1:9" ht="15.75">
      <c r="A11" s="734">
        <v>4</v>
      </c>
      <c r="B11" s="743" t="s">
        <v>73</v>
      </c>
      <c r="C11" s="746">
        <v>120165</v>
      </c>
      <c r="D11" s="744">
        <v>0</v>
      </c>
      <c r="E11" s="744">
        <v>0</v>
      </c>
      <c r="F11" s="744">
        <v>0</v>
      </c>
      <c r="G11" s="746">
        <v>1365</v>
      </c>
      <c r="H11" s="744">
        <v>0</v>
      </c>
      <c r="I11" s="745">
        <f t="shared" si="0"/>
        <v>121530</v>
      </c>
    </row>
    <row r="12" spans="1:9" ht="15.75">
      <c r="A12" s="734">
        <v>5</v>
      </c>
      <c r="B12" s="743" t="s">
        <v>74</v>
      </c>
      <c r="C12" s="746">
        <v>121000</v>
      </c>
      <c r="D12" s="744">
        <v>0</v>
      </c>
      <c r="E12" s="744">
        <v>0</v>
      </c>
      <c r="F12" s="744">
        <v>0</v>
      </c>
      <c r="G12" s="746">
        <v>1375</v>
      </c>
      <c r="H12" s="744">
        <v>0</v>
      </c>
      <c r="I12" s="745">
        <f t="shared" si="0"/>
        <v>122375</v>
      </c>
    </row>
    <row r="13" spans="1:9" ht="15.75">
      <c r="A13" s="734">
        <v>6</v>
      </c>
      <c r="B13" s="743" t="s">
        <v>75</v>
      </c>
      <c r="C13" s="746">
        <v>123275</v>
      </c>
      <c r="D13" s="744">
        <v>0</v>
      </c>
      <c r="E13" s="744">
        <v>0</v>
      </c>
      <c r="F13" s="744">
        <v>0</v>
      </c>
      <c r="G13" s="746">
        <v>1400</v>
      </c>
      <c r="H13" s="744">
        <v>0</v>
      </c>
      <c r="I13" s="745">
        <f t="shared" si="0"/>
        <v>124675</v>
      </c>
    </row>
    <row r="14" spans="1:9" ht="15.75">
      <c r="A14" s="734">
        <v>7</v>
      </c>
      <c r="B14" s="743" t="s">
        <v>76</v>
      </c>
      <c r="C14" s="746">
        <v>125940</v>
      </c>
      <c r="D14" s="744">
        <v>0</v>
      </c>
      <c r="E14" s="744">
        <v>0</v>
      </c>
      <c r="F14" s="744">
        <v>0</v>
      </c>
      <c r="G14" s="746">
        <v>1430</v>
      </c>
      <c r="H14" s="744">
        <v>0</v>
      </c>
      <c r="I14" s="745">
        <f t="shared" si="0"/>
        <v>127370</v>
      </c>
    </row>
    <row r="15" spans="1:9" ht="15.75">
      <c r="A15" s="734">
        <v>8</v>
      </c>
      <c r="B15" s="743" t="s">
        <v>77</v>
      </c>
      <c r="C15" s="746">
        <v>127035</v>
      </c>
      <c r="D15" s="744">
        <v>0</v>
      </c>
      <c r="E15" s="744">
        <v>0</v>
      </c>
      <c r="F15" s="744">
        <v>0</v>
      </c>
      <c r="G15" s="746">
        <v>1445</v>
      </c>
      <c r="H15" s="744">
        <v>0</v>
      </c>
      <c r="I15" s="745">
        <f t="shared" si="0"/>
        <v>128480</v>
      </c>
    </row>
    <row r="16" spans="1:9" ht="15.75">
      <c r="A16" s="734">
        <v>9</v>
      </c>
      <c r="B16" s="743" t="s">
        <v>78</v>
      </c>
      <c r="C16" s="746">
        <v>128585</v>
      </c>
      <c r="D16" s="744">
        <v>0</v>
      </c>
      <c r="E16" s="744">
        <v>0</v>
      </c>
      <c r="F16" s="744">
        <v>0</v>
      </c>
      <c r="G16" s="746">
        <v>1460</v>
      </c>
      <c r="H16" s="744">
        <v>0</v>
      </c>
      <c r="I16" s="745">
        <f t="shared" si="0"/>
        <v>130045</v>
      </c>
    </row>
    <row r="17" spans="1:9" ht="15.75">
      <c r="A17" s="734">
        <v>10</v>
      </c>
      <c r="B17" s="743" t="s">
        <v>79</v>
      </c>
      <c r="C17" s="746">
        <v>130615</v>
      </c>
      <c r="D17" s="744">
        <v>0</v>
      </c>
      <c r="E17" s="744">
        <v>0</v>
      </c>
      <c r="F17" s="744">
        <v>0</v>
      </c>
      <c r="G17" s="746">
        <v>1485</v>
      </c>
      <c r="H17" s="744">
        <v>0</v>
      </c>
      <c r="I17" s="745">
        <f t="shared" si="0"/>
        <v>132100</v>
      </c>
    </row>
    <row r="18" spans="1:9" ht="15.75">
      <c r="A18" s="734">
        <v>11</v>
      </c>
      <c r="B18" s="743" t="s">
        <v>80</v>
      </c>
      <c r="C18" s="746">
        <v>131145</v>
      </c>
      <c r="D18" s="744">
        <v>0</v>
      </c>
      <c r="E18" s="744">
        <v>0</v>
      </c>
      <c r="F18" s="744">
        <v>0</v>
      </c>
      <c r="G18" s="746">
        <v>1490</v>
      </c>
      <c r="H18" s="744">
        <v>0</v>
      </c>
      <c r="I18" s="745">
        <f t="shared" si="0"/>
        <v>132635</v>
      </c>
    </row>
    <row r="19" spans="1:9" ht="15.75">
      <c r="A19" s="734">
        <v>12</v>
      </c>
      <c r="B19" s="743" t="s">
        <v>81</v>
      </c>
      <c r="C19" s="746">
        <v>132200</v>
      </c>
      <c r="D19" s="744">
        <v>0</v>
      </c>
      <c r="E19" s="744">
        <v>0</v>
      </c>
      <c r="F19" s="744">
        <v>0</v>
      </c>
      <c r="G19" s="746">
        <v>1500</v>
      </c>
      <c r="H19" s="744">
        <v>0</v>
      </c>
      <c r="I19" s="745">
        <f t="shared" si="0"/>
        <v>133700</v>
      </c>
    </row>
    <row r="20" spans="1:9" ht="15.75">
      <c r="A20" s="734">
        <v>13</v>
      </c>
      <c r="B20" s="743" t="s">
        <v>82</v>
      </c>
      <c r="C20" s="746">
        <v>133815</v>
      </c>
      <c r="D20" s="744">
        <v>0</v>
      </c>
      <c r="E20" s="744">
        <v>0</v>
      </c>
      <c r="F20" s="744">
        <v>0</v>
      </c>
      <c r="G20" s="746">
        <v>1520</v>
      </c>
      <c r="H20" s="744">
        <v>0</v>
      </c>
      <c r="I20" s="745">
        <f t="shared" si="0"/>
        <v>135335</v>
      </c>
    </row>
    <row r="21" spans="1:9" ht="15.75">
      <c r="A21" s="734">
        <v>14</v>
      </c>
      <c r="B21" s="743" t="s">
        <v>83</v>
      </c>
      <c r="C21" s="746">
        <v>136000</v>
      </c>
      <c r="D21" s="744">
        <v>0</v>
      </c>
      <c r="E21" s="744">
        <v>0</v>
      </c>
      <c r="F21" s="744">
        <v>0</v>
      </c>
      <c r="G21" s="746">
        <v>1545</v>
      </c>
      <c r="H21" s="744">
        <v>0</v>
      </c>
      <c r="I21" s="745">
        <f t="shared" si="0"/>
        <v>137545</v>
      </c>
    </row>
    <row r="22" spans="1:9" ht="15.75">
      <c r="A22" s="734">
        <v>15</v>
      </c>
      <c r="B22" s="743" t="s">
        <v>84</v>
      </c>
      <c r="C22" s="746">
        <v>138800</v>
      </c>
      <c r="D22" s="744">
        <v>0</v>
      </c>
      <c r="E22" s="744">
        <v>0</v>
      </c>
      <c r="F22" s="744">
        <v>0</v>
      </c>
      <c r="G22" s="746">
        <v>1580</v>
      </c>
      <c r="H22" s="744">
        <v>0</v>
      </c>
      <c r="I22" s="745">
        <f t="shared" si="0"/>
        <v>140380</v>
      </c>
    </row>
    <row r="23" spans="1:9" ht="16.5" thickBot="1">
      <c r="A23" s="734">
        <v>16</v>
      </c>
      <c r="B23" s="747" t="s">
        <v>85</v>
      </c>
      <c r="C23" s="748">
        <v>140250</v>
      </c>
      <c r="D23" s="749">
        <v>0</v>
      </c>
      <c r="E23" s="749">
        <v>0</v>
      </c>
      <c r="F23" s="749">
        <v>0</v>
      </c>
      <c r="G23" s="748">
        <v>1595</v>
      </c>
      <c r="H23" s="748">
        <v>0</v>
      </c>
      <c r="I23" s="750">
        <f t="shared" si="0"/>
        <v>141845</v>
      </c>
    </row>
  </sheetData>
  <sheetProtection/>
  <mergeCells count="5">
    <mergeCell ref="B3:I3"/>
    <mergeCell ref="A5:A7"/>
    <mergeCell ref="B5:B6"/>
    <mergeCell ref="C5:H5"/>
    <mergeCell ref="I5:I6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Felhasználó</cp:lastModifiedBy>
  <cp:lastPrinted>2014-02-19T16:00:47Z</cp:lastPrinted>
  <dcterms:created xsi:type="dcterms:W3CDTF">2001-11-30T10:27:10Z</dcterms:created>
  <dcterms:modified xsi:type="dcterms:W3CDTF">2014-02-19T16:01:20Z</dcterms:modified>
  <cp:category/>
  <cp:version/>
  <cp:contentType/>
  <cp:contentStatus/>
</cp:coreProperties>
</file>