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68" windowHeight="7380" tabRatio="731" activeTab="0"/>
  </bookViews>
  <sheets>
    <sheet name="1.a melléklet" sheetId="1" r:id="rId1"/>
    <sheet name="1.b melléklet" sheetId="2" r:id="rId2"/>
    <sheet name="2.a melléklet" sheetId="3" r:id="rId3"/>
    <sheet name="2.b melléklet" sheetId="4" r:id="rId4"/>
    <sheet name="3.a melléklet" sheetId="5" r:id="rId5"/>
    <sheet name="3.b melléklet" sheetId="6" r:id="rId6"/>
    <sheet name="4. melléklet" sheetId="7" r:id="rId7"/>
    <sheet name="5. melléklet" sheetId="8" r:id="rId8"/>
    <sheet name="6. melléklet" sheetId="9" r:id="rId9"/>
    <sheet name="7. melléklet" sheetId="10" r:id="rId10"/>
    <sheet name="8.melléklet" sheetId="11" r:id="rId11"/>
    <sheet name="9. melléklet" sheetId="12" r:id="rId12"/>
  </sheets>
  <definedNames>
    <definedName name="foot_4_place" localSheetId="11">'9. melléklet'!$A$18</definedName>
    <definedName name="foot_5_place" localSheetId="11">'9. melléklet'!#REF!</definedName>
    <definedName name="foot_53_place" localSheetId="11">'9. melléklet'!#REF!</definedName>
    <definedName name="_xlnm.Print_Titles" localSheetId="0">'1.a melléklet'!$1:$7</definedName>
    <definedName name="_xlnm.Print_Titles" localSheetId="1">'1.b melléklet'!$1:$7</definedName>
    <definedName name="_xlnm.Print_Titles" localSheetId="2">'2.a melléklet'!$1:$7</definedName>
    <definedName name="_xlnm.Print_Titles" localSheetId="3">'2.b melléklet'!$1:$5</definedName>
    <definedName name="_xlnm.Print_Titles" localSheetId="4">'3.a melléklet'!$1:$5</definedName>
    <definedName name="_xlnm.Print_Titles" localSheetId="5">'3.b melléklet'!$1:$5</definedName>
    <definedName name="_xlnm.Print_Titles" localSheetId="7">'5. melléklet'!$1:$7</definedName>
    <definedName name="_xlnm.Print_Titles" localSheetId="8">'6. melléklet'!$1:$7</definedName>
    <definedName name="_xlnm.Print_Area" localSheetId="0">'1.a melléklet'!$A$3:$F$125</definedName>
    <definedName name="_xlnm.Print_Area" localSheetId="1">'1.b melléklet'!$A$3:$F$97</definedName>
    <definedName name="_xlnm.Print_Area" localSheetId="4">'3.a melléklet'!$A$1:$F$123</definedName>
    <definedName name="_xlnm.Print_Area" localSheetId="5">'3.b melléklet'!$A$1:$F$95</definedName>
    <definedName name="_xlnm.Print_Area" localSheetId="6">'4. melléklet'!$A$1:$D$9</definedName>
    <definedName name="_xlnm.Print_Area" localSheetId="7">'5. melléklet'!$A$1:$O$217</definedName>
    <definedName name="_xlnm.Print_Area" localSheetId="8">'6. melléklet'!$A$1:$O$217</definedName>
    <definedName name="_xlnm.Print_Area" localSheetId="9">'7. melléklet'!$A$1:$G$50</definedName>
    <definedName name="_xlnm.Print_Area" localSheetId="10">'8.melléklet'!$A$1:$J$53</definedName>
    <definedName name="_xlnm.Print_Area" localSheetId="11">'9. melléklet'!$A$1:$F$38</definedName>
    <definedName name="pr10" localSheetId="11">'9. melléklet'!#REF!</definedName>
    <definedName name="pr11" localSheetId="11">'9. melléklet'!#REF!</definedName>
    <definedName name="pr12" localSheetId="11">'9. melléklet'!#REF!</definedName>
    <definedName name="pr21" localSheetId="10">'8.melléklet'!$A$56</definedName>
    <definedName name="pr22" localSheetId="10">'8.melléklet'!#REF!</definedName>
    <definedName name="pr24" localSheetId="10">'8.melléklet'!$A$58</definedName>
    <definedName name="pr25" localSheetId="10">'8.melléklet'!$A$59</definedName>
    <definedName name="pr26" localSheetId="10">'8.melléklet'!$A$60</definedName>
    <definedName name="pr27" localSheetId="10">'8.melléklet'!$A$61</definedName>
    <definedName name="pr28" localSheetId="10">'8.melléklet'!$A$62</definedName>
    <definedName name="pr7" localSheetId="11">'9. melléklet'!#REF!</definedName>
    <definedName name="pr8" localSheetId="11">'9. melléklet'!#REF!</definedName>
    <definedName name="pr9" localSheetId="11">'9. melléklet'!#REF!</definedName>
  </definedNames>
  <calcPr fullCalcOnLoad="1"/>
</workbook>
</file>

<file path=xl/sharedStrings.xml><?xml version="1.0" encoding="utf-8"?>
<sst xmlns="http://schemas.openxmlformats.org/spreadsheetml/2006/main" count="2323" uniqueCount="514">
  <si>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</si>
  <si>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</si>
  <si>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</si>
  <si>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</si>
  <si>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</si>
  <si>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</si>
  <si>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</si>
  <si>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</si>
  <si>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</si>
  <si>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</si>
  <si>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</si>
  <si>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</si>
  <si>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</si>
  <si>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</si>
  <si>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</si>
  <si>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</si>
  <si>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</si>
  <si>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</si>
  <si>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</si>
  <si>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</si>
  <si>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</si>
  <si>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</si>
  <si>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Vasszécsenyi Közös Önkormányzati Hivatal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</si>
  <si>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</si>
  <si>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</si>
  <si>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</si>
  <si>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</si>
  <si>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</si>
  <si>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</si>
  <si>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</si>
  <si>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</si>
  <si>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</si>
  <si>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</si>
  <si>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</si>
  <si>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</si>
  <si>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</si>
  <si>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</si>
  <si>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</si>
  <si>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</si>
  <si>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</si>
  <si>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</si>
  <si>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</si>
  <si>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</si>
  <si>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</si>
  <si>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</si>
  <si>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</si>
  <si>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</si>
  <si>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</si>
  <si>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</si>
  <si>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</si>
  <si>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</si>
  <si>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</si>
  <si>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</si>
  <si>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</si>
  <si>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</si>
  <si>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</si>
  <si>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</si>
  <si>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</si>
  <si>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</si>
  <si>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</si>
  <si>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</si>
  <si>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</si>
  <si>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</si>
  <si>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</si>
  <si>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</si>
  <si>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</si>
  <si>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</si>
  <si>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</si>
  <si>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</si>
  <si>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</si>
  <si>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</si>
  <si>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</si>
  <si>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</si>
  <si>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</si>
  <si>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</si>
  <si>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</si>
  <si>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</si>
  <si>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</si>
  <si>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</si>
  <si>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</si>
  <si>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</si>
  <si>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</si>
  <si>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</si>
  <si>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</si>
  <si>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</si>
  <si>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</si>
  <si>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</si>
  <si>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</si>
  <si>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</si>
  <si>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</si>
  <si>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</si>
  <si>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</si>
  <si>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</si>
  <si>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</si>
  <si>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</si>
  <si>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</si>
  <si>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</si>
  <si>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</si>
  <si>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</si>
  <si>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</si>
  <si>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</si>
  <si>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</si>
  <si>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</si>
  <si>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</si>
  <si>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</si>
  <si>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</si>
  <si>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</si>
  <si>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</si>
  <si>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</si>
  <si>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</si>
  <si>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</si>
  <si>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</si>
  <si>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</si>
  <si>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</si>
  <si>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</si>
  <si>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</si>
  <si>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</si>
  <si>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</si>
  <si>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</si>
  <si>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</si>
  <si>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</si>
  <si>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</si>
  <si>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</si>
  <si>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</si>
  <si>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</si>
  <si>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</si>
  <si>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</si>
  <si>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</si>
  <si>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</si>
  <si>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</si>
  <si>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</si>
  <si>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</si>
  <si>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</si>
  <si>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</si>
  <si>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</si>
  <si>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</si>
  <si>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</si>
  <si>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</si>
  <si>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</si>
  <si>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</si>
  <si>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</si>
  <si>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</si>
  <si>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</si>
  <si>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</si>
  <si>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VASSZÉCSENYI KÖZÖS ÖNKORMÁNYZATI HIVATAL ELŐIRÁNYZATAI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</si>
  <si>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</si>
  <si>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</si>
  <si>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</si>
  <si>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</si>
  <si>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</si>
  <si>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</si>
  <si>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</si>
  <si>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</si>
  <si>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</si>
  <si>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</si>
  <si>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</si>
  <si>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</si>
  <si>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</si>
  <si>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</si>
  <si>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</si>
  <si>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</si>
  <si>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</si>
  <si>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</si>
  <si>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</si>
  <si>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</si>
  <si>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</si>
  <si>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</si>
  <si>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</si>
  <si>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</si>
  <si>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</si>
  <si>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</si>
  <si>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</si>
  <si>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</si>
  <si>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</si>
  <si>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</si>
  <si>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</si>
  <si>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</si>
  <si>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</si>
  <si>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</si>
  <si>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</si>
  <si>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</si>
  <si>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</si>
  <si>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</si>
  <si>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</si>
  <si>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</si>
  <si>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</si>
  <si>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</si>
  <si>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</si>
  <si>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</si>
  <si>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</si>
  <si>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</si>
  <si>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</si>
  <si>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</si>
  <si>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</si>
  <si>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</si>
  <si>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</si>
  <si>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</si>
  <si>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</si>
  <si>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</si>
  <si>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</si>
  <si>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</si>
  <si>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</si>
  <si>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</si>
  <si>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</si>
  <si>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</si>
  <si>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</si>
  <si>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</si>
  <si>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</si>
  <si>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</si>
  <si>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</si>
  <si>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</si>
  <si>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</si>
  <si>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</si>
  <si>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</si>
  <si>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</si>
  <si>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</si>
  <si>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</si>
  <si>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</si>
  <si>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</si>
  <si>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</si>
  <si>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</si>
  <si>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</si>
  <si>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</si>
  <si>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</si>
  <si>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</si>
  <si>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</si>
  <si>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</si>
  <si>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</si>
  <si>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</si>
  <si>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</si>
  <si>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</si>
  <si>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</si>
  <si>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</si>
  <si>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</si>
  <si>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</si>
  <si>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</si>
  <si>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</si>
  <si>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</si>
  <si>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</si>
  <si>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</si>
  <si>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</si>
  <si>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</si>
  <si>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</si>
  <si>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</si>
  <si>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</si>
  <si>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</si>
  <si>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</si>
  <si>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</si>
  <si>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</si>
  <si>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</si>
  <si>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</si>
  <si>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</si>
  <si>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</si>
  <si>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</si>
  <si>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</si>
  <si>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</si>
  <si>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</si>
  <si>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</si>
  <si>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</si>
  <si>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</si>
  <si>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</si>
  <si>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</si>
  <si>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</si>
  <si>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</si>
  <si>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</si>
  <si>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</si>
  <si>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</si>
  <si>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</si>
  <si>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</si>
  <si>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</si>
  <si>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</si>
  <si>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</si>
  <si>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</si>
  <si>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</si>
  <si>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</si>
  <si>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</si>
  <si>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</si>
  <si>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</si>
  <si>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</si>
  <si>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</si>
  <si>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</si>
  <si>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</si>
  <si>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</si>
  <si>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</si>
  <si>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</si>
  <si>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</si>
  <si>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</si>
  <si>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</si>
  <si>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</si>
  <si>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</si>
  <si>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</si>
  <si>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</si>
  <si>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</si>
  <si>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</si>
  <si>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</si>
  <si>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</si>
  <si>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</si>
  <si>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</si>
  <si>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</si>
  <si>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</si>
  <si>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</si>
  <si>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</si>
  <si>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</si>
  <si>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</si>
  <si>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</si>
  <si>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</si>
  <si>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</si>
  <si>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</si>
  <si>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</si>
  <si>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</si>
  <si>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</si>
  <si>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</si>
  <si>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</si>
  <si>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</si>
  <si>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</si>
  <si>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</si>
  <si>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</si>
  <si>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</si>
  <si>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</si>
  <si>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</si>
  <si>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</si>
  <si>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</si>
  <si>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</si>
  <si>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</si>
  <si>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</si>
  <si>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</si>
  <si>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</si>
  <si>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</si>
  <si>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</si>
  <si>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</si>
  <si>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</si>
  <si>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</si>
  <si>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</si>
  <si>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</si>
  <si>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</si>
  <si>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</si>
  <si>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</si>
  <si>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</si>
  <si>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</si>
  <si>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</si>
  <si>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</si>
  <si>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</si>
  <si>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</si>
  <si>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</si>
  <si>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</si>
  <si>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</si>
  <si>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</si>
  <si>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</si>
  <si>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</si>
  <si>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</si>
  <si>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</si>
  <si>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</si>
  <si>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</si>
  <si>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</si>
  <si>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</si>
  <si>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</si>
  <si>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</si>
  <si>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</si>
  <si>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</si>
  <si>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</si>
  <si>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</si>
  <si>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</si>
  <si>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</si>
  <si>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</si>
  <si>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</si>
  <si>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</si>
  <si>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</si>
  <si>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</si>
  <si>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</si>
  <si>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</si>
  <si>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</si>
  <si>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</si>
  <si>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</si>
  <si>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</si>
  <si>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</si>
  <si>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</si>
  <si>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</si>
  <si>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</si>
  <si>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</si>
  <si>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</si>
  <si>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</si>
  <si>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</si>
  <si>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</si>
  <si>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</si>
  <si>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</si>
  <si>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</si>
  <si>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</si>
  <si>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</si>
  <si>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</si>
  <si>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</si>
  <si>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</si>
  <si>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</si>
  <si>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</si>
  <si>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</si>
  <si>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</si>
  <si>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</si>
  <si>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</si>
  <si>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</si>
  <si>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</si>
  <si>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</si>
  <si>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</si>
  <si>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</si>
  <si>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</si>
  <si>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</si>
  <si>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</si>
  <si>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</si>
  <si>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</si>
  <si>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</si>
  <si>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</si>
  <si>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</si>
  <si>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</si>
  <si>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</si>
  <si>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</si>
  <si>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</si>
  <si>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</si>
  <si>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</si>
  <si>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</si>
  <si>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</si>
  <si>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</si>
  <si>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</si>
  <si>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</si>
  <si>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</si>
  <si>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</si>
  <si>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</si>
  <si>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</si>
  <si>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</si>
  <si>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</si>
  <si>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</si>
  <si>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</si>
  <si>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</si>
  <si>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</si>
  <si>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</si>
  <si>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</si>
  <si>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>Kiadások ( Ft)</t>
  </si>
  <si>
    <t>forint</t>
  </si>
  <si>
    <t>Bevételek ( Ft)</t>
  </si>
  <si>
    <t>B411</t>
  </si>
  <si>
    <t>Biztosító által fizetett kártérítés</t>
  </si>
  <si>
    <t>Felhalmozási költségvetés előiányzat csoport</t>
  </si>
  <si>
    <t>KIADÁSOK ÖSSZESEN (K1-K9)</t>
  </si>
  <si>
    <t>Bevételek (Ft)</t>
  </si>
  <si>
    <t>Kiadások (Ft)</t>
  </si>
  <si>
    <t>VASSZÉCSENY KÖZSÉG ÖNKORMÁNYZATA  ELŐIRÁNYZATOK</t>
  </si>
  <si>
    <t>VASSZÉCSENY KÖZSÉG ÖNKORMÁNYZATA ÉS VASSZÉCSENYI KÖZÖS ÖNKORMÁNYZATI HIVATAL  ELŐIRÁNYZATOK</t>
  </si>
  <si>
    <t>Előirányzat felhasználási terv (Ft)</t>
  </si>
  <si>
    <t>Biztosító térítése</t>
  </si>
  <si>
    <t>Vasszécseny Község Önkormányzata  és költségvetési szerve  kötelező, önként vállalt és államigazgatási feladatai 2019. évben</t>
  </si>
  <si>
    <t>Vasszécseny Község Önkormányzata   kötelező, önként vállalt és államigazgatási feladatai 2019. évben</t>
  </si>
  <si>
    <t>Vasszécseny Község Önkormányzata 2019. évi költségvetése</t>
  </si>
  <si>
    <t>Vasszécseny Község Önkormányzata  és költségvetési szerve kötelező, önként vállalt és államigazgatási feladatai 2019. évben</t>
  </si>
  <si>
    <t>Vasszécsenyi Közös Önkormányzati Hivatal 2019. évi költségvetése</t>
  </si>
  <si>
    <t>Rövid lejáratú hitelek, kölcsönök felvétele</t>
  </si>
  <si>
    <t>Vasszécseny Község Önkormányzata és intézménye  2018. évi költségvetése</t>
  </si>
  <si>
    <t>Beruházások és felújítások ( Ft)</t>
  </si>
  <si>
    <t>Vasszécseny Község Önkormányzata</t>
  </si>
  <si>
    <t>Közös Hivatal</t>
  </si>
  <si>
    <t>könyvtárpark terv, játszótér terv</t>
  </si>
  <si>
    <t xml:space="preserve">Ingatlanok beszerzése, létesítése </t>
  </si>
  <si>
    <t xml:space="preserve">ASP beruházás </t>
  </si>
  <si>
    <t>Energtikai korszerűsítés</t>
  </si>
  <si>
    <t>A költségvetési év azon fejlesztési céljai, amelyek megvalósításához a Gst. 3. § (1) bekezdése szerinti adósságot keletkeztető ügylet megkötése válik vagy válhat szükségessé ( Ft)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</si>
  <si>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</si>
  <si>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</si>
  <si>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</si>
  <si>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</si>
  <si>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</si>
  <si>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</si>
  <si>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</si>
  <si>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</si>
  <si>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</si>
  <si>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</si>
  <si>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Adósságot keletkeztető ügylet és annak értéke: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</si>
  <si>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</si>
  <si>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</si>
  <si>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</si>
  <si>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</si>
  <si>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</si>
  <si>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</si>
  <si>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</si>
  <si>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</si>
  <si>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</si>
  <si>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</si>
  <si>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</si>
  <si>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</si>
  <si>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</si>
  <si>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</si>
  <si>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</si>
  <si>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</si>
  <si>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</si>
  <si>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</si>
  <si>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saját bevételek 2019.</t>
  </si>
  <si>
    <t>saját bevételek 2020.</t>
  </si>
  <si>
    <t>saját bevételek 2021.</t>
  </si>
  <si>
    <t>353/2011. (XII. 30.) Korm. Rendelet értelmében az önkormányzat saját bevételének minősül</t>
  </si>
  <si>
    <t>1.a helyi adóból és a települési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</si>
  <si>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</si>
  <si>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</si>
  <si>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</si>
  <si>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</t>
  </si>
  <si>
    <t>6. a kezesség-, illetve garanciavállalással kapcsolatos megtérülés.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</si>
  <si>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</si>
  <si>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Belterületi út</t>
  </si>
  <si>
    <t>Vasszécseny Község Önkormányzata és intézménye  2019. évi költségvetése</t>
  </si>
  <si>
    <t>saját bevételek 2022.</t>
  </si>
  <si>
    <t>Széchenyi út felújítás</t>
  </si>
  <si>
    <t>Konyhai eszközök óvodába</t>
  </si>
  <si>
    <t>Belterületi út hitelből</t>
  </si>
  <si>
    <t>kölcsön</t>
  </si>
  <si>
    <t xml:space="preserve">kiadási előirányzat </t>
  </si>
  <si>
    <t>5. melléklet a 8/2019.(V.31.) önkormányzati rendelethez</t>
  </si>
  <si>
    <t>6. melléklet a 8/2019.(V.31.) önkormányzati rendelethez</t>
  </si>
  <si>
    <t>1. a melléklet a 8/2019.(V.31.) önkormányzati rendelethez</t>
  </si>
  <si>
    <t>1. b melléklet a 8/2019.(V.31.) önkormányzati rendelethez</t>
  </si>
  <si>
    <t>2.a melléklet  8/2019.(V.31.)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</si>
</sst>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_-;\-* #,##0_-;_-* &quot;-&quot;??_-;_-@_-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[$-40E]yyyy\.\ mmmm\ d\.\,\ dddd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name val="Calibri"/>
      <family val="2"/>
    </font>
    <font>
      <sz val="10"/>
      <name val="MS Sans Serif"/>
      <family val="0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Bookman Old Style"/>
      <family val="1"/>
    </font>
    <font>
      <sz val="11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1"/>
      <color indexed="9"/>
      <name val="Bookman Old Style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b/>
      <sz val="11"/>
      <color theme="0"/>
      <name val="Bookman Old Style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7" fontId="0" fillId="0" borderId="0" xfId="40" applyNumberFormat="1" applyFont="1" applyAlignment="1">
      <alignment/>
    </xf>
    <xf numFmtId="177" fontId="14" fillId="0" borderId="10" xfId="40" applyNumberFormat="1" applyFont="1" applyBorder="1" applyAlignment="1">
      <alignment/>
    </xf>
    <xf numFmtId="177" fontId="6" fillId="0" borderId="10" xfId="40" applyNumberFormat="1" applyFont="1" applyBorder="1" applyAlignment="1">
      <alignment horizontal="left" vertical="center" wrapText="1"/>
    </xf>
    <xf numFmtId="177" fontId="9" fillId="0" borderId="10" xfId="4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0" fontId="21" fillId="34" borderId="10" xfId="0" applyFont="1" applyFill="1" applyBorder="1" applyAlignment="1">
      <alignment horizontal="left" vertical="center"/>
    </xf>
    <xf numFmtId="167" fontId="21" fillId="34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78" fillId="0" borderId="0" xfId="0" applyFont="1" applyAlignment="1">
      <alignment/>
    </xf>
    <xf numFmtId="0" fontId="24" fillId="0" borderId="0" xfId="0" applyFont="1" applyAlignment="1">
      <alignment/>
    </xf>
    <xf numFmtId="177" fontId="78" fillId="0" borderId="0" xfId="40" applyNumberFormat="1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77" fontId="23" fillId="0" borderId="10" xfId="40" applyNumberFormat="1" applyFont="1" applyBorder="1" applyAlignment="1">
      <alignment horizontal="center" wrapText="1"/>
    </xf>
    <xf numFmtId="0" fontId="23" fillId="0" borderId="10" xfId="0" applyFont="1" applyBorder="1" applyAlignment="1">
      <alignment vertical="center"/>
    </xf>
    <xf numFmtId="177" fontId="23" fillId="0" borderId="10" xfId="40" applyNumberFormat="1" applyFont="1" applyBorder="1" applyAlignment="1">
      <alignment/>
    </xf>
    <xf numFmtId="167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167" fontId="21" fillId="0" borderId="10" xfId="0" applyNumberFormat="1" applyFont="1" applyBorder="1" applyAlignment="1">
      <alignment vertical="center"/>
    </xf>
    <xf numFmtId="177" fontId="21" fillId="0" borderId="10" xfId="40" applyNumberFormat="1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36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166" fontId="23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77" fontId="25" fillId="0" borderId="10" xfId="4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78" fillId="0" borderId="0" xfId="0" applyFont="1" applyAlignment="1">
      <alignment/>
    </xf>
    <xf numFmtId="177" fontId="22" fillId="0" borderId="10" xfId="4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177" fontId="25" fillId="0" borderId="10" xfId="4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177" fontId="25" fillId="0" borderId="10" xfId="4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/>
    </xf>
    <xf numFmtId="177" fontId="22" fillId="0" borderId="10" xfId="4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177" fontId="78" fillId="0" borderId="0" xfId="40" applyNumberFormat="1" applyFont="1" applyAlignment="1">
      <alignment/>
    </xf>
    <xf numFmtId="177" fontId="21" fillId="0" borderId="10" xfId="40" applyNumberFormat="1" applyFont="1" applyBorder="1" applyAlignment="1">
      <alignment horizontal="right"/>
    </xf>
    <xf numFmtId="0" fontId="22" fillId="34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/>
    </xf>
    <xf numFmtId="0" fontId="21" fillId="37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/>
    </xf>
    <xf numFmtId="177" fontId="78" fillId="0" borderId="10" xfId="40" applyNumberFormat="1" applyFont="1" applyBorder="1" applyAlignment="1">
      <alignment/>
    </xf>
    <xf numFmtId="177" fontId="79" fillId="0" borderId="10" xfId="40" applyNumberFormat="1" applyFont="1" applyBorder="1" applyAlignment="1">
      <alignment/>
    </xf>
    <xf numFmtId="0" fontId="22" fillId="38" borderId="10" xfId="0" applyFont="1" applyFill="1" applyBorder="1" applyAlignment="1">
      <alignment horizontal="left" vertical="center" wrapText="1"/>
    </xf>
    <xf numFmtId="167" fontId="21" fillId="38" borderId="10" xfId="0" applyNumberFormat="1" applyFont="1" applyFill="1" applyBorder="1" applyAlignment="1">
      <alignment vertical="center"/>
    </xf>
    <xf numFmtId="177" fontId="21" fillId="38" borderId="10" xfId="40" applyNumberFormat="1" applyFont="1" applyFill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164" fontId="78" fillId="0" borderId="10" xfId="0" applyNumberFormat="1" applyFont="1" applyBorder="1" applyAlignment="1">
      <alignment/>
    </xf>
    <xf numFmtId="164" fontId="79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left" vertical="center"/>
    </xf>
    <xf numFmtId="164" fontId="23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left" vertical="center"/>
    </xf>
    <xf numFmtId="164" fontId="22" fillId="0" borderId="10" xfId="0" applyNumberFormat="1" applyFont="1" applyBorder="1" applyAlignment="1">
      <alignment horizontal="left" vertical="center"/>
    </xf>
    <xf numFmtId="177" fontId="0" fillId="0" borderId="10" xfId="40" applyNumberFormat="1" applyFont="1" applyBorder="1" applyAlignment="1">
      <alignment/>
    </xf>
    <xf numFmtId="177" fontId="14" fillId="0" borderId="0" xfId="40" applyNumberFormat="1" applyFont="1" applyAlignment="1">
      <alignment/>
    </xf>
    <xf numFmtId="0" fontId="74" fillId="0" borderId="0" xfId="0" applyFont="1" applyAlignment="1">
      <alignment/>
    </xf>
    <xf numFmtId="177" fontId="9" fillId="0" borderId="10" xfId="40" applyNumberFormat="1" applyFont="1" applyBorder="1" applyAlignment="1">
      <alignment/>
    </xf>
    <xf numFmtId="177" fontId="2" fillId="0" borderId="10" xfId="40" applyNumberFormat="1" applyFont="1" applyBorder="1" applyAlignment="1">
      <alignment horizontal="center" vertical="center"/>
    </xf>
    <xf numFmtId="177" fontId="2" fillId="0" borderId="10" xfId="40" applyNumberFormat="1" applyFont="1" applyBorder="1" applyAlignment="1">
      <alignment horizontal="center" vertical="center" wrapText="1"/>
    </xf>
    <xf numFmtId="177" fontId="3" fillId="0" borderId="10" xfId="40" applyNumberFormat="1" applyFont="1" applyBorder="1" applyAlignment="1">
      <alignment vertical="center"/>
    </xf>
    <xf numFmtId="177" fontId="3" fillId="0" borderId="10" xfId="40" applyNumberFormat="1" applyFont="1" applyBorder="1" applyAlignment="1">
      <alignment vertical="center" wrapText="1"/>
    </xf>
    <xf numFmtId="177" fontId="3" fillId="0" borderId="10" xfId="40" applyNumberFormat="1" applyFont="1" applyBorder="1" applyAlignment="1">
      <alignment horizontal="left" vertical="center" wrapText="1"/>
    </xf>
    <xf numFmtId="177" fontId="2" fillId="0" borderId="10" xfId="40" applyNumberFormat="1" applyFont="1" applyBorder="1" applyAlignment="1">
      <alignment vertical="center" wrapText="1"/>
    </xf>
    <xf numFmtId="177" fontId="2" fillId="0" borderId="10" xfId="40" applyNumberFormat="1" applyFont="1" applyBorder="1" applyAlignment="1">
      <alignment vertical="center"/>
    </xf>
    <xf numFmtId="177" fontId="3" fillId="0" borderId="10" xfId="40" applyNumberFormat="1" applyFont="1" applyBorder="1" applyAlignment="1">
      <alignment horizontal="left" vertical="center"/>
    </xf>
    <xf numFmtId="177" fontId="2" fillId="0" borderId="10" xfId="40" applyNumberFormat="1" applyFont="1" applyBorder="1" applyAlignment="1">
      <alignment horizontal="left" vertical="center" wrapText="1"/>
    </xf>
    <xf numFmtId="177" fontId="9" fillId="0" borderId="10" xfId="40" applyNumberFormat="1" applyFont="1" applyBorder="1" applyAlignment="1">
      <alignment vertical="center" wrapText="1"/>
    </xf>
    <xf numFmtId="177" fontId="9" fillId="0" borderId="10" xfId="40" applyNumberFormat="1" applyFont="1" applyBorder="1" applyAlignment="1">
      <alignment vertical="center"/>
    </xf>
    <xf numFmtId="177" fontId="9" fillId="0" borderId="10" xfId="40" applyNumberFormat="1" applyFont="1" applyBorder="1" applyAlignment="1">
      <alignment horizontal="left" vertical="center" wrapText="1"/>
    </xf>
    <xf numFmtId="177" fontId="3" fillId="36" borderId="10" xfId="40" applyNumberFormat="1" applyFont="1" applyFill="1" applyBorder="1" applyAlignment="1">
      <alignment horizontal="left" vertical="center" wrapText="1"/>
    </xf>
    <xf numFmtId="177" fontId="6" fillId="36" borderId="10" xfId="40" applyNumberFormat="1" applyFont="1" applyFill="1" applyBorder="1" applyAlignment="1">
      <alignment horizontal="left" vertical="center" wrapText="1"/>
    </xf>
    <xf numFmtId="177" fontId="8" fillId="0" borderId="10" xfId="40" applyNumberFormat="1" applyFont="1" applyBorder="1" applyAlignment="1">
      <alignment horizontal="left" vertical="center" wrapText="1"/>
    </xf>
    <xf numFmtId="177" fontId="6" fillId="0" borderId="10" xfId="40" applyNumberFormat="1" applyFont="1" applyBorder="1" applyAlignment="1">
      <alignment vertical="center" wrapText="1"/>
    </xf>
    <xf numFmtId="177" fontId="6" fillId="0" borderId="10" xfId="40" applyNumberFormat="1" applyFont="1" applyBorder="1" applyAlignment="1">
      <alignment vertical="center"/>
    </xf>
    <xf numFmtId="177" fontId="17" fillId="33" borderId="10" xfId="40" applyNumberFormat="1" applyFont="1" applyFill="1" applyBorder="1" applyAlignment="1">
      <alignment/>
    </xf>
    <xf numFmtId="177" fontId="9" fillId="0" borderId="10" xfId="40" applyNumberFormat="1" applyFont="1" applyBorder="1" applyAlignment="1">
      <alignment horizontal="left" vertical="center"/>
    </xf>
    <xf numFmtId="177" fontId="4" fillId="34" borderId="10" xfId="40" applyNumberFormat="1" applyFont="1" applyFill="1" applyBorder="1" applyAlignment="1">
      <alignment horizontal="left" vertical="center"/>
    </xf>
    <xf numFmtId="177" fontId="4" fillId="34" borderId="10" xfId="40" applyNumberFormat="1" applyFont="1" applyFill="1" applyBorder="1" applyAlignment="1">
      <alignment vertical="center"/>
    </xf>
    <xf numFmtId="177" fontId="5" fillId="0" borderId="10" xfId="40" applyNumberFormat="1" applyFont="1" applyBorder="1" applyAlignment="1">
      <alignment horizontal="left" vertical="center" wrapText="1"/>
    </xf>
    <xf numFmtId="177" fontId="6" fillId="0" borderId="10" xfId="40" applyNumberFormat="1" applyFont="1" applyBorder="1" applyAlignment="1">
      <alignment horizontal="left" vertical="center"/>
    </xf>
    <xf numFmtId="177" fontId="5" fillId="0" borderId="10" xfId="40" applyNumberFormat="1" applyFont="1" applyBorder="1" applyAlignment="1">
      <alignment horizontal="left" vertical="center"/>
    </xf>
    <xf numFmtId="177" fontId="8" fillId="0" borderId="10" xfId="40" applyNumberFormat="1" applyFont="1" applyBorder="1" applyAlignment="1">
      <alignment horizontal="left" vertical="center"/>
    </xf>
    <xf numFmtId="177" fontId="7" fillId="34" borderId="10" xfId="40" applyNumberFormat="1" applyFont="1" applyFill="1" applyBorder="1" applyAlignment="1">
      <alignment horizontal="left" vertical="center"/>
    </xf>
    <xf numFmtId="177" fontId="4" fillId="34" borderId="10" xfId="40" applyNumberFormat="1" applyFont="1" applyFill="1" applyBorder="1" applyAlignment="1">
      <alignment horizontal="left" vertical="center" wrapText="1"/>
    </xf>
    <xf numFmtId="177" fontId="2" fillId="0" borderId="10" xfId="40" applyNumberFormat="1" applyFont="1" applyBorder="1" applyAlignment="1">
      <alignment horizontal="left" vertical="center"/>
    </xf>
    <xf numFmtId="177" fontId="9" fillId="33" borderId="10" xfId="40" applyNumberFormat="1" applyFont="1" applyFill="1" applyBorder="1" applyAlignment="1">
      <alignment horizontal="left" vertical="center"/>
    </xf>
    <xf numFmtId="177" fontId="7" fillId="34" borderId="10" xfId="40" applyNumberFormat="1" applyFont="1" applyFill="1" applyBorder="1" applyAlignment="1">
      <alignment horizontal="left" vertical="center" wrapText="1"/>
    </xf>
    <xf numFmtId="177" fontId="4" fillId="37" borderId="10" xfId="40" applyNumberFormat="1" applyFont="1" applyFill="1" applyBorder="1" applyAlignment="1">
      <alignment/>
    </xf>
    <xf numFmtId="177" fontId="4" fillId="37" borderId="10" xfId="40" applyNumberFormat="1" applyFont="1" applyFill="1" applyBorder="1" applyAlignment="1">
      <alignment horizontal="left" vertical="center"/>
    </xf>
    <xf numFmtId="177" fontId="60" fillId="0" borderId="0" xfId="40" applyNumberFormat="1" applyFont="1" applyAlignment="1">
      <alignment/>
    </xf>
    <xf numFmtId="177" fontId="80" fillId="0" borderId="0" xfId="40" applyNumberFormat="1" applyFont="1" applyAlignment="1">
      <alignment/>
    </xf>
    <xf numFmtId="0" fontId="0" fillId="0" borderId="0" xfId="0" applyAlignment="1">
      <alignment horizontal="center" wrapText="1"/>
    </xf>
    <xf numFmtId="177" fontId="22" fillId="38" borderId="10" xfId="40" applyNumberFormat="1" applyFont="1" applyFill="1" applyBorder="1" applyAlignment="1">
      <alignment/>
    </xf>
    <xf numFmtId="177" fontId="67" fillId="0" borderId="0" xfId="40" applyNumberFormat="1" applyFont="1" applyAlignment="1">
      <alignment/>
    </xf>
    <xf numFmtId="177" fontId="81" fillId="0" borderId="0" xfId="40" applyNumberFormat="1" applyFont="1" applyAlignment="1">
      <alignment/>
    </xf>
    <xf numFmtId="165" fontId="81" fillId="0" borderId="0" xfId="40" applyNumberFormat="1" applyFont="1" applyAlignment="1">
      <alignment/>
    </xf>
    <xf numFmtId="177" fontId="82" fillId="0" borderId="0" xfId="40" applyNumberFormat="1" applyFont="1" applyAlignment="1">
      <alignment/>
    </xf>
    <xf numFmtId="177" fontId="9" fillId="0" borderId="0" xfId="40" applyNumberFormat="1" applyFont="1" applyAlignment="1">
      <alignment/>
    </xf>
    <xf numFmtId="177" fontId="74" fillId="0" borderId="0" xfId="40" applyNumberFormat="1" applyFont="1" applyAlignment="1">
      <alignment/>
    </xf>
    <xf numFmtId="177" fontId="27" fillId="0" borderId="10" xfId="40" applyNumberFormat="1" applyFont="1" applyBorder="1" applyAlignment="1">
      <alignment/>
    </xf>
    <xf numFmtId="177" fontId="4" fillId="35" borderId="10" xfId="40" applyNumberFormat="1" applyFont="1" applyFill="1" applyBorder="1" applyAlignment="1">
      <alignment/>
    </xf>
    <xf numFmtId="0" fontId="0" fillId="0" borderId="0" xfId="0" applyBorder="1" applyAlignment="1">
      <alignment/>
    </xf>
    <xf numFmtId="177" fontId="0" fillId="0" borderId="0" xfId="40" applyNumberFormat="1" applyFont="1" applyAlignment="1">
      <alignment/>
    </xf>
    <xf numFmtId="0" fontId="10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/>
    </xf>
    <xf numFmtId="3" fontId="7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 wrapText="1"/>
    </xf>
    <xf numFmtId="3" fontId="28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/>
    </xf>
    <xf numFmtId="0" fontId="4" fillId="39" borderId="10" xfId="0" applyFont="1" applyFill="1" applyBorder="1" applyAlignment="1">
      <alignment wrapText="1"/>
    </xf>
    <xf numFmtId="0" fontId="29" fillId="0" borderId="0" xfId="0" applyFont="1" applyAlignment="1">
      <alignment horizontal="justify" vertical="center"/>
    </xf>
    <xf numFmtId="0" fontId="30" fillId="0" borderId="0" xfId="44" applyFont="1" applyAlignment="1" applyProtection="1">
      <alignment horizontal="justify" vertical="center"/>
      <protection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77" fontId="83" fillId="0" borderId="0" xfId="40" applyNumberFormat="1" applyFont="1" applyAlignment="1">
      <alignment/>
    </xf>
    <xf numFmtId="177" fontId="9" fillId="0" borderId="0" xfId="40" applyNumberFormat="1" applyFont="1" applyFill="1" applyAlignment="1">
      <alignment/>
    </xf>
    <xf numFmtId="177" fontId="0" fillId="0" borderId="0" xfId="40" applyNumberFormat="1" applyFont="1" applyFill="1" applyAlignment="1">
      <alignment/>
    </xf>
    <xf numFmtId="177" fontId="17" fillId="33" borderId="10" xfId="40" applyNumberFormat="1" applyFont="1" applyFill="1" applyBorder="1" applyAlignment="1">
      <alignment wrapText="1"/>
    </xf>
    <xf numFmtId="177" fontId="4" fillId="35" borderId="10" xfId="40" applyNumberFormat="1" applyFont="1" applyFill="1" applyBorder="1" applyAlignment="1">
      <alignment wrapText="1"/>
    </xf>
    <xf numFmtId="177" fontId="4" fillId="37" borderId="10" xfId="40" applyNumberFormat="1" applyFont="1" applyFill="1" applyBorder="1" applyAlignment="1">
      <alignment wrapText="1"/>
    </xf>
    <xf numFmtId="0" fontId="21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78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84" fillId="0" borderId="0" xfId="0" applyFont="1" applyAlignment="1">
      <alignment horizontal="right"/>
    </xf>
    <xf numFmtId="0" fontId="85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77" fontId="15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 horizontal="center" wrapText="1"/>
    </xf>
    <xf numFmtId="177" fontId="10" fillId="0" borderId="0" xfId="40" applyNumberFormat="1" applyFont="1" applyAlignment="1">
      <alignment horizontal="center" wrapText="1"/>
    </xf>
    <xf numFmtId="177" fontId="27" fillId="0" borderId="0" xfId="40" applyNumberFormat="1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workbookViewId="0" topLeftCell="A1">
      <selection activeCell="A1" sqref="A1:F1"/>
    </sheetView>
  </sheetViews>
  <sheetFormatPr defaultColWidth="9.140625" defaultRowHeight="15"/>
  <cols>
    <col min="1" max="1" width="105.140625" style="24" customWidth="1"/>
    <col min="2" max="2" width="9.140625" style="24" customWidth="1"/>
    <col min="3" max="3" width="19.00390625" style="26" customWidth="1"/>
    <col min="4" max="4" width="20.140625" style="26" customWidth="1"/>
    <col min="5" max="5" width="18.8515625" style="26" customWidth="1"/>
    <col min="6" max="6" width="18.7109375" style="26" customWidth="1"/>
    <col min="7" max="16384" width="9.140625" style="24" customWidth="1"/>
  </cols>
  <sheetData>
    <row r="1" spans="1:6" s="50" customFormat="1" ht="15">
      <c r="A1" s="186" t="s">
        <v>511</v>
      </c>
      <c r="B1" s="187"/>
      <c r="C1" s="187"/>
      <c r="D1" s="187"/>
      <c r="E1" s="187"/>
      <c r="F1" s="187"/>
    </row>
    <row r="2" spans="3:6" s="50" customFormat="1" ht="15">
      <c r="C2" s="60"/>
      <c r="D2" s="60"/>
      <c r="E2" s="60"/>
      <c r="F2" s="60"/>
    </row>
    <row r="3" spans="1:6" ht="21" customHeight="1">
      <c r="A3" s="182" t="s">
        <v>447</v>
      </c>
      <c r="B3" s="183"/>
      <c r="C3" s="183"/>
      <c r="D3" s="183"/>
      <c r="E3" s="183"/>
      <c r="F3" s="184"/>
    </row>
    <row r="4" spans="1:6" ht="18.75" customHeight="1">
      <c r="A4" s="185" t="s">
        <v>433</v>
      </c>
      <c r="B4" s="183"/>
      <c r="C4" s="183"/>
      <c r="D4" s="183"/>
      <c r="E4" s="183"/>
      <c r="F4" s="184"/>
    </row>
    <row r="5" ht="15.75">
      <c r="A5" s="25"/>
    </row>
    <row r="6" spans="1:6" ht="15">
      <c r="A6" s="73" t="s">
        <v>442</v>
      </c>
      <c r="F6" s="26" t="s">
        <v>434</v>
      </c>
    </row>
    <row r="7" spans="1:6" ht="46.5">
      <c r="A7" s="27" t="s">
        <v>44</v>
      </c>
      <c r="B7" s="28" t="s">
        <v>45</v>
      </c>
      <c r="C7" s="29" t="s">
        <v>10</v>
      </c>
      <c r="D7" s="29" t="s">
        <v>11</v>
      </c>
      <c r="E7" s="29" t="s">
        <v>12</v>
      </c>
      <c r="F7" s="29" t="s">
        <v>40</v>
      </c>
    </row>
    <row r="8" spans="1:6" ht="15">
      <c r="A8" s="30" t="s">
        <v>46</v>
      </c>
      <c r="B8" s="30" t="s">
        <v>47</v>
      </c>
      <c r="C8" s="31">
        <f>21600300+348884</f>
        <v>21949184</v>
      </c>
      <c r="D8" s="31"/>
      <c r="E8" s="31"/>
      <c r="F8" s="31">
        <f>C8+D8+E8</f>
        <v>21949184</v>
      </c>
    </row>
    <row r="9" spans="1:6" ht="15">
      <c r="A9" s="30" t="s">
        <v>48</v>
      </c>
      <c r="B9" s="32" t="s">
        <v>49</v>
      </c>
      <c r="C9" s="31"/>
      <c r="D9" s="31"/>
      <c r="E9" s="31"/>
      <c r="F9" s="31">
        <f aca="true" t="shared" si="0" ref="F9:F72">C9+D9+E9</f>
        <v>0</v>
      </c>
    </row>
    <row r="10" spans="1:6" ht="15">
      <c r="A10" s="30" t="s">
        <v>50</v>
      </c>
      <c r="B10" s="32" t="s">
        <v>51</v>
      </c>
      <c r="C10" s="31"/>
      <c r="D10" s="31"/>
      <c r="E10" s="31"/>
      <c r="F10" s="31">
        <f t="shared" si="0"/>
        <v>0</v>
      </c>
    </row>
    <row r="11" spans="1:6" ht="15">
      <c r="A11" s="33" t="s">
        <v>52</v>
      </c>
      <c r="B11" s="32" t="s">
        <v>53</v>
      </c>
      <c r="C11" s="31"/>
      <c r="D11" s="31"/>
      <c r="E11" s="31"/>
      <c r="F11" s="31">
        <f t="shared" si="0"/>
        <v>0</v>
      </c>
    </row>
    <row r="12" spans="1:6" ht="15">
      <c r="A12" s="33" t="s">
        <v>54</v>
      </c>
      <c r="B12" s="32" t="s">
        <v>55</v>
      </c>
      <c r="C12" s="31"/>
      <c r="D12" s="31"/>
      <c r="E12" s="31"/>
      <c r="F12" s="31">
        <f t="shared" si="0"/>
        <v>0</v>
      </c>
    </row>
    <row r="13" spans="1:6" ht="15">
      <c r="A13" s="33" t="s">
        <v>56</v>
      </c>
      <c r="B13" s="32" t="s">
        <v>57</v>
      </c>
      <c r="C13" s="31"/>
      <c r="D13" s="31"/>
      <c r="E13" s="31"/>
      <c r="F13" s="31">
        <f t="shared" si="0"/>
        <v>0</v>
      </c>
    </row>
    <row r="14" spans="1:6" ht="15">
      <c r="A14" s="33" t="s">
        <v>58</v>
      </c>
      <c r="B14" s="32" t="s">
        <v>59</v>
      </c>
      <c r="C14" s="31">
        <v>819550</v>
      </c>
      <c r="D14" s="31"/>
      <c r="E14" s="31"/>
      <c r="F14" s="31">
        <f t="shared" si="0"/>
        <v>819550</v>
      </c>
    </row>
    <row r="15" spans="1:6" ht="15">
      <c r="A15" s="33" t="s">
        <v>60</v>
      </c>
      <c r="B15" s="32" t="s">
        <v>61</v>
      </c>
      <c r="C15" s="31"/>
      <c r="D15" s="31"/>
      <c r="E15" s="31"/>
      <c r="F15" s="31">
        <f t="shared" si="0"/>
        <v>0</v>
      </c>
    </row>
    <row r="16" spans="1:6" ht="15">
      <c r="A16" s="34" t="s">
        <v>62</v>
      </c>
      <c r="B16" s="32" t="s">
        <v>63</v>
      </c>
      <c r="C16" s="31">
        <v>252000</v>
      </c>
      <c r="D16" s="31"/>
      <c r="E16" s="31"/>
      <c r="F16" s="31">
        <f t="shared" si="0"/>
        <v>252000</v>
      </c>
    </row>
    <row r="17" spans="1:6" ht="15">
      <c r="A17" s="34" t="s">
        <v>64</v>
      </c>
      <c r="B17" s="32" t="s">
        <v>65</v>
      </c>
      <c r="C17" s="31"/>
      <c r="D17" s="31"/>
      <c r="E17" s="31"/>
      <c r="F17" s="31">
        <f t="shared" si="0"/>
        <v>0</v>
      </c>
    </row>
    <row r="18" spans="1:6" ht="15">
      <c r="A18" s="34" t="s">
        <v>66</v>
      </c>
      <c r="B18" s="32" t="s">
        <v>67</v>
      </c>
      <c r="C18" s="31"/>
      <c r="D18" s="31"/>
      <c r="E18" s="31"/>
      <c r="F18" s="31">
        <f t="shared" si="0"/>
        <v>0</v>
      </c>
    </row>
    <row r="19" spans="1:6" ht="15">
      <c r="A19" s="34" t="s">
        <v>68</v>
      </c>
      <c r="B19" s="32" t="s">
        <v>69</v>
      </c>
      <c r="C19" s="31"/>
      <c r="D19" s="31"/>
      <c r="E19" s="31"/>
      <c r="F19" s="31">
        <f t="shared" si="0"/>
        <v>0</v>
      </c>
    </row>
    <row r="20" spans="1:6" ht="15">
      <c r="A20" s="34" t="s">
        <v>352</v>
      </c>
      <c r="B20" s="32" t="s">
        <v>70</v>
      </c>
      <c r="C20" s="31"/>
      <c r="D20" s="31"/>
      <c r="E20" s="31"/>
      <c r="F20" s="31">
        <f t="shared" si="0"/>
        <v>0</v>
      </c>
    </row>
    <row r="21" spans="1:6" ht="15">
      <c r="A21" s="35" t="s">
        <v>331</v>
      </c>
      <c r="B21" s="36" t="s">
        <v>71</v>
      </c>
      <c r="C21" s="37">
        <f>SUM(C8:C20)</f>
        <v>23020734</v>
      </c>
      <c r="D21" s="37"/>
      <c r="E21" s="37"/>
      <c r="F21" s="37">
        <f t="shared" si="0"/>
        <v>23020734</v>
      </c>
    </row>
    <row r="22" spans="1:6" ht="15">
      <c r="A22" s="34" t="s">
        <v>72</v>
      </c>
      <c r="B22" s="32" t="s">
        <v>73</v>
      </c>
      <c r="C22" s="31">
        <v>7081860</v>
      </c>
      <c r="D22" s="31"/>
      <c r="E22" s="31"/>
      <c r="F22" s="31">
        <f t="shared" si="0"/>
        <v>7081860</v>
      </c>
    </row>
    <row r="23" spans="1:6" ht="15">
      <c r="A23" s="34" t="s">
        <v>74</v>
      </c>
      <c r="B23" s="32" t="s">
        <v>75</v>
      </c>
      <c r="C23" s="31">
        <v>1447600</v>
      </c>
      <c r="D23" s="31"/>
      <c r="E23" s="31"/>
      <c r="F23" s="31">
        <f t="shared" si="0"/>
        <v>1447600</v>
      </c>
    </row>
    <row r="24" spans="1:6" ht="15">
      <c r="A24" s="38" t="s">
        <v>76</v>
      </c>
      <c r="B24" s="32" t="s">
        <v>77</v>
      </c>
      <c r="C24" s="31"/>
      <c r="D24" s="31"/>
      <c r="E24" s="31"/>
      <c r="F24" s="31">
        <f t="shared" si="0"/>
        <v>0</v>
      </c>
    </row>
    <row r="25" spans="1:6" ht="15">
      <c r="A25" s="39" t="s">
        <v>332</v>
      </c>
      <c r="B25" s="36" t="s">
        <v>78</v>
      </c>
      <c r="C25" s="37">
        <f>SUM(C22:C24)</f>
        <v>8529460</v>
      </c>
      <c r="D25" s="37"/>
      <c r="E25" s="37"/>
      <c r="F25" s="37">
        <f t="shared" si="0"/>
        <v>8529460</v>
      </c>
    </row>
    <row r="26" spans="1:6" ht="15">
      <c r="A26" s="35" t="s">
        <v>382</v>
      </c>
      <c r="B26" s="36" t="s">
        <v>79</v>
      </c>
      <c r="C26" s="37">
        <f>SUM(C25,C21)</f>
        <v>31550194</v>
      </c>
      <c r="D26" s="37"/>
      <c r="E26" s="37"/>
      <c r="F26" s="37">
        <f t="shared" si="0"/>
        <v>31550194</v>
      </c>
    </row>
    <row r="27" spans="1:6" ht="15">
      <c r="A27" s="39" t="s">
        <v>353</v>
      </c>
      <c r="B27" s="36" t="s">
        <v>80</v>
      </c>
      <c r="C27" s="37">
        <v>6155753</v>
      </c>
      <c r="D27" s="37"/>
      <c r="E27" s="37"/>
      <c r="F27" s="37">
        <f t="shared" si="0"/>
        <v>6155753</v>
      </c>
    </row>
    <row r="28" spans="1:6" ht="15">
      <c r="A28" s="34" t="s">
        <v>81</v>
      </c>
      <c r="B28" s="32" t="s">
        <v>82</v>
      </c>
      <c r="C28" s="31">
        <v>887000</v>
      </c>
      <c r="D28" s="31"/>
      <c r="E28" s="31"/>
      <c r="F28" s="31">
        <f t="shared" si="0"/>
        <v>887000</v>
      </c>
    </row>
    <row r="29" spans="1:6" ht="15">
      <c r="A29" s="34" t="s">
        <v>83</v>
      </c>
      <c r="B29" s="32" t="s">
        <v>84</v>
      </c>
      <c r="C29" s="31">
        <v>6200000</v>
      </c>
      <c r="D29" s="31"/>
      <c r="E29" s="31"/>
      <c r="F29" s="31">
        <f t="shared" si="0"/>
        <v>6200000</v>
      </c>
    </row>
    <row r="30" spans="1:6" ht="15">
      <c r="A30" s="34" t="s">
        <v>85</v>
      </c>
      <c r="B30" s="32" t="s">
        <v>86</v>
      </c>
      <c r="C30" s="31">
        <v>0</v>
      </c>
      <c r="D30" s="31"/>
      <c r="E30" s="31"/>
      <c r="F30" s="31">
        <f t="shared" si="0"/>
        <v>0</v>
      </c>
    </row>
    <row r="31" spans="1:6" ht="15">
      <c r="A31" s="39" t="s">
        <v>333</v>
      </c>
      <c r="B31" s="36" t="s">
        <v>87</v>
      </c>
      <c r="C31" s="37">
        <f>SUM(C28:C30)</f>
        <v>7087000</v>
      </c>
      <c r="D31" s="37"/>
      <c r="E31" s="37"/>
      <c r="F31" s="37">
        <f t="shared" si="0"/>
        <v>7087000</v>
      </c>
    </row>
    <row r="32" spans="1:6" ht="15">
      <c r="A32" s="34" t="s">
        <v>88</v>
      </c>
      <c r="B32" s="32" t="s">
        <v>89</v>
      </c>
      <c r="C32" s="31">
        <v>1443000</v>
      </c>
      <c r="D32" s="31"/>
      <c r="E32" s="31"/>
      <c r="F32" s="31">
        <f t="shared" si="0"/>
        <v>1443000</v>
      </c>
    </row>
    <row r="33" spans="1:6" ht="15">
      <c r="A33" s="34" t="s">
        <v>90</v>
      </c>
      <c r="B33" s="32" t="s">
        <v>91</v>
      </c>
      <c r="C33" s="31">
        <v>680000</v>
      </c>
      <c r="D33" s="31"/>
      <c r="E33" s="31"/>
      <c r="F33" s="31">
        <f t="shared" si="0"/>
        <v>680000</v>
      </c>
    </row>
    <row r="34" spans="1:6" ht="15" customHeight="1">
      <c r="A34" s="39" t="s">
        <v>383</v>
      </c>
      <c r="B34" s="36" t="s">
        <v>92</v>
      </c>
      <c r="C34" s="37">
        <f>SUM(C32:C33)</f>
        <v>2123000</v>
      </c>
      <c r="D34" s="37"/>
      <c r="E34" s="37"/>
      <c r="F34" s="37">
        <f t="shared" si="0"/>
        <v>2123000</v>
      </c>
    </row>
    <row r="35" spans="1:6" ht="15">
      <c r="A35" s="34" t="s">
        <v>93</v>
      </c>
      <c r="B35" s="32" t="s">
        <v>94</v>
      </c>
      <c r="C35" s="31">
        <v>5405000</v>
      </c>
      <c r="D35" s="31"/>
      <c r="E35" s="31"/>
      <c r="F35" s="31">
        <f t="shared" si="0"/>
        <v>5405000</v>
      </c>
    </row>
    <row r="36" spans="1:6" ht="15">
      <c r="A36" s="34" t="s">
        <v>95</v>
      </c>
      <c r="B36" s="32" t="s">
        <v>96</v>
      </c>
      <c r="C36" s="31">
        <v>1421000</v>
      </c>
      <c r="D36" s="31"/>
      <c r="E36" s="31"/>
      <c r="F36" s="31">
        <f t="shared" si="0"/>
        <v>1421000</v>
      </c>
    </row>
    <row r="37" spans="1:6" ht="15">
      <c r="A37" s="34" t="s">
        <v>354</v>
      </c>
      <c r="B37" s="32" t="s">
        <v>97</v>
      </c>
      <c r="C37" s="31">
        <v>1910000</v>
      </c>
      <c r="D37" s="31"/>
      <c r="E37" s="31"/>
      <c r="F37" s="31">
        <f t="shared" si="0"/>
        <v>1910000</v>
      </c>
    </row>
    <row r="38" spans="1:6" ht="15">
      <c r="A38" s="34" t="s">
        <v>98</v>
      </c>
      <c r="B38" s="32" t="s">
        <v>99</v>
      </c>
      <c r="C38" s="31">
        <f>27444810+25447927-27329000</f>
        <v>25563737</v>
      </c>
      <c r="D38" s="31"/>
      <c r="E38" s="31"/>
      <c r="F38" s="31">
        <f t="shared" si="0"/>
        <v>25563737</v>
      </c>
    </row>
    <row r="39" spans="1:6" ht="15">
      <c r="A39" s="40" t="s">
        <v>355</v>
      </c>
      <c r="B39" s="32" t="s">
        <v>100</v>
      </c>
      <c r="C39" s="31"/>
      <c r="D39" s="31"/>
      <c r="E39" s="31"/>
      <c r="F39" s="31">
        <f t="shared" si="0"/>
        <v>0</v>
      </c>
    </row>
    <row r="40" spans="1:6" ht="15">
      <c r="A40" s="38" t="s">
        <v>101</v>
      </c>
      <c r="B40" s="32" t="s">
        <v>102</v>
      </c>
      <c r="C40" s="31">
        <v>1800000</v>
      </c>
      <c r="D40" s="31"/>
      <c r="E40" s="31"/>
      <c r="F40" s="31">
        <f t="shared" si="0"/>
        <v>1800000</v>
      </c>
    </row>
    <row r="41" spans="1:6" ht="15">
      <c r="A41" s="34" t="s">
        <v>356</v>
      </c>
      <c r="B41" s="32" t="s">
        <v>103</v>
      </c>
      <c r="C41" s="31">
        <v>6638000</v>
      </c>
      <c r="D41" s="31"/>
      <c r="E41" s="31"/>
      <c r="F41" s="31">
        <f t="shared" si="0"/>
        <v>6638000</v>
      </c>
    </row>
    <row r="42" spans="1:6" ht="15">
      <c r="A42" s="39" t="s">
        <v>334</v>
      </c>
      <c r="B42" s="36" t="s">
        <v>104</v>
      </c>
      <c r="C42" s="37">
        <f>SUM(C35:C41)</f>
        <v>42737737</v>
      </c>
      <c r="D42" s="37"/>
      <c r="E42" s="37"/>
      <c r="F42" s="37">
        <f t="shared" si="0"/>
        <v>42737737</v>
      </c>
    </row>
    <row r="43" spans="1:6" ht="15">
      <c r="A43" s="34" t="s">
        <v>105</v>
      </c>
      <c r="B43" s="32" t="s">
        <v>106</v>
      </c>
      <c r="C43" s="31">
        <v>584000</v>
      </c>
      <c r="D43" s="31"/>
      <c r="E43" s="31"/>
      <c r="F43" s="31">
        <f t="shared" si="0"/>
        <v>584000</v>
      </c>
    </row>
    <row r="44" spans="1:6" ht="15">
      <c r="A44" s="34" t="s">
        <v>107</v>
      </c>
      <c r="B44" s="32" t="s">
        <v>108</v>
      </c>
      <c r="C44" s="31">
        <v>500000</v>
      </c>
      <c r="D44" s="31"/>
      <c r="E44" s="31"/>
      <c r="F44" s="31">
        <f t="shared" si="0"/>
        <v>500000</v>
      </c>
    </row>
    <row r="45" spans="1:6" ht="15">
      <c r="A45" s="39" t="s">
        <v>335</v>
      </c>
      <c r="B45" s="36" t="s">
        <v>109</v>
      </c>
      <c r="C45" s="37">
        <f>SUM(C43:C44)</f>
        <v>1084000</v>
      </c>
      <c r="D45" s="37"/>
      <c r="E45" s="37"/>
      <c r="F45" s="37">
        <f t="shared" si="0"/>
        <v>1084000</v>
      </c>
    </row>
    <row r="46" spans="1:6" ht="15">
      <c r="A46" s="34" t="s">
        <v>110</v>
      </c>
      <c r="B46" s="32" t="s">
        <v>111</v>
      </c>
      <c r="C46" s="31">
        <v>12741519</v>
      </c>
      <c r="D46" s="31"/>
      <c r="E46" s="31"/>
      <c r="F46" s="31">
        <f t="shared" si="0"/>
        <v>12741519</v>
      </c>
    </row>
    <row r="47" spans="1:6" ht="15">
      <c r="A47" s="34" t="s">
        <v>112</v>
      </c>
      <c r="B47" s="32" t="s">
        <v>113</v>
      </c>
      <c r="C47" s="31">
        <f>340000+27329000</f>
        <v>27669000</v>
      </c>
      <c r="D47" s="31"/>
      <c r="E47" s="31"/>
      <c r="F47" s="31">
        <f t="shared" si="0"/>
        <v>27669000</v>
      </c>
    </row>
    <row r="48" spans="1:6" ht="15">
      <c r="A48" s="34" t="s">
        <v>357</v>
      </c>
      <c r="B48" s="32" t="s">
        <v>114</v>
      </c>
      <c r="C48" s="31"/>
      <c r="D48" s="31"/>
      <c r="E48" s="31"/>
      <c r="F48" s="31">
        <f t="shared" si="0"/>
        <v>0</v>
      </c>
    </row>
    <row r="49" spans="1:6" ht="15">
      <c r="A49" s="34" t="s">
        <v>358</v>
      </c>
      <c r="B49" s="32" t="s">
        <v>115</v>
      </c>
      <c r="C49" s="31"/>
      <c r="D49" s="31"/>
      <c r="E49" s="31"/>
      <c r="F49" s="31">
        <f t="shared" si="0"/>
        <v>0</v>
      </c>
    </row>
    <row r="50" spans="1:6" ht="15">
      <c r="A50" s="34" t="s">
        <v>116</v>
      </c>
      <c r="B50" s="32" t="s">
        <v>117</v>
      </c>
      <c r="C50" s="31">
        <v>60000</v>
      </c>
      <c r="D50" s="31"/>
      <c r="E50" s="31"/>
      <c r="F50" s="31">
        <f t="shared" si="0"/>
        <v>60000</v>
      </c>
    </row>
    <row r="51" spans="1:6" ht="15">
      <c r="A51" s="39" t="s">
        <v>336</v>
      </c>
      <c r="B51" s="36" t="s">
        <v>118</v>
      </c>
      <c r="C51" s="37">
        <f>SUM(C46:C50)</f>
        <v>40470519</v>
      </c>
      <c r="D51" s="37"/>
      <c r="E51" s="37"/>
      <c r="F51" s="37">
        <f t="shared" si="0"/>
        <v>40470519</v>
      </c>
    </row>
    <row r="52" spans="1:6" ht="15">
      <c r="A52" s="39" t="s">
        <v>337</v>
      </c>
      <c r="B52" s="36" t="s">
        <v>119</v>
      </c>
      <c r="C52" s="37">
        <f>SUM(C51,C45,C42,C34,C31)</f>
        <v>93502256</v>
      </c>
      <c r="D52" s="37"/>
      <c r="E52" s="37"/>
      <c r="F52" s="37">
        <f t="shared" si="0"/>
        <v>93502256</v>
      </c>
    </row>
    <row r="53" spans="1:6" ht="15">
      <c r="A53" s="41" t="s">
        <v>120</v>
      </c>
      <c r="B53" s="32" t="s">
        <v>121</v>
      </c>
      <c r="C53" s="31"/>
      <c r="D53" s="31"/>
      <c r="E53" s="31"/>
      <c r="F53" s="31">
        <f t="shared" si="0"/>
        <v>0</v>
      </c>
    </row>
    <row r="54" spans="1:6" ht="15">
      <c r="A54" s="41" t="s">
        <v>338</v>
      </c>
      <c r="B54" s="32" t="s">
        <v>122</v>
      </c>
      <c r="C54" s="31"/>
      <c r="D54" s="31"/>
      <c r="E54" s="31"/>
      <c r="F54" s="31">
        <f t="shared" si="0"/>
        <v>0</v>
      </c>
    </row>
    <row r="55" spans="1:6" ht="15">
      <c r="A55" s="42" t="s">
        <v>359</v>
      </c>
      <c r="B55" s="32" t="s">
        <v>123</v>
      </c>
      <c r="C55" s="31"/>
      <c r="D55" s="31"/>
      <c r="E55" s="31"/>
      <c r="F55" s="31">
        <f t="shared" si="0"/>
        <v>0</v>
      </c>
    </row>
    <row r="56" spans="1:6" ht="15">
      <c r="A56" s="42" t="s">
        <v>360</v>
      </c>
      <c r="B56" s="32" t="s">
        <v>124</v>
      </c>
      <c r="C56" s="31"/>
      <c r="D56" s="31"/>
      <c r="E56" s="31"/>
      <c r="F56" s="31">
        <f t="shared" si="0"/>
        <v>0</v>
      </c>
    </row>
    <row r="57" spans="1:6" ht="15">
      <c r="A57" s="42" t="s">
        <v>361</v>
      </c>
      <c r="B57" s="32" t="s">
        <v>125</v>
      </c>
      <c r="C57" s="31"/>
      <c r="D57" s="31"/>
      <c r="E57" s="31"/>
      <c r="F57" s="31">
        <f t="shared" si="0"/>
        <v>0</v>
      </c>
    </row>
    <row r="58" spans="1:6" ht="15">
      <c r="A58" s="41" t="s">
        <v>362</v>
      </c>
      <c r="B58" s="32" t="s">
        <v>126</v>
      </c>
      <c r="C58" s="31"/>
      <c r="D58" s="31"/>
      <c r="E58" s="31"/>
      <c r="F58" s="31">
        <f t="shared" si="0"/>
        <v>0</v>
      </c>
    </row>
    <row r="59" spans="1:6" ht="15">
      <c r="A59" s="41" t="s">
        <v>363</v>
      </c>
      <c r="B59" s="32" t="s">
        <v>127</v>
      </c>
      <c r="C59" s="31"/>
      <c r="D59" s="31"/>
      <c r="E59" s="31"/>
      <c r="F59" s="31">
        <f t="shared" si="0"/>
        <v>0</v>
      </c>
    </row>
    <row r="60" spans="1:6" ht="15">
      <c r="A60" s="41" t="s">
        <v>364</v>
      </c>
      <c r="B60" s="32" t="s">
        <v>128</v>
      </c>
      <c r="C60" s="31">
        <v>7189360</v>
      </c>
      <c r="D60" s="31"/>
      <c r="E60" s="31"/>
      <c r="F60" s="31">
        <f t="shared" si="0"/>
        <v>7189360</v>
      </c>
    </row>
    <row r="61" spans="1:6" ht="15">
      <c r="A61" s="43" t="s">
        <v>339</v>
      </c>
      <c r="B61" s="36" t="s">
        <v>129</v>
      </c>
      <c r="C61" s="37">
        <f>SUM(C53:C60)</f>
        <v>7189360</v>
      </c>
      <c r="D61" s="37"/>
      <c r="E61" s="37"/>
      <c r="F61" s="37">
        <f t="shared" si="0"/>
        <v>7189360</v>
      </c>
    </row>
    <row r="62" spans="1:6" ht="15">
      <c r="A62" s="44" t="s">
        <v>365</v>
      </c>
      <c r="B62" s="32" t="s">
        <v>130</v>
      </c>
      <c r="C62" s="31"/>
      <c r="D62" s="31"/>
      <c r="E62" s="31"/>
      <c r="F62" s="31">
        <f t="shared" si="0"/>
        <v>0</v>
      </c>
    </row>
    <row r="63" spans="1:6" ht="15">
      <c r="A63" s="44" t="s">
        <v>131</v>
      </c>
      <c r="B63" s="32" t="s">
        <v>132</v>
      </c>
      <c r="C63" s="31"/>
      <c r="D63" s="31"/>
      <c r="E63" s="31"/>
      <c r="F63" s="31">
        <f t="shared" si="0"/>
        <v>0</v>
      </c>
    </row>
    <row r="64" spans="1:6" ht="15">
      <c r="A64" s="44" t="s">
        <v>133</v>
      </c>
      <c r="B64" s="32" t="s">
        <v>134</v>
      </c>
      <c r="C64" s="31"/>
      <c r="D64" s="31"/>
      <c r="E64" s="31"/>
      <c r="F64" s="31">
        <f t="shared" si="0"/>
        <v>0</v>
      </c>
    </row>
    <row r="65" spans="1:6" ht="15">
      <c r="A65" s="44" t="s">
        <v>340</v>
      </c>
      <c r="B65" s="32" t="s">
        <v>135</v>
      </c>
      <c r="C65" s="31"/>
      <c r="D65" s="31"/>
      <c r="E65" s="31"/>
      <c r="F65" s="31">
        <f t="shared" si="0"/>
        <v>0</v>
      </c>
    </row>
    <row r="66" spans="1:6" ht="15">
      <c r="A66" s="44" t="s">
        <v>366</v>
      </c>
      <c r="B66" s="32" t="s">
        <v>136</v>
      </c>
      <c r="C66" s="31"/>
      <c r="D66" s="31"/>
      <c r="E66" s="31"/>
      <c r="F66" s="31">
        <f t="shared" si="0"/>
        <v>0</v>
      </c>
    </row>
    <row r="67" spans="1:6" ht="15">
      <c r="A67" s="44" t="s">
        <v>341</v>
      </c>
      <c r="B67" s="32" t="s">
        <v>137</v>
      </c>
      <c r="C67" s="31">
        <v>89230646</v>
      </c>
      <c r="D67" s="31"/>
      <c r="E67" s="31"/>
      <c r="F67" s="31">
        <f t="shared" si="0"/>
        <v>89230646</v>
      </c>
    </row>
    <row r="68" spans="1:6" ht="15">
      <c r="A68" s="44" t="s">
        <v>367</v>
      </c>
      <c r="B68" s="32" t="s">
        <v>138</v>
      </c>
      <c r="C68" s="31"/>
      <c r="D68" s="31"/>
      <c r="E68" s="31"/>
      <c r="F68" s="31">
        <f t="shared" si="0"/>
        <v>0</v>
      </c>
    </row>
    <row r="69" spans="1:6" ht="15">
      <c r="A69" s="44" t="s">
        <v>368</v>
      </c>
      <c r="B69" s="32" t="s">
        <v>139</v>
      </c>
      <c r="C69" s="31"/>
      <c r="D69" s="31">
        <v>500000</v>
      </c>
      <c r="E69" s="31"/>
      <c r="F69" s="31">
        <f t="shared" si="0"/>
        <v>500000</v>
      </c>
    </row>
    <row r="70" spans="1:6" ht="15">
      <c r="A70" s="44" t="s">
        <v>140</v>
      </c>
      <c r="B70" s="32" t="s">
        <v>141</v>
      </c>
      <c r="C70" s="31"/>
      <c r="D70" s="31"/>
      <c r="E70" s="31"/>
      <c r="F70" s="31">
        <f t="shared" si="0"/>
        <v>0</v>
      </c>
    </row>
    <row r="71" spans="1:6" ht="15">
      <c r="A71" s="45" t="s">
        <v>142</v>
      </c>
      <c r="B71" s="32" t="s">
        <v>143</v>
      </c>
      <c r="C71" s="31"/>
      <c r="D71" s="31"/>
      <c r="E71" s="31"/>
      <c r="F71" s="31">
        <f t="shared" si="0"/>
        <v>0</v>
      </c>
    </row>
    <row r="72" spans="1:6" ht="15">
      <c r="A72" s="44" t="s">
        <v>369</v>
      </c>
      <c r="B72" s="32" t="s">
        <v>145</v>
      </c>
      <c r="C72" s="31"/>
      <c r="D72" s="31"/>
      <c r="E72" s="31"/>
      <c r="F72" s="31">
        <f t="shared" si="0"/>
        <v>0</v>
      </c>
    </row>
    <row r="73" spans="1:6" ht="15">
      <c r="A73" s="45" t="s">
        <v>19</v>
      </c>
      <c r="B73" s="32" t="s">
        <v>146</v>
      </c>
      <c r="C73" s="31"/>
      <c r="D73" s="31"/>
      <c r="E73" s="31"/>
      <c r="F73" s="31">
        <f aca="true" t="shared" si="1" ref="F73:F123">C73+D73+E73</f>
        <v>0</v>
      </c>
    </row>
    <row r="74" spans="1:6" ht="15">
      <c r="A74" s="45" t="s">
        <v>20</v>
      </c>
      <c r="B74" s="32" t="s">
        <v>146</v>
      </c>
      <c r="C74" s="31"/>
      <c r="D74" s="31"/>
      <c r="E74" s="31"/>
      <c r="F74" s="31">
        <f t="shared" si="1"/>
        <v>0</v>
      </c>
    </row>
    <row r="75" spans="1:6" ht="15">
      <c r="A75" s="43" t="s">
        <v>342</v>
      </c>
      <c r="B75" s="36" t="s">
        <v>147</v>
      </c>
      <c r="C75" s="37">
        <f>C67+C69</f>
        <v>89230646</v>
      </c>
      <c r="D75" s="37">
        <f>SUM(D62:D74)</f>
        <v>500000</v>
      </c>
      <c r="E75" s="37"/>
      <c r="F75" s="37">
        <f t="shared" si="1"/>
        <v>89730646</v>
      </c>
    </row>
    <row r="76" spans="1:6" ht="15">
      <c r="A76" s="69" t="s">
        <v>9</v>
      </c>
      <c r="B76" s="70"/>
      <c r="C76" s="71">
        <f>C75+C61+C52+C27+C26</f>
        <v>227628209</v>
      </c>
      <c r="D76" s="71">
        <f>D75+D61+D52+D27+D26</f>
        <v>500000</v>
      </c>
      <c r="E76" s="71">
        <f>E75+E61+E52+E27+E26</f>
        <v>0</v>
      </c>
      <c r="F76" s="71">
        <f>F75+F61+F52+F27+F26</f>
        <v>228128209</v>
      </c>
    </row>
    <row r="77" spans="1:6" ht="15">
      <c r="A77" s="46" t="s">
        <v>148</v>
      </c>
      <c r="B77" s="32" t="s">
        <v>149</v>
      </c>
      <c r="C77" s="31"/>
      <c r="D77" s="31"/>
      <c r="E77" s="31"/>
      <c r="F77" s="31">
        <f t="shared" si="1"/>
        <v>0</v>
      </c>
    </row>
    <row r="78" spans="1:6" ht="15">
      <c r="A78" s="46" t="s">
        <v>370</v>
      </c>
      <c r="B78" s="32" t="s">
        <v>150</v>
      </c>
      <c r="C78" s="31"/>
      <c r="D78" s="31"/>
      <c r="E78" s="31"/>
      <c r="F78" s="31">
        <f t="shared" si="1"/>
        <v>0</v>
      </c>
    </row>
    <row r="79" spans="1:6" ht="15">
      <c r="A79" s="46" t="s">
        <v>151</v>
      </c>
      <c r="B79" s="32" t="s">
        <v>152</v>
      </c>
      <c r="C79" s="31"/>
      <c r="D79" s="31"/>
      <c r="E79" s="31"/>
      <c r="F79" s="31">
        <f t="shared" si="1"/>
        <v>0</v>
      </c>
    </row>
    <row r="80" spans="1:6" ht="15">
      <c r="A80" s="46" t="s">
        <v>153</v>
      </c>
      <c r="B80" s="32" t="s">
        <v>154</v>
      </c>
      <c r="C80" s="31">
        <f>721080+1849073</f>
        <v>2570153</v>
      </c>
      <c r="D80" s="31"/>
      <c r="E80" s="31"/>
      <c r="F80" s="31">
        <f t="shared" si="1"/>
        <v>2570153</v>
      </c>
    </row>
    <row r="81" spans="1:6" ht="15">
      <c r="A81" s="38" t="s">
        <v>155</v>
      </c>
      <c r="B81" s="32" t="s">
        <v>156</v>
      </c>
      <c r="C81" s="31"/>
      <c r="D81" s="31"/>
      <c r="E81" s="31"/>
      <c r="F81" s="31">
        <f t="shared" si="1"/>
        <v>0</v>
      </c>
    </row>
    <row r="82" spans="1:6" ht="15">
      <c r="A82" s="38" t="s">
        <v>157</v>
      </c>
      <c r="B82" s="32" t="s">
        <v>158</v>
      </c>
      <c r="C82" s="31"/>
      <c r="D82" s="31"/>
      <c r="E82" s="31"/>
      <c r="F82" s="31">
        <f t="shared" si="1"/>
        <v>0</v>
      </c>
    </row>
    <row r="83" spans="1:6" ht="15">
      <c r="A83" s="38" t="s">
        <v>159</v>
      </c>
      <c r="B83" s="32" t="s">
        <v>160</v>
      </c>
      <c r="C83" s="31">
        <v>194691</v>
      </c>
      <c r="D83" s="31"/>
      <c r="E83" s="31"/>
      <c r="F83" s="31">
        <f t="shared" si="1"/>
        <v>194691</v>
      </c>
    </row>
    <row r="84" spans="1:6" ht="15">
      <c r="A84" s="47" t="s">
        <v>343</v>
      </c>
      <c r="B84" s="36" t="s">
        <v>161</v>
      </c>
      <c r="C84" s="37">
        <f>SUM(C77:C83)</f>
        <v>2764844</v>
      </c>
      <c r="D84" s="37"/>
      <c r="E84" s="37"/>
      <c r="F84" s="37">
        <f t="shared" si="1"/>
        <v>2764844</v>
      </c>
    </row>
    <row r="85" spans="1:6" ht="15">
      <c r="A85" s="41" t="s">
        <v>162</v>
      </c>
      <c r="B85" s="32" t="s">
        <v>163</v>
      </c>
      <c r="C85" s="31">
        <f>107436256+30000000-27297000</f>
        <v>110139256</v>
      </c>
      <c r="D85" s="31"/>
      <c r="E85" s="31"/>
      <c r="F85" s="31">
        <f t="shared" si="1"/>
        <v>110139256</v>
      </c>
    </row>
    <row r="86" spans="1:6" ht="15">
      <c r="A86" s="41" t="s">
        <v>164</v>
      </c>
      <c r="B86" s="32" t="s">
        <v>165</v>
      </c>
      <c r="C86" s="31"/>
      <c r="D86" s="31"/>
      <c r="E86" s="31"/>
      <c r="F86" s="31">
        <f t="shared" si="1"/>
        <v>0</v>
      </c>
    </row>
    <row r="87" spans="1:6" ht="15">
      <c r="A87" s="41" t="s">
        <v>166</v>
      </c>
      <c r="B87" s="32" t="s">
        <v>167</v>
      </c>
      <c r="C87" s="31"/>
      <c r="D87" s="31"/>
      <c r="E87" s="31"/>
      <c r="F87" s="31">
        <f t="shared" si="1"/>
        <v>0</v>
      </c>
    </row>
    <row r="88" spans="1:6" ht="15">
      <c r="A88" s="41" t="s">
        <v>168</v>
      </c>
      <c r="B88" s="32" t="s">
        <v>169</v>
      </c>
      <c r="C88" s="31">
        <v>29007789</v>
      </c>
      <c r="D88" s="31"/>
      <c r="E88" s="31"/>
      <c r="F88" s="31">
        <f t="shared" si="1"/>
        <v>29007789</v>
      </c>
    </row>
    <row r="89" spans="1:6" ht="15">
      <c r="A89" s="43" t="s">
        <v>344</v>
      </c>
      <c r="B89" s="36" t="s">
        <v>170</v>
      </c>
      <c r="C89" s="37">
        <f>SUM(C85:C88)</f>
        <v>139147045</v>
      </c>
      <c r="D89" s="37"/>
      <c r="E89" s="37"/>
      <c r="F89" s="37">
        <f t="shared" si="1"/>
        <v>139147045</v>
      </c>
    </row>
    <row r="90" spans="1:6" ht="15">
      <c r="A90" s="41" t="s">
        <v>171</v>
      </c>
      <c r="B90" s="32" t="s">
        <v>172</v>
      </c>
      <c r="C90" s="31"/>
      <c r="D90" s="31"/>
      <c r="E90" s="31"/>
      <c r="F90" s="31">
        <f t="shared" si="1"/>
        <v>0</v>
      </c>
    </row>
    <row r="91" spans="1:6" ht="15">
      <c r="A91" s="41" t="s">
        <v>371</v>
      </c>
      <c r="B91" s="32" t="s">
        <v>173</v>
      </c>
      <c r="C91" s="31"/>
      <c r="D91" s="31"/>
      <c r="E91" s="31"/>
      <c r="F91" s="31">
        <f t="shared" si="1"/>
        <v>0</v>
      </c>
    </row>
    <row r="92" spans="1:6" ht="15">
      <c r="A92" s="41" t="s">
        <v>372</v>
      </c>
      <c r="B92" s="32" t="s">
        <v>174</v>
      </c>
      <c r="C92" s="31"/>
      <c r="D92" s="31"/>
      <c r="E92" s="31"/>
      <c r="F92" s="31">
        <f t="shared" si="1"/>
        <v>0</v>
      </c>
    </row>
    <row r="93" spans="1:6" ht="15">
      <c r="A93" s="41" t="s">
        <v>373</v>
      </c>
      <c r="B93" s="32" t="s">
        <v>175</v>
      </c>
      <c r="C93" s="31"/>
      <c r="D93" s="31"/>
      <c r="E93" s="31"/>
      <c r="F93" s="31">
        <f t="shared" si="1"/>
        <v>0</v>
      </c>
    </row>
    <row r="94" spans="1:6" ht="15">
      <c r="A94" s="41" t="s">
        <v>374</v>
      </c>
      <c r="B94" s="32" t="s">
        <v>176</v>
      </c>
      <c r="C94" s="31"/>
      <c r="D94" s="31"/>
      <c r="E94" s="31"/>
      <c r="F94" s="31">
        <f t="shared" si="1"/>
        <v>0</v>
      </c>
    </row>
    <row r="95" spans="1:6" ht="15">
      <c r="A95" s="41" t="s">
        <v>375</v>
      </c>
      <c r="B95" s="32" t="s">
        <v>177</v>
      </c>
      <c r="C95" s="31"/>
      <c r="D95" s="31"/>
      <c r="E95" s="31"/>
      <c r="F95" s="31">
        <f t="shared" si="1"/>
        <v>0</v>
      </c>
    </row>
    <row r="96" spans="1:6" ht="15">
      <c r="A96" s="41" t="s">
        <v>178</v>
      </c>
      <c r="B96" s="32" t="s">
        <v>179</v>
      </c>
      <c r="C96" s="31"/>
      <c r="D96" s="31"/>
      <c r="E96" s="31"/>
      <c r="F96" s="31">
        <f t="shared" si="1"/>
        <v>0</v>
      </c>
    </row>
    <row r="97" spans="1:6" ht="15">
      <c r="A97" s="41" t="s">
        <v>376</v>
      </c>
      <c r="B97" s="32" t="s">
        <v>180</v>
      </c>
      <c r="C97" s="31"/>
      <c r="D97" s="31"/>
      <c r="E97" s="31"/>
      <c r="F97" s="31">
        <f t="shared" si="1"/>
        <v>0</v>
      </c>
    </row>
    <row r="98" spans="1:6" ht="15">
      <c r="A98" s="43" t="s">
        <v>345</v>
      </c>
      <c r="B98" s="36" t="s">
        <v>181</v>
      </c>
      <c r="C98" s="31"/>
      <c r="D98" s="31"/>
      <c r="E98" s="31"/>
      <c r="F98" s="31">
        <f t="shared" si="1"/>
        <v>0</v>
      </c>
    </row>
    <row r="99" spans="1:6" ht="15">
      <c r="A99" s="69" t="s">
        <v>438</v>
      </c>
      <c r="B99" s="70"/>
      <c r="C99" s="71">
        <f>C89+C84</f>
        <v>141911889</v>
      </c>
      <c r="D99" s="71">
        <f>D98+D89+D84</f>
        <v>0</v>
      </c>
      <c r="E99" s="71">
        <f>E98+E89+E84</f>
        <v>0</v>
      </c>
      <c r="F99" s="71">
        <f>F98+F89+F84</f>
        <v>141911889</v>
      </c>
    </row>
    <row r="100" spans="1:6" ht="15">
      <c r="A100" s="18" t="s">
        <v>384</v>
      </c>
      <c r="B100" s="19" t="s">
        <v>182</v>
      </c>
      <c r="C100" s="37">
        <f>C99+C76</f>
        <v>369540098</v>
      </c>
      <c r="D100" s="37">
        <f>D98+D89+D84+D76</f>
        <v>500000</v>
      </c>
      <c r="E100" s="37"/>
      <c r="F100" s="37">
        <f t="shared" si="1"/>
        <v>370040098</v>
      </c>
    </row>
    <row r="101" spans="1:25" ht="15">
      <c r="A101" s="41" t="s">
        <v>377</v>
      </c>
      <c r="B101" s="34" t="s">
        <v>183</v>
      </c>
      <c r="C101" s="48"/>
      <c r="D101" s="48"/>
      <c r="E101" s="48"/>
      <c r="F101" s="31">
        <f t="shared" si="1"/>
        <v>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50"/>
      <c r="Y101" s="50"/>
    </row>
    <row r="102" spans="1:25" ht="15">
      <c r="A102" s="41" t="s">
        <v>184</v>
      </c>
      <c r="B102" s="34" t="s">
        <v>185</v>
      </c>
      <c r="C102" s="48"/>
      <c r="D102" s="48"/>
      <c r="E102" s="48"/>
      <c r="F102" s="31">
        <f t="shared" si="1"/>
        <v>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50"/>
      <c r="Y102" s="50"/>
    </row>
    <row r="103" spans="1:25" ht="15">
      <c r="A103" s="41" t="s">
        <v>378</v>
      </c>
      <c r="B103" s="34" t="s">
        <v>186</v>
      </c>
      <c r="C103" s="48"/>
      <c r="D103" s="48"/>
      <c r="E103" s="48"/>
      <c r="F103" s="31">
        <f t="shared" si="1"/>
        <v>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50"/>
      <c r="Y103" s="50"/>
    </row>
    <row r="104" spans="1:25" ht="15">
      <c r="A104" s="43" t="s">
        <v>346</v>
      </c>
      <c r="B104" s="39" t="s">
        <v>187</v>
      </c>
      <c r="C104" s="51">
        <f>SUM(C101:C103)</f>
        <v>0</v>
      </c>
      <c r="D104" s="51"/>
      <c r="E104" s="51"/>
      <c r="F104" s="31">
        <f t="shared" si="1"/>
        <v>0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0"/>
      <c r="Y104" s="50"/>
    </row>
    <row r="105" spans="1:25" ht="15">
      <c r="A105" s="53" t="s">
        <v>379</v>
      </c>
      <c r="B105" s="34" t="s">
        <v>188</v>
      </c>
      <c r="C105" s="54"/>
      <c r="D105" s="54"/>
      <c r="E105" s="54"/>
      <c r="F105" s="31">
        <f t="shared" si="1"/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0"/>
      <c r="Y105" s="50"/>
    </row>
    <row r="106" spans="1:25" ht="15">
      <c r="A106" s="53" t="s">
        <v>349</v>
      </c>
      <c r="B106" s="34" t="s">
        <v>189</v>
      </c>
      <c r="C106" s="54"/>
      <c r="D106" s="54"/>
      <c r="E106" s="54"/>
      <c r="F106" s="31">
        <f t="shared" si="1"/>
        <v>0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0"/>
      <c r="Y106" s="50"/>
    </row>
    <row r="107" spans="1:25" ht="15">
      <c r="A107" s="41" t="s">
        <v>190</v>
      </c>
      <c r="B107" s="34" t="s">
        <v>191</v>
      </c>
      <c r="C107" s="56"/>
      <c r="D107" s="56"/>
      <c r="E107" s="56"/>
      <c r="F107" s="31">
        <f t="shared" si="1"/>
        <v>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50"/>
      <c r="Y107" s="50"/>
    </row>
    <row r="108" spans="1:25" ht="15">
      <c r="A108" s="41" t="s">
        <v>380</v>
      </c>
      <c r="B108" s="34" t="s">
        <v>192</v>
      </c>
      <c r="C108" s="56"/>
      <c r="D108" s="56"/>
      <c r="E108" s="56"/>
      <c r="F108" s="31">
        <f t="shared" si="1"/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50"/>
      <c r="Y108" s="50"/>
    </row>
    <row r="109" spans="1:25" ht="15">
      <c r="A109" s="57" t="s">
        <v>347</v>
      </c>
      <c r="B109" s="39" t="s">
        <v>193</v>
      </c>
      <c r="C109" s="58">
        <f>SUM(C105:C108)</f>
        <v>0</v>
      </c>
      <c r="D109" s="58"/>
      <c r="E109" s="58"/>
      <c r="F109" s="31">
        <f t="shared" si="1"/>
        <v>0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0"/>
      <c r="Y109" s="50"/>
    </row>
    <row r="110" spans="1:25" ht="15">
      <c r="A110" s="53" t="s">
        <v>194</v>
      </c>
      <c r="B110" s="34" t="s">
        <v>195</v>
      </c>
      <c r="C110" s="54"/>
      <c r="D110" s="54"/>
      <c r="E110" s="54"/>
      <c r="F110" s="31">
        <f t="shared" si="1"/>
        <v>0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0"/>
      <c r="Y110" s="50"/>
    </row>
    <row r="111" spans="1:25" ht="15">
      <c r="A111" s="53" t="s">
        <v>196</v>
      </c>
      <c r="B111" s="34" t="s">
        <v>197</v>
      </c>
      <c r="C111" s="54">
        <v>5517642</v>
      </c>
      <c r="D111" s="54"/>
      <c r="E111" s="54"/>
      <c r="F111" s="31">
        <f t="shared" si="1"/>
        <v>5517642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0"/>
      <c r="Y111" s="50"/>
    </row>
    <row r="112" spans="1:25" ht="15">
      <c r="A112" s="57" t="s">
        <v>198</v>
      </c>
      <c r="B112" s="39" t="s">
        <v>199</v>
      </c>
      <c r="C112" s="54">
        <f>62219383+9779600</f>
        <v>71998983</v>
      </c>
      <c r="D112" s="54"/>
      <c r="E112" s="54"/>
      <c r="F112" s="31">
        <f t="shared" si="1"/>
        <v>71998983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0"/>
      <c r="Y112" s="50"/>
    </row>
    <row r="113" spans="1:25" ht="15">
      <c r="A113" s="53" t="s">
        <v>200</v>
      </c>
      <c r="B113" s="34" t="s">
        <v>201</v>
      </c>
      <c r="C113" s="54"/>
      <c r="D113" s="54"/>
      <c r="E113" s="54"/>
      <c r="F113" s="31">
        <f t="shared" si="1"/>
        <v>0</v>
      </c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0"/>
      <c r="Y113" s="50"/>
    </row>
    <row r="114" spans="1:25" ht="15">
      <c r="A114" s="53" t="s">
        <v>202</v>
      </c>
      <c r="B114" s="34" t="s">
        <v>203</v>
      </c>
      <c r="C114" s="54"/>
      <c r="D114" s="54"/>
      <c r="E114" s="54"/>
      <c r="F114" s="31">
        <f t="shared" si="1"/>
        <v>0</v>
      </c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0"/>
      <c r="Y114" s="50"/>
    </row>
    <row r="115" spans="1:25" ht="15">
      <c r="A115" s="53" t="s">
        <v>204</v>
      </c>
      <c r="B115" s="34" t="s">
        <v>205</v>
      </c>
      <c r="C115" s="54"/>
      <c r="D115" s="54"/>
      <c r="E115" s="54"/>
      <c r="F115" s="31">
        <f t="shared" si="1"/>
        <v>0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0"/>
      <c r="Y115" s="50"/>
    </row>
    <row r="116" spans="1:25" ht="15">
      <c r="A116" s="57" t="s">
        <v>348</v>
      </c>
      <c r="B116" s="39" t="s">
        <v>206</v>
      </c>
      <c r="C116" s="58">
        <f>SUM(C104+C109+C110+C111+C112+C113+C114+C115)</f>
        <v>77516625</v>
      </c>
      <c r="D116" s="58"/>
      <c r="E116" s="58"/>
      <c r="F116" s="31">
        <f t="shared" si="1"/>
        <v>77516625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0"/>
      <c r="Y116" s="50"/>
    </row>
    <row r="117" spans="1:25" ht="15">
      <c r="A117" s="53" t="s">
        <v>207</v>
      </c>
      <c r="B117" s="34" t="s">
        <v>208</v>
      </c>
      <c r="C117" s="54"/>
      <c r="D117" s="54"/>
      <c r="E117" s="54"/>
      <c r="F117" s="31">
        <f t="shared" si="1"/>
        <v>0</v>
      </c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0"/>
      <c r="Y117" s="50"/>
    </row>
    <row r="118" spans="1:25" ht="15">
      <c r="A118" s="41" t="s">
        <v>209</v>
      </c>
      <c r="B118" s="34" t="s">
        <v>210</v>
      </c>
      <c r="C118" s="56"/>
      <c r="D118" s="56"/>
      <c r="E118" s="56"/>
      <c r="F118" s="31">
        <f t="shared" si="1"/>
        <v>0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50"/>
      <c r="Y118" s="50"/>
    </row>
    <row r="119" spans="1:25" ht="15">
      <c r="A119" s="53" t="s">
        <v>381</v>
      </c>
      <c r="B119" s="34" t="s">
        <v>211</v>
      </c>
      <c r="C119" s="54"/>
      <c r="D119" s="54"/>
      <c r="E119" s="54"/>
      <c r="F119" s="31">
        <f t="shared" si="1"/>
        <v>0</v>
      </c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0"/>
      <c r="Y119" s="50"/>
    </row>
    <row r="120" spans="1:25" ht="15">
      <c r="A120" s="53" t="s">
        <v>350</v>
      </c>
      <c r="B120" s="34" t="s">
        <v>212</v>
      </c>
      <c r="C120" s="54"/>
      <c r="D120" s="54"/>
      <c r="E120" s="54"/>
      <c r="F120" s="31">
        <f t="shared" si="1"/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0"/>
      <c r="Y120" s="50"/>
    </row>
    <row r="121" spans="1:25" ht="15">
      <c r="A121" s="57" t="s">
        <v>351</v>
      </c>
      <c r="B121" s="39" t="s">
        <v>213</v>
      </c>
      <c r="C121" s="58">
        <f>SUM(C117:C120)</f>
        <v>0</v>
      </c>
      <c r="D121" s="58"/>
      <c r="E121" s="58"/>
      <c r="F121" s="31">
        <f t="shared" si="1"/>
        <v>0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0"/>
      <c r="Y121" s="50"/>
    </row>
    <row r="122" spans="1:25" ht="15">
      <c r="A122" s="41" t="s">
        <v>214</v>
      </c>
      <c r="B122" s="34" t="s">
        <v>215</v>
      </c>
      <c r="C122" s="56"/>
      <c r="D122" s="56"/>
      <c r="E122" s="56"/>
      <c r="F122" s="31">
        <f t="shared" si="1"/>
        <v>0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50"/>
      <c r="Y122" s="50"/>
    </row>
    <row r="123" spans="1:25" ht="15">
      <c r="A123" s="20" t="s">
        <v>385</v>
      </c>
      <c r="B123" s="21" t="s">
        <v>216</v>
      </c>
      <c r="C123" s="58">
        <f>SUM(C116+C121)</f>
        <v>77516625</v>
      </c>
      <c r="D123" s="58"/>
      <c r="E123" s="58"/>
      <c r="F123" s="31">
        <f t="shared" si="1"/>
        <v>77516625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0"/>
      <c r="Y123" s="50"/>
    </row>
    <row r="124" spans="1:25" ht="15">
      <c r="A124" s="22" t="s">
        <v>439</v>
      </c>
      <c r="B124" s="23"/>
      <c r="C124" s="61">
        <f>C123+C100</f>
        <v>447056723</v>
      </c>
      <c r="D124" s="61">
        <f>D123+D100</f>
        <v>500000</v>
      </c>
      <c r="E124" s="61">
        <f>E123+E100</f>
        <v>0</v>
      </c>
      <c r="F124" s="61">
        <f>F123+F100</f>
        <v>447556723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2:25" ht="15">
      <c r="B125" s="50"/>
      <c r="C125" s="60"/>
      <c r="D125" s="60"/>
      <c r="E125" s="60"/>
      <c r="F125" s="6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2:25" ht="15">
      <c r="B126" s="50"/>
      <c r="C126" s="60"/>
      <c r="D126" s="60"/>
      <c r="E126" s="60"/>
      <c r="F126" s="6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2:25" ht="15">
      <c r="B127" s="50"/>
      <c r="C127" s="60"/>
      <c r="D127" s="60"/>
      <c r="E127" s="60"/>
      <c r="F127" s="6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2:25" ht="15">
      <c r="B128" s="50"/>
      <c r="C128" s="60"/>
      <c r="D128" s="60"/>
      <c r="E128" s="60"/>
      <c r="F128" s="6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2:25" ht="15">
      <c r="B129" s="50"/>
      <c r="C129" s="60"/>
      <c r="D129" s="60"/>
      <c r="E129" s="60"/>
      <c r="F129" s="6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2:25" ht="15">
      <c r="B130" s="50"/>
      <c r="C130" s="60"/>
      <c r="D130" s="60"/>
      <c r="E130" s="60"/>
      <c r="F130" s="6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2:25" ht="15">
      <c r="B131" s="50"/>
      <c r="C131" s="60"/>
      <c r="D131" s="60"/>
      <c r="E131" s="60"/>
      <c r="F131" s="6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2:25" ht="15">
      <c r="B132" s="50"/>
      <c r="C132" s="60"/>
      <c r="D132" s="60"/>
      <c r="E132" s="60"/>
      <c r="F132" s="6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2:25" ht="15">
      <c r="B133" s="50"/>
      <c r="C133" s="60"/>
      <c r="D133" s="60"/>
      <c r="E133" s="60"/>
      <c r="F133" s="6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2:25" ht="15">
      <c r="B134" s="50"/>
      <c r="C134" s="60"/>
      <c r="D134" s="60"/>
      <c r="E134" s="60"/>
      <c r="F134" s="6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2:25" ht="15">
      <c r="B135" s="50"/>
      <c r="C135" s="60"/>
      <c r="D135" s="60"/>
      <c r="E135" s="60"/>
      <c r="F135" s="6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2:25" ht="15">
      <c r="B136" s="50"/>
      <c r="C136" s="60"/>
      <c r="D136" s="60"/>
      <c r="E136" s="60"/>
      <c r="F136" s="6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2:25" ht="15">
      <c r="B137" s="50"/>
      <c r="C137" s="60"/>
      <c r="D137" s="60"/>
      <c r="E137" s="60"/>
      <c r="F137" s="6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2:25" ht="15">
      <c r="B138" s="50"/>
      <c r="C138" s="60"/>
      <c r="D138" s="60"/>
      <c r="E138" s="60"/>
      <c r="F138" s="6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2:25" ht="15">
      <c r="B139" s="50"/>
      <c r="C139" s="60"/>
      <c r="D139" s="60"/>
      <c r="E139" s="60"/>
      <c r="F139" s="6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2:25" ht="15">
      <c r="B140" s="50"/>
      <c r="C140" s="60"/>
      <c r="D140" s="60"/>
      <c r="E140" s="60"/>
      <c r="F140" s="6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2:25" ht="15">
      <c r="B141" s="50"/>
      <c r="C141" s="60"/>
      <c r="D141" s="60"/>
      <c r="E141" s="60"/>
      <c r="F141" s="6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2:25" ht="15">
      <c r="B142" s="50"/>
      <c r="C142" s="60"/>
      <c r="D142" s="60"/>
      <c r="E142" s="60"/>
      <c r="F142" s="6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2:25" ht="15">
      <c r="B143" s="50"/>
      <c r="C143" s="60"/>
      <c r="D143" s="60"/>
      <c r="E143" s="60"/>
      <c r="F143" s="6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2:25" ht="15">
      <c r="B144" s="50"/>
      <c r="C144" s="60"/>
      <c r="D144" s="60"/>
      <c r="E144" s="60"/>
      <c r="F144" s="6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2:25" ht="15">
      <c r="B145" s="50"/>
      <c r="C145" s="60"/>
      <c r="D145" s="60"/>
      <c r="E145" s="60"/>
      <c r="F145" s="6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2:25" ht="15">
      <c r="B146" s="50"/>
      <c r="C146" s="60"/>
      <c r="D146" s="60"/>
      <c r="E146" s="60"/>
      <c r="F146" s="6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2:25" ht="15">
      <c r="B147" s="50"/>
      <c r="C147" s="60"/>
      <c r="D147" s="60"/>
      <c r="E147" s="60"/>
      <c r="F147" s="6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2:25" ht="15">
      <c r="B148" s="50"/>
      <c r="C148" s="60"/>
      <c r="D148" s="60"/>
      <c r="E148" s="60"/>
      <c r="F148" s="6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2:25" ht="15">
      <c r="B149" s="50"/>
      <c r="C149" s="60"/>
      <c r="D149" s="60"/>
      <c r="E149" s="60"/>
      <c r="F149" s="6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2:25" ht="15">
      <c r="B150" s="50"/>
      <c r="C150" s="60"/>
      <c r="D150" s="60"/>
      <c r="E150" s="60"/>
      <c r="F150" s="6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2:25" ht="15">
      <c r="B151" s="50"/>
      <c r="C151" s="60"/>
      <c r="D151" s="60"/>
      <c r="E151" s="60"/>
      <c r="F151" s="6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2:25" ht="15">
      <c r="B152" s="50"/>
      <c r="C152" s="60"/>
      <c r="D152" s="60"/>
      <c r="E152" s="60"/>
      <c r="F152" s="6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2:25" ht="15">
      <c r="B153" s="50"/>
      <c r="C153" s="60"/>
      <c r="D153" s="60"/>
      <c r="E153" s="60"/>
      <c r="F153" s="6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2:25" ht="15">
      <c r="B154" s="50"/>
      <c r="C154" s="60"/>
      <c r="D154" s="60"/>
      <c r="E154" s="60"/>
      <c r="F154" s="6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2:25" ht="15">
      <c r="B155" s="50"/>
      <c r="C155" s="60"/>
      <c r="D155" s="60"/>
      <c r="E155" s="60"/>
      <c r="F155" s="6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2:25" ht="15">
      <c r="B156" s="50"/>
      <c r="C156" s="60"/>
      <c r="D156" s="60"/>
      <c r="E156" s="60"/>
      <c r="F156" s="6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2:25" ht="15">
      <c r="B157" s="50"/>
      <c r="C157" s="60"/>
      <c r="D157" s="60"/>
      <c r="E157" s="60"/>
      <c r="F157" s="6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2:25" ht="15">
      <c r="B158" s="50"/>
      <c r="C158" s="60"/>
      <c r="D158" s="60"/>
      <c r="E158" s="60"/>
      <c r="F158" s="6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2:25" ht="15">
      <c r="B159" s="50"/>
      <c r="C159" s="60"/>
      <c r="D159" s="60"/>
      <c r="E159" s="60"/>
      <c r="F159" s="6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2:25" ht="15">
      <c r="B160" s="50"/>
      <c r="C160" s="60"/>
      <c r="D160" s="60"/>
      <c r="E160" s="60"/>
      <c r="F160" s="6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2:25" ht="15">
      <c r="B161" s="50"/>
      <c r="C161" s="60"/>
      <c r="D161" s="60"/>
      <c r="E161" s="60"/>
      <c r="F161" s="6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2:25" ht="15">
      <c r="B162" s="50"/>
      <c r="C162" s="60"/>
      <c r="D162" s="60"/>
      <c r="E162" s="60"/>
      <c r="F162" s="6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2:25" ht="15">
      <c r="B163" s="50"/>
      <c r="C163" s="60"/>
      <c r="D163" s="60"/>
      <c r="E163" s="60"/>
      <c r="F163" s="6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2:25" ht="15">
      <c r="B164" s="50"/>
      <c r="C164" s="60"/>
      <c r="D164" s="60"/>
      <c r="E164" s="60"/>
      <c r="F164" s="6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2:25" ht="15">
      <c r="B165" s="50"/>
      <c r="C165" s="60"/>
      <c r="D165" s="60"/>
      <c r="E165" s="60"/>
      <c r="F165" s="6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2:25" ht="15">
      <c r="B166" s="50"/>
      <c r="C166" s="60"/>
      <c r="D166" s="60"/>
      <c r="E166" s="60"/>
      <c r="F166" s="6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2:25" ht="15">
      <c r="B167" s="50"/>
      <c r="C167" s="60"/>
      <c r="D167" s="60"/>
      <c r="E167" s="60"/>
      <c r="F167" s="6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2:25" ht="15">
      <c r="B168" s="50"/>
      <c r="C168" s="60"/>
      <c r="D168" s="60"/>
      <c r="E168" s="60"/>
      <c r="F168" s="6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2:25" ht="15">
      <c r="B169" s="50"/>
      <c r="C169" s="60"/>
      <c r="D169" s="60"/>
      <c r="E169" s="60"/>
      <c r="F169" s="6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2:25" ht="15">
      <c r="B170" s="50"/>
      <c r="C170" s="60"/>
      <c r="D170" s="60"/>
      <c r="E170" s="60"/>
      <c r="F170" s="6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2:25" ht="15">
      <c r="B171" s="50"/>
      <c r="C171" s="60"/>
      <c r="D171" s="60"/>
      <c r="E171" s="60"/>
      <c r="F171" s="6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2:25" ht="15">
      <c r="B172" s="50"/>
      <c r="C172" s="60"/>
      <c r="D172" s="60"/>
      <c r="E172" s="60"/>
      <c r="F172" s="6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2:25" ht="15">
      <c r="B173" s="50"/>
      <c r="C173" s="60"/>
      <c r="D173" s="60"/>
      <c r="E173" s="60"/>
      <c r="F173" s="6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</sheetData>
  <sheetProtection/>
  <mergeCells count="3">
    <mergeCell ref="A3:F3"/>
    <mergeCell ref="A4:F4"/>
    <mergeCell ref="A1:F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headerFooter>
    <oddHeader>&amp;R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Layout" workbookViewId="0" topLeftCell="B1">
      <selection activeCell="E3" sqref="E3"/>
    </sheetView>
  </sheetViews>
  <sheetFormatPr defaultColWidth="9.140625" defaultRowHeight="15"/>
  <cols>
    <col min="1" max="1" width="64.7109375" style="1" customWidth="1"/>
    <col min="2" max="2" width="9.421875" style="1" customWidth="1"/>
    <col min="3" max="3" width="22.421875" style="1" customWidth="1"/>
    <col min="4" max="4" width="18.8515625" style="1" customWidth="1"/>
    <col min="5" max="5" width="18.28125" style="1" customWidth="1"/>
    <col min="6" max="6" width="18.00390625" style="1" customWidth="1"/>
    <col min="7" max="7" width="18.7109375" style="1" customWidth="1"/>
    <col min="8" max="16384" width="9.140625" style="1" customWidth="1"/>
  </cols>
  <sheetData>
    <row r="1" spans="1:7" ht="21.75" customHeight="1">
      <c r="A1" s="190" t="s">
        <v>452</v>
      </c>
      <c r="B1" s="196"/>
      <c r="C1" s="196"/>
      <c r="D1" s="196"/>
      <c r="E1" s="196"/>
      <c r="F1" s="196"/>
      <c r="G1" s="196"/>
    </row>
    <row r="2" spans="1:7" ht="26.25" customHeight="1">
      <c r="A2" s="197" t="s">
        <v>453</v>
      </c>
      <c r="B2" s="198"/>
      <c r="C2" s="198"/>
      <c r="D2" s="198"/>
      <c r="E2" s="198"/>
      <c r="F2" s="198"/>
      <c r="G2" s="198"/>
    </row>
    <row r="3" ht="14.25">
      <c r="A3" s="85"/>
    </row>
    <row r="4" spans="1:7" ht="27">
      <c r="A4" s="134" t="s">
        <v>44</v>
      </c>
      <c r="B4" s="135" t="s">
        <v>45</v>
      </c>
      <c r="C4" s="136" t="s">
        <v>454</v>
      </c>
      <c r="D4" s="136" t="s">
        <v>455</v>
      </c>
      <c r="E4" s="136" t="s">
        <v>24</v>
      </c>
      <c r="F4" s="136" t="s">
        <v>24</v>
      </c>
      <c r="G4" s="137" t="s">
        <v>25</v>
      </c>
    </row>
    <row r="5" spans="1:7" ht="14.25">
      <c r="A5" s="5"/>
      <c r="B5" s="5"/>
      <c r="C5" s="138"/>
      <c r="D5" s="138"/>
      <c r="E5" s="138"/>
      <c r="F5" s="138"/>
      <c r="G5" s="138"/>
    </row>
    <row r="6" spans="1:7" ht="14.25">
      <c r="A6" s="5"/>
      <c r="B6" s="5"/>
      <c r="C6" s="138"/>
      <c r="D6" s="138"/>
      <c r="E6" s="138"/>
      <c r="F6" s="138"/>
      <c r="G6" s="138"/>
    </row>
    <row r="7" spans="1:7" ht="14.25">
      <c r="A7" s="5"/>
      <c r="B7" s="5"/>
      <c r="C7" s="138"/>
      <c r="D7" s="138"/>
      <c r="E7" s="138"/>
      <c r="F7" s="138"/>
      <c r="G7" s="138"/>
    </row>
    <row r="8" spans="1:7" ht="14.25">
      <c r="A8" s="5"/>
      <c r="B8" s="5"/>
      <c r="C8" s="138"/>
      <c r="D8" s="138"/>
      <c r="E8" s="138"/>
      <c r="F8" s="138"/>
      <c r="G8" s="138"/>
    </row>
    <row r="9" spans="1:7" ht="14.25">
      <c r="A9" s="139" t="s">
        <v>148</v>
      </c>
      <c r="B9" s="140" t="s">
        <v>149</v>
      </c>
      <c r="C9" s="138"/>
      <c r="D9" s="138"/>
      <c r="E9" s="138"/>
      <c r="F9" s="138"/>
      <c r="G9" s="138"/>
    </row>
    <row r="10" spans="1:7" ht="14.25">
      <c r="A10" s="139" t="s">
        <v>456</v>
      </c>
      <c r="B10" s="140"/>
      <c r="C10" s="138"/>
      <c r="D10" s="138"/>
      <c r="E10" s="138"/>
      <c r="F10" s="138"/>
      <c r="G10" s="138"/>
    </row>
    <row r="11" spans="1:7" ht="14.25">
      <c r="A11" s="139"/>
      <c r="B11" s="140"/>
      <c r="C11" s="138"/>
      <c r="D11" s="138"/>
      <c r="E11" s="138"/>
      <c r="F11" s="138"/>
      <c r="G11" s="138"/>
    </row>
    <row r="12" spans="1:7" ht="14.25">
      <c r="A12" s="139"/>
      <c r="B12" s="140"/>
      <c r="C12" s="138"/>
      <c r="D12" s="138"/>
      <c r="E12" s="138"/>
      <c r="F12" s="138"/>
      <c r="G12" s="138"/>
    </row>
    <row r="13" spans="1:7" ht="14.25">
      <c r="A13" s="139"/>
      <c r="B13" s="140"/>
      <c r="C13" s="138"/>
      <c r="D13" s="138"/>
      <c r="E13" s="138"/>
      <c r="F13" s="138"/>
      <c r="G13" s="138"/>
    </row>
    <row r="14" spans="1:7" ht="14.25">
      <c r="A14" s="139" t="s">
        <v>457</v>
      </c>
      <c r="B14" s="140" t="s">
        <v>150</v>
      </c>
      <c r="C14" s="138"/>
      <c r="D14" s="138"/>
      <c r="E14" s="138"/>
      <c r="F14" s="138"/>
      <c r="G14" s="138"/>
    </row>
    <row r="15" spans="1:7" ht="14.25">
      <c r="A15" s="139"/>
      <c r="B15" s="140"/>
      <c r="C15" s="138"/>
      <c r="D15" s="138"/>
      <c r="E15" s="138"/>
      <c r="F15" s="138"/>
      <c r="G15" s="138"/>
    </row>
    <row r="16" spans="1:7" ht="14.25">
      <c r="A16" s="139"/>
      <c r="B16" s="140"/>
      <c r="C16" s="138"/>
      <c r="D16" s="138"/>
      <c r="E16" s="138"/>
      <c r="F16" s="138"/>
      <c r="G16" s="138"/>
    </row>
    <row r="17" spans="1:7" ht="14.25">
      <c r="A17" s="139"/>
      <c r="B17" s="140"/>
      <c r="C17" s="138"/>
      <c r="D17" s="138"/>
      <c r="E17" s="138"/>
      <c r="F17" s="138"/>
      <c r="G17" s="138"/>
    </row>
    <row r="18" spans="1:7" ht="14.25">
      <c r="A18" s="139"/>
      <c r="B18" s="140"/>
      <c r="C18" s="138"/>
      <c r="D18" s="138"/>
      <c r="E18" s="138"/>
      <c r="F18" s="138"/>
      <c r="G18" s="138"/>
    </row>
    <row r="19" spans="1:7" ht="14.25">
      <c r="A19" s="141" t="s">
        <v>151</v>
      </c>
      <c r="B19" s="140" t="s">
        <v>152</v>
      </c>
      <c r="C19" s="138"/>
      <c r="D19" s="138"/>
      <c r="E19" s="138"/>
      <c r="F19" s="138"/>
      <c r="G19" s="138"/>
    </row>
    <row r="20" spans="1:7" ht="14.25">
      <c r="A20" s="141"/>
      <c r="B20" s="140"/>
      <c r="C20" s="138"/>
      <c r="D20" s="138"/>
      <c r="E20" s="138"/>
      <c r="F20" s="138"/>
      <c r="G20" s="138"/>
    </row>
    <row r="21" spans="1:7" ht="14.25">
      <c r="A21" s="139" t="s">
        <v>153</v>
      </c>
      <c r="B21" s="140" t="s">
        <v>154</v>
      </c>
      <c r="C21" s="138">
        <v>2570153</v>
      </c>
      <c r="D21" s="138"/>
      <c r="E21" s="138"/>
      <c r="F21" s="138"/>
      <c r="G21" s="138">
        <f>C21+D21+E21+F21</f>
        <v>2570153</v>
      </c>
    </row>
    <row r="22" spans="1:7" ht="14.25">
      <c r="A22" s="139" t="s">
        <v>505</v>
      </c>
      <c r="B22" s="140"/>
      <c r="C22" s="138">
        <v>1849073</v>
      </c>
      <c r="D22" s="138"/>
      <c r="E22" s="138"/>
      <c r="F22" s="138"/>
      <c r="G22" s="138">
        <f aca="true" t="shared" si="0" ref="G22:G49">C22+D22+E22+F22</f>
        <v>1849073</v>
      </c>
    </row>
    <row r="23" spans="1:7" ht="14.25">
      <c r="A23" s="139" t="s">
        <v>458</v>
      </c>
      <c r="B23" s="140"/>
      <c r="C23" s="138">
        <v>721080</v>
      </c>
      <c r="D23" s="138"/>
      <c r="E23" s="138"/>
      <c r="F23" s="138"/>
      <c r="G23" s="138">
        <f t="shared" si="0"/>
        <v>721080</v>
      </c>
    </row>
    <row r="24" spans="1:7" ht="14.25">
      <c r="A24" s="139"/>
      <c r="B24" s="140"/>
      <c r="C24" s="138"/>
      <c r="D24" s="138"/>
      <c r="E24" s="138"/>
      <c r="F24" s="138"/>
      <c r="G24" s="138">
        <f t="shared" si="0"/>
        <v>0</v>
      </c>
    </row>
    <row r="25" spans="1:7" ht="14.25">
      <c r="A25" s="139" t="s">
        <v>155</v>
      </c>
      <c r="B25" s="140" t="s">
        <v>156</v>
      </c>
      <c r="C25" s="138"/>
      <c r="D25" s="138"/>
      <c r="E25" s="138"/>
      <c r="F25" s="138"/>
      <c r="G25" s="138">
        <f t="shared" si="0"/>
        <v>0</v>
      </c>
    </row>
    <row r="26" spans="1:7" ht="14.25">
      <c r="A26" s="139"/>
      <c r="B26" s="140"/>
      <c r="C26" s="138"/>
      <c r="D26" s="138"/>
      <c r="E26" s="138"/>
      <c r="F26" s="138"/>
      <c r="G26" s="138">
        <f t="shared" si="0"/>
        <v>0</v>
      </c>
    </row>
    <row r="27" spans="1:7" ht="14.25">
      <c r="A27" s="139"/>
      <c r="B27" s="140"/>
      <c r="C27" s="138"/>
      <c r="D27" s="138"/>
      <c r="E27" s="138"/>
      <c r="F27" s="138"/>
      <c r="G27" s="138">
        <f t="shared" si="0"/>
        <v>0</v>
      </c>
    </row>
    <row r="28" spans="1:7" ht="14.25">
      <c r="A28" s="141" t="s">
        <v>157</v>
      </c>
      <c r="B28" s="140" t="s">
        <v>158</v>
      </c>
      <c r="C28" s="138"/>
      <c r="D28" s="138"/>
      <c r="E28" s="138"/>
      <c r="F28" s="138"/>
      <c r="G28" s="138">
        <f t="shared" si="0"/>
        <v>0</v>
      </c>
    </row>
    <row r="29" spans="1:7" ht="14.25">
      <c r="A29" s="141" t="s">
        <v>159</v>
      </c>
      <c r="B29" s="140" t="s">
        <v>160</v>
      </c>
      <c r="C29" s="138">
        <v>194691</v>
      </c>
      <c r="D29" s="138"/>
      <c r="E29" s="138"/>
      <c r="F29" s="138"/>
      <c r="G29" s="138">
        <f t="shared" si="0"/>
        <v>194691</v>
      </c>
    </row>
    <row r="30" spans="1:7" ht="15">
      <c r="A30" s="142" t="s">
        <v>343</v>
      </c>
      <c r="B30" s="143" t="s">
        <v>161</v>
      </c>
      <c r="C30" s="144">
        <f>C23+C29+C22</f>
        <v>2764844</v>
      </c>
      <c r="D30" s="138"/>
      <c r="E30" s="138"/>
      <c r="F30" s="138"/>
      <c r="G30" s="144">
        <f t="shared" si="0"/>
        <v>2764844</v>
      </c>
    </row>
    <row r="31" spans="1:7" ht="15">
      <c r="A31" s="145"/>
      <c r="B31" s="146"/>
      <c r="C31" s="138"/>
      <c r="D31" s="138"/>
      <c r="E31" s="138"/>
      <c r="F31" s="138"/>
      <c r="G31" s="138"/>
    </row>
    <row r="32" spans="1:7" ht="15">
      <c r="A32" s="145"/>
      <c r="B32" s="146"/>
      <c r="C32" s="138"/>
      <c r="D32" s="138"/>
      <c r="E32" s="138"/>
      <c r="F32" s="138"/>
      <c r="G32" s="138">
        <f t="shared" si="0"/>
        <v>0</v>
      </c>
    </row>
    <row r="33" spans="1:7" ht="15">
      <c r="A33" s="145"/>
      <c r="B33" s="146"/>
      <c r="C33" s="138"/>
      <c r="D33" s="138"/>
      <c r="E33" s="138"/>
      <c r="F33" s="138"/>
      <c r="G33" s="138">
        <f t="shared" si="0"/>
        <v>0</v>
      </c>
    </row>
    <row r="34" spans="1:7" ht="15">
      <c r="A34" s="145"/>
      <c r="B34" s="146"/>
      <c r="C34" s="138"/>
      <c r="D34" s="138"/>
      <c r="E34" s="138"/>
      <c r="F34" s="138"/>
      <c r="G34" s="138">
        <f t="shared" si="0"/>
        <v>0</v>
      </c>
    </row>
    <row r="35" spans="1:7" ht="14.25">
      <c r="A35" s="139" t="s">
        <v>162</v>
      </c>
      <c r="B35" s="140" t="s">
        <v>163</v>
      </c>
      <c r="C35" s="138">
        <f>C36+C37+C38</f>
        <v>110139256</v>
      </c>
      <c r="D35" s="138"/>
      <c r="E35" s="138"/>
      <c r="F35" s="138"/>
      <c r="G35" s="138">
        <f t="shared" si="0"/>
        <v>110139256</v>
      </c>
    </row>
    <row r="36" spans="1:7" ht="14.25">
      <c r="A36" s="139" t="s">
        <v>501</v>
      </c>
      <c r="B36" s="140"/>
      <c r="C36" s="138">
        <f>11811024+2084298</f>
        <v>13895322</v>
      </c>
      <c r="D36" s="138"/>
      <c r="E36" s="138"/>
      <c r="F36" s="138"/>
      <c r="G36" s="138">
        <f t="shared" si="0"/>
        <v>13895322</v>
      </c>
    </row>
    <row r="37" spans="1:7" ht="14.25">
      <c r="A37" s="139" t="s">
        <v>459</v>
      </c>
      <c r="B37" s="140"/>
      <c r="C37" s="138">
        <f>80598851-2893664-5083300</f>
        <v>72621887</v>
      </c>
      <c r="D37" s="138"/>
      <c r="E37" s="138"/>
      <c r="F37" s="138"/>
      <c r="G37" s="138">
        <f t="shared" si="0"/>
        <v>72621887</v>
      </c>
    </row>
    <row r="38" spans="1:7" ht="14.25">
      <c r="A38" s="139" t="s">
        <v>506</v>
      </c>
      <c r="B38" s="140"/>
      <c r="C38" s="138">
        <v>23622047</v>
      </c>
      <c r="D38" s="138"/>
      <c r="E38" s="138"/>
      <c r="F38" s="138"/>
      <c r="G38" s="138">
        <f t="shared" si="0"/>
        <v>23622047</v>
      </c>
    </row>
    <row r="39" spans="1:7" ht="14.25">
      <c r="A39" s="139"/>
      <c r="B39" s="140"/>
      <c r="C39" s="138"/>
      <c r="D39" s="138"/>
      <c r="E39" s="138"/>
      <c r="F39" s="138"/>
      <c r="G39" s="138">
        <f t="shared" si="0"/>
        <v>0</v>
      </c>
    </row>
    <row r="40" spans="1:7" ht="14.25">
      <c r="A40" s="139"/>
      <c r="B40" s="140"/>
      <c r="C40" s="138"/>
      <c r="D40" s="138"/>
      <c r="E40" s="138"/>
      <c r="F40" s="138"/>
      <c r="G40" s="138">
        <f t="shared" si="0"/>
        <v>0</v>
      </c>
    </row>
    <row r="41" spans="1:7" ht="14.25">
      <c r="A41" s="139"/>
      <c r="B41" s="140"/>
      <c r="C41" s="138"/>
      <c r="D41" s="138"/>
      <c r="E41" s="138"/>
      <c r="F41" s="138"/>
      <c r="G41" s="138">
        <f t="shared" si="0"/>
        <v>0</v>
      </c>
    </row>
    <row r="42" spans="1:7" ht="14.25">
      <c r="A42" s="139" t="s">
        <v>164</v>
      </c>
      <c r="B42" s="140" t="s">
        <v>165</v>
      </c>
      <c r="C42" s="138"/>
      <c r="D42" s="138"/>
      <c r="E42" s="138"/>
      <c r="F42" s="138"/>
      <c r="G42" s="138">
        <f t="shared" si="0"/>
        <v>0</v>
      </c>
    </row>
    <row r="43" spans="1:7" ht="14.25">
      <c r="A43" s="139"/>
      <c r="B43" s="140"/>
      <c r="C43" s="138"/>
      <c r="D43" s="138"/>
      <c r="E43" s="138"/>
      <c r="F43" s="138"/>
      <c r="G43" s="138">
        <f t="shared" si="0"/>
        <v>0</v>
      </c>
    </row>
    <row r="44" spans="1:7" ht="14.25">
      <c r="A44" s="139"/>
      <c r="B44" s="140"/>
      <c r="C44" s="138"/>
      <c r="D44" s="138"/>
      <c r="E44" s="138"/>
      <c r="F44" s="138"/>
      <c r="G44" s="138">
        <f t="shared" si="0"/>
        <v>0</v>
      </c>
    </row>
    <row r="45" spans="1:7" ht="14.25">
      <c r="A45" s="139"/>
      <c r="B45" s="140"/>
      <c r="C45" s="138"/>
      <c r="D45" s="138"/>
      <c r="E45" s="138"/>
      <c r="F45" s="138"/>
      <c r="G45" s="138">
        <f t="shared" si="0"/>
        <v>0</v>
      </c>
    </row>
    <row r="46" spans="1:7" ht="14.25">
      <c r="A46" s="139"/>
      <c r="B46" s="140"/>
      <c r="C46" s="138"/>
      <c r="D46" s="138"/>
      <c r="E46" s="138"/>
      <c r="F46" s="138"/>
      <c r="G46" s="138">
        <f t="shared" si="0"/>
        <v>0</v>
      </c>
    </row>
    <row r="47" spans="1:7" ht="14.25">
      <c r="A47" s="139" t="s">
        <v>166</v>
      </c>
      <c r="B47" s="140" t="s">
        <v>167</v>
      </c>
      <c r="C47" s="138"/>
      <c r="D47" s="138"/>
      <c r="E47" s="138"/>
      <c r="F47" s="138"/>
      <c r="G47" s="138">
        <f t="shared" si="0"/>
        <v>0</v>
      </c>
    </row>
    <row r="48" spans="1:7" ht="14.25">
      <c r="A48" s="139" t="s">
        <v>168</v>
      </c>
      <c r="B48" s="140" t="s">
        <v>169</v>
      </c>
      <c r="C48" s="138">
        <v>29007789</v>
      </c>
      <c r="D48" s="138"/>
      <c r="E48" s="138"/>
      <c r="F48" s="138"/>
      <c r="G48" s="138">
        <f t="shared" si="0"/>
        <v>29007789</v>
      </c>
    </row>
    <row r="49" spans="1:7" ht="15">
      <c r="A49" s="142" t="s">
        <v>344</v>
      </c>
      <c r="B49" s="143" t="s">
        <v>170</v>
      </c>
      <c r="C49" s="144">
        <f>C48+C35</f>
        <v>139147045</v>
      </c>
      <c r="D49" s="138"/>
      <c r="E49" s="138"/>
      <c r="F49" s="138"/>
      <c r="G49" s="144">
        <f t="shared" si="0"/>
        <v>139147045</v>
      </c>
    </row>
    <row r="52" spans="1:6" ht="14.25">
      <c r="A52" s="3"/>
      <c r="B52" s="3"/>
      <c r="C52" s="3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"/>
      <c r="C54" s="3"/>
      <c r="D54" s="3"/>
      <c r="E54" s="3"/>
      <c r="F54" s="3"/>
    </row>
  </sheetData>
  <sheetProtection/>
  <mergeCells count="2">
    <mergeCell ref="A1:G1"/>
    <mergeCell ref="A2:G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&amp;R&amp;"-,Dőlt"7. melléklet a 8/2019.(V.31.) önkormányztai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Layout" workbookViewId="0" topLeftCell="B1">
      <selection activeCell="I48" sqref="I48"/>
    </sheetView>
  </sheetViews>
  <sheetFormatPr defaultColWidth="9.140625" defaultRowHeight="15"/>
  <cols>
    <col min="1" max="1" width="64.28125" style="1" customWidth="1"/>
    <col min="2" max="2" width="9.140625" style="1" customWidth="1"/>
    <col min="3" max="3" width="18.140625" style="1" customWidth="1"/>
    <col min="4" max="4" width="21.57421875" style="1" customWidth="1"/>
    <col min="5" max="5" width="21.8515625" style="1" customWidth="1"/>
    <col min="6" max="7" width="19.57421875" style="1" customWidth="1"/>
    <col min="8" max="8" width="16.421875" style="1" customWidth="1"/>
    <col min="9" max="9" width="16.28125" style="1" customWidth="1"/>
    <col min="10" max="10" width="30.140625" style="1" customWidth="1"/>
    <col min="11" max="16384" width="9.140625" style="1" customWidth="1"/>
  </cols>
  <sheetData>
    <row r="1" spans="1:10" ht="30" customHeight="1">
      <c r="A1" s="190" t="s">
        <v>502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46.5" customHeight="1">
      <c r="A2" s="197" t="s">
        <v>460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6.5" customHeight="1">
      <c r="A3" s="133"/>
      <c r="B3" s="121"/>
      <c r="C3" s="121"/>
      <c r="D3" s="121"/>
      <c r="E3" s="121"/>
      <c r="F3" s="121"/>
      <c r="G3" s="121"/>
      <c r="H3" s="121"/>
      <c r="I3" s="121"/>
      <c r="J3" s="121"/>
    </row>
    <row r="4" ht="14.25">
      <c r="A4" s="147"/>
    </row>
    <row r="5" spans="1:10" ht="61.5" customHeight="1">
      <c r="A5" s="134" t="s">
        <v>44</v>
      </c>
      <c r="B5" s="135" t="s">
        <v>45</v>
      </c>
      <c r="C5" s="136" t="s">
        <v>508</v>
      </c>
      <c r="D5" s="136" t="s">
        <v>461</v>
      </c>
      <c r="E5" s="136" t="s">
        <v>462</v>
      </c>
      <c r="F5" s="136" t="s">
        <v>463</v>
      </c>
      <c r="G5" s="136" t="s">
        <v>464</v>
      </c>
      <c r="H5" s="136" t="s">
        <v>465</v>
      </c>
      <c r="I5" s="136" t="s">
        <v>466</v>
      </c>
      <c r="J5" s="136" t="s">
        <v>467</v>
      </c>
    </row>
    <row r="6" spans="1:10" ht="24">
      <c r="A6" s="6"/>
      <c r="B6" s="6"/>
      <c r="C6" s="149"/>
      <c r="D6" s="149"/>
      <c r="E6" s="149"/>
      <c r="F6" s="150" t="s">
        <v>468</v>
      </c>
      <c r="G6" s="151"/>
      <c r="H6" s="149"/>
      <c r="I6" s="149"/>
      <c r="J6" s="149"/>
    </row>
    <row r="7" spans="1:10" ht="14.25">
      <c r="A7" s="6"/>
      <c r="B7" s="6"/>
      <c r="C7" s="149"/>
      <c r="D7" s="149"/>
      <c r="E7" s="149"/>
      <c r="F7" s="149"/>
      <c r="G7" s="149"/>
      <c r="H7" s="149"/>
      <c r="I7" s="149"/>
      <c r="J7" s="149"/>
    </row>
    <row r="8" spans="1:10" ht="14.25">
      <c r="A8" s="6"/>
      <c r="B8" s="6"/>
      <c r="C8" s="149"/>
      <c r="D8" s="149"/>
      <c r="E8" s="149"/>
      <c r="F8" s="149"/>
      <c r="G8" s="149"/>
      <c r="H8" s="149"/>
      <c r="I8" s="149"/>
      <c r="J8" s="149"/>
    </row>
    <row r="9" spans="1:10" ht="14.25">
      <c r="A9" s="6"/>
      <c r="B9" s="6"/>
      <c r="C9" s="149"/>
      <c r="D9" s="149"/>
      <c r="E9" s="149"/>
      <c r="F9" s="149"/>
      <c r="G9" s="149"/>
      <c r="H9" s="149"/>
      <c r="I9" s="149"/>
      <c r="J9" s="149"/>
    </row>
    <row r="10" spans="1:10" ht="14.25">
      <c r="A10" s="139" t="s">
        <v>148</v>
      </c>
      <c r="B10" s="140" t="s">
        <v>149</v>
      </c>
      <c r="C10" s="149"/>
      <c r="D10" s="149"/>
      <c r="E10" s="149"/>
      <c r="F10" s="149"/>
      <c r="G10" s="149"/>
      <c r="H10" s="149"/>
      <c r="I10" s="149"/>
      <c r="J10" s="149"/>
    </row>
    <row r="11" spans="1:10" ht="14.25">
      <c r="A11" s="139"/>
      <c r="B11" s="140"/>
      <c r="C11" s="149"/>
      <c r="D11" s="149"/>
      <c r="E11" s="149"/>
      <c r="F11" s="149"/>
      <c r="G11" s="149"/>
      <c r="H11" s="149"/>
      <c r="I11" s="149"/>
      <c r="J11" s="149"/>
    </row>
    <row r="12" spans="1:10" ht="14.25">
      <c r="A12" s="139"/>
      <c r="B12" s="140"/>
      <c r="C12" s="149"/>
      <c r="D12" s="149"/>
      <c r="E12" s="149"/>
      <c r="F12" s="149"/>
      <c r="G12" s="149"/>
      <c r="H12" s="149"/>
      <c r="I12" s="149"/>
      <c r="J12" s="149"/>
    </row>
    <row r="13" spans="1:10" ht="14.25">
      <c r="A13" s="139"/>
      <c r="B13" s="140"/>
      <c r="C13" s="149"/>
      <c r="D13" s="149"/>
      <c r="E13" s="149"/>
      <c r="F13" s="149"/>
      <c r="G13" s="149"/>
      <c r="H13" s="149"/>
      <c r="I13" s="149"/>
      <c r="J13" s="149"/>
    </row>
    <row r="14" spans="1:10" ht="14.25">
      <c r="A14" s="139"/>
      <c r="B14" s="140"/>
      <c r="C14" s="149"/>
      <c r="D14" s="149"/>
      <c r="E14" s="149"/>
      <c r="F14" s="149"/>
      <c r="G14" s="149"/>
      <c r="H14" s="149"/>
      <c r="I14" s="149"/>
      <c r="J14" s="149"/>
    </row>
    <row r="15" spans="1:10" ht="14.25">
      <c r="A15" s="139" t="s">
        <v>457</v>
      </c>
      <c r="B15" s="140" t="s">
        <v>150</v>
      </c>
      <c r="C15" s="149"/>
      <c r="D15" s="149"/>
      <c r="E15" s="149"/>
      <c r="F15" s="149"/>
      <c r="G15" s="149"/>
      <c r="H15" s="149"/>
      <c r="I15" s="149"/>
      <c r="J15" s="149"/>
    </row>
    <row r="16" spans="1:10" ht="14.25">
      <c r="A16" s="139"/>
      <c r="B16" s="140"/>
      <c r="C16" s="149"/>
      <c r="D16" s="149"/>
      <c r="E16" s="149"/>
      <c r="F16" s="149"/>
      <c r="G16" s="149"/>
      <c r="H16" s="149"/>
      <c r="I16" s="149"/>
      <c r="J16" s="149"/>
    </row>
    <row r="17" spans="1:10" ht="14.25">
      <c r="A17" s="139"/>
      <c r="B17" s="140"/>
      <c r="C17" s="149"/>
      <c r="D17" s="149"/>
      <c r="E17" s="149"/>
      <c r="F17" s="149"/>
      <c r="G17" s="149"/>
      <c r="H17" s="149"/>
      <c r="I17" s="149"/>
      <c r="J17" s="149"/>
    </row>
    <row r="18" spans="1:10" ht="14.25">
      <c r="A18" s="139"/>
      <c r="B18" s="140"/>
      <c r="C18" s="149"/>
      <c r="D18" s="149"/>
      <c r="E18" s="149"/>
      <c r="F18" s="149"/>
      <c r="G18" s="149"/>
      <c r="H18" s="149"/>
      <c r="I18" s="149"/>
      <c r="J18" s="149"/>
    </row>
    <row r="19" spans="1:10" ht="14.25">
      <c r="A19" s="139"/>
      <c r="B19" s="140"/>
      <c r="C19" s="149"/>
      <c r="D19" s="149"/>
      <c r="E19" s="149"/>
      <c r="F19" s="149"/>
      <c r="G19" s="149"/>
      <c r="H19" s="149"/>
      <c r="I19" s="149"/>
      <c r="J19" s="149"/>
    </row>
    <row r="20" spans="1:10" ht="14.25">
      <c r="A20" s="141" t="s">
        <v>151</v>
      </c>
      <c r="B20" s="140" t="s">
        <v>152</v>
      </c>
      <c r="C20" s="149"/>
      <c r="D20" s="149"/>
      <c r="E20" s="149"/>
      <c r="F20" s="149"/>
      <c r="G20" s="149"/>
      <c r="H20" s="149"/>
      <c r="I20" s="149"/>
      <c r="J20" s="149"/>
    </row>
    <row r="21" spans="1:10" ht="14.25">
      <c r="A21" s="141"/>
      <c r="B21" s="140"/>
      <c r="C21" s="149"/>
      <c r="D21" s="149"/>
      <c r="E21" s="149"/>
      <c r="F21" s="149"/>
      <c r="G21" s="149"/>
      <c r="H21" s="149"/>
      <c r="I21" s="149"/>
      <c r="J21" s="149"/>
    </row>
    <row r="22" spans="1:10" ht="14.25">
      <c r="A22" s="141"/>
      <c r="B22" s="140"/>
      <c r="C22" s="149"/>
      <c r="D22" s="149"/>
      <c r="E22" s="149"/>
      <c r="F22" s="149"/>
      <c r="G22" s="149"/>
      <c r="H22" s="149"/>
      <c r="I22" s="149"/>
      <c r="J22" s="149"/>
    </row>
    <row r="23" spans="1:10" ht="14.25">
      <c r="A23" s="139" t="s">
        <v>153</v>
      </c>
      <c r="B23" s="140" t="s">
        <v>154</v>
      </c>
      <c r="C23" s="149"/>
      <c r="D23" s="149"/>
      <c r="E23" s="149"/>
      <c r="F23" s="149"/>
      <c r="G23" s="149"/>
      <c r="H23" s="149"/>
      <c r="I23" s="149"/>
      <c r="J23" s="149"/>
    </row>
    <row r="24" spans="1:10" ht="14.25">
      <c r="A24" s="139"/>
      <c r="B24" s="140"/>
      <c r="C24" s="149"/>
      <c r="D24" s="149"/>
      <c r="E24" s="149"/>
      <c r="F24" s="149"/>
      <c r="G24" s="149"/>
      <c r="H24" s="149"/>
      <c r="I24" s="149"/>
      <c r="J24" s="149"/>
    </row>
    <row r="25" spans="1:10" ht="14.25">
      <c r="A25" s="139"/>
      <c r="B25" s="140"/>
      <c r="C25" s="149"/>
      <c r="D25" s="149"/>
      <c r="E25" s="149"/>
      <c r="F25" s="149"/>
      <c r="G25" s="149"/>
      <c r="H25" s="149"/>
      <c r="I25" s="149"/>
      <c r="J25" s="149"/>
    </row>
    <row r="26" spans="1:10" ht="14.25">
      <c r="A26" s="139" t="s">
        <v>155</v>
      </c>
      <c r="B26" s="140" t="s">
        <v>156</v>
      </c>
      <c r="C26" s="149"/>
      <c r="D26" s="149"/>
      <c r="E26" s="149"/>
      <c r="F26" s="149"/>
      <c r="G26" s="149"/>
      <c r="H26" s="149"/>
      <c r="I26" s="149"/>
      <c r="J26" s="149"/>
    </row>
    <row r="27" spans="1:10" ht="14.25">
      <c r="A27" s="139"/>
      <c r="B27" s="140"/>
      <c r="C27" s="149"/>
      <c r="D27" s="149"/>
      <c r="E27" s="149"/>
      <c r="F27" s="149"/>
      <c r="G27" s="149"/>
      <c r="H27" s="149"/>
      <c r="I27" s="149"/>
      <c r="J27" s="149"/>
    </row>
    <row r="28" spans="1:10" ht="14.25">
      <c r="A28" s="139"/>
      <c r="B28" s="140"/>
      <c r="C28" s="149"/>
      <c r="D28" s="149"/>
      <c r="E28" s="149"/>
      <c r="F28" s="149"/>
      <c r="G28" s="149"/>
      <c r="H28" s="149"/>
      <c r="I28" s="149"/>
      <c r="J28" s="149"/>
    </row>
    <row r="29" spans="1:10" ht="14.25">
      <c r="A29" s="141" t="s">
        <v>157</v>
      </c>
      <c r="B29" s="140" t="s">
        <v>158</v>
      </c>
      <c r="C29" s="149"/>
      <c r="D29" s="149"/>
      <c r="E29" s="149"/>
      <c r="F29" s="149"/>
      <c r="G29" s="149"/>
      <c r="H29" s="149"/>
      <c r="I29" s="149"/>
      <c r="J29" s="149"/>
    </row>
    <row r="30" spans="1:10" ht="14.25">
      <c r="A30" s="141" t="s">
        <v>159</v>
      </c>
      <c r="B30" s="140" t="s">
        <v>160</v>
      </c>
      <c r="C30" s="149"/>
      <c r="D30" s="149"/>
      <c r="E30" s="149"/>
      <c r="F30" s="149"/>
      <c r="G30" s="149"/>
      <c r="H30" s="149"/>
      <c r="I30" s="149"/>
      <c r="J30" s="149"/>
    </row>
    <row r="31" spans="1:10" ht="15">
      <c r="A31" s="142" t="s">
        <v>343</v>
      </c>
      <c r="B31" s="143" t="s">
        <v>161</v>
      </c>
      <c r="C31" s="149"/>
      <c r="D31" s="149"/>
      <c r="E31" s="149"/>
      <c r="F31" s="149"/>
      <c r="G31" s="149"/>
      <c r="H31" s="149"/>
      <c r="I31" s="149"/>
      <c r="J31" s="149"/>
    </row>
    <row r="32" spans="1:10" ht="15">
      <c r="A32" s="145"/>
      <c r="B32" s="146"/>
      <c r="C32" s="149"/>
      <c r="D32" s="149"/>
      <c r="E32" s="149"/>
      <c r="F32" s="149"/>
      <c r="G32" s="149"/>
      <c r="H32" s="149"/>
      <c r="I32" s="149"/>
      <c r="J32" s="149"/>
    </row>
    <row r="33" spans="1:10" ht="15">
      <c r="A33" s="145"/>
      <c r="B33" s="146"/>
      <c r="C33" s="149"/>
      <c r="D33" s="149"/>
      <c r="E33" s="149"/>
      <c r="F33" s="149"/>
      <c r="G33" s="149"/>
      <c r="H33" s="149"/>
      <c r="I33" s="149"/>
      <c r="J33" s="149"/>
    </row>
    <row r="34" spans="1:10" ht="15">
      <c r="A34" s="145"/>
      <c r="B34" s="146"/>
      <c r="C34" s="149"/>
      <c r="D34" s="149"/>
      <c r="E34" s="149"/>
      <c r="F34" s="149"/>
      <c r="G34" s="149"/>
      <c r="H34" s="149"/>
      <c r="I34" s="149"/>
      <c r="J34" s="149"/>
    </row>
    <row r="35" spans="1:10" ht="15">
      <c r="A35" s="145"/>
      <c r="B35" s="146"/>
      <c r="C35" s="149"/>
      <c r="D35" s="149"/>
      <c r="E35" s="149"/>
      <c r="F35" s="149"/>
      <c r="G35" s="149"/>
      <c r="H35" s="149"/>
      <c r="I35" s="149"/>
      <c r="J35" s="149"/>
    </row>
    <row r="36" spans="1:10" ht="14.25">
      <c r="A36" s="139" t="s">
        <v>162</v>
      </c>
      <c r="B36" s="140" t="s">
        <v>163</v>
      </c>
      <c r="C36" s="149"/>
      <c r="D36" s="149"/>
      <c r="E36" s="149"/>
      <c r="F36" s="149"/>
      <c r="G36" s="149"/>
      <c r="H36" s="149"/>
      <c r="I36" s="149"/>
      <c r="J36" s="149"/>
    </row>
    <row r="37" spans="1:10" ht="14.25">
      <c r="A37" s="139" t="s">
        <v>504</v>
      </c>
      <c r="B37" s="140"/>
      <c r="C37" s="149">
        <f>13895322+23622047</f>
        <v>37517369</v>
      </c>
      <c r="D37" s="149">
        <v>13895322</v>
      </c>
      <c r="E37" s="149">
        <v>23622047</v>
      </c>
      <c r="F37" s="149" t="s">
        <v>507</v>
      </c>
      <c r="G37" s="149" t="s">
        <v>295</v>
      </c>
      <c r="H37" s="152">
        <v>43647</v>
      </c>
      <c r="I37" s="152">
        <v>45473</v>
      </c>
      <c r="J37" s="149"/>
    </row>
    <row r="38" spans="1:10" ht="14.25">
      <c r="A38" s="139"/>
      <c r="B38" s="140"/>
      <c r="C38" s="149"/>
      <c r="D38" s="149"/>
      <c r="E38" s="149"/>
      <c r="F38" s="149"/>
      <c r="G38" s="149"/>
      <c r="H38" s="149"/>
      <c r="I38" s="149"/>
      <c r="J38" s="149"/>
    </row>
    <row r="39" spans="1:10" ht="14.25">
      <c r="A39" s="139"/>
      <c r="B39" s="140"/>
      <c r="C39" s="149"/>
      <c r="D39" s="149"/>
      <c r="E39" s="149"/>
      <c r="F39" s="149"/>
      <c r="G39" s="149"/>
      <c r="H39" s="149"/>
      <c r="I39" s="149"/>
      <c r="J39" s="149"/>
    </row>
    <row r="40" spans="1:10" ht="14.25">
      <c r="A40" s="139"/>
      <c r="B40" s="140"/>
      <c r="C40" s="149"/>
      <c r="D40" s="149"/>
      <c r="E40" s="149"/>
      <c r="F40" s="149"/>
      <c r="G40" s="149"/>
      <c r="H40" s="149"/>
      <c r="I40" s="149"/>
      <c r="J40" s="149"/>
    </row>
    <row r="41" spans="1:10" ht="14.25">
      <c r="A41" s="139" t="s">
        <v>164</v>
      </c>
      <c r="B41" s="140" t="s">
        <v>165</v>
      </c>
      <c r="C41" s="149"/>
      <c r="D41" s="149"/>
      <c r="E41" s="149"/>
      <c r="F41" s="149"/>
      <c r="G41" s="149"/>
      <c r="H41" s="149"/>
      <c r="I41" s="149"/>
      <c r="J41" s="149"/>
    </row>
    <row r="42" spans="1:10" ht="14.25">
      <c r="A42" s="139"/>
      <c r="B42" s="140"/>
      <c r="C42" s="149"/>
      <c r="D42" s="149"/>
      <c r="E42" s="149"/>
      <c r="F42" s="149"/>
      <c r="G42" s="149"/>
      <c r="H42" s="149"/>
      <c r="I42" s="149"/>
      <c r="J42" s="149"/>
    </row>
    <row r="43" spans="1:10" ht="14.25">
      <c r="A43" s="139"/>
      <c r="B43" s="140"/>
      <c r="C43" s="149"/>
      <c r="D43" s="149"/>
      <c r="E43" s="149"/>
      <c r="F43" s="149"/>
      <c r="G43" s="149"/>
      <c r="H43" s="149"/>
      <c r="I43" s="149"/>
      <c r="J43" s="149"/>
    </row>
    <row r="44" spans="1:10" ht="14.25">
      <c r="A44" s="139"/>
      <c r="B44" s="140"/>
      <c r="C44" s="149"/>
      <c r="D44" s="149"/>
      <c r="E44" s="149"/>
      <c r="F44" s="149"/>
      <c r="G44" s="149"/>
      <c r="H44" s="149"/>
      <c r="I44" s="149"/>
      <c r="J44" s="149"/>
    </row>
    <row r="45" spans="1:10" ht="14.25">
      <c r="A45" s="139"/>
      <c r="B45" s="140"/>
      <c r="C45" s="149"/>
      <c r="D45" s="149"/>
      <c r="E45" s="149"/>
      <c r="F45" s="149"/>
      <c r="G45" s="149"/>
      <c r="H45" s="149"/>
      <c r="I45" s="149"/>
      <c r="J45" s="149"/>
    </row>
    <row r="46" spans="1:10" ht="14.25">
      <c r="A46" s="139" t="s">
        <v>166</v>
      </c>
      <c r="B46" s="140" t="s">
        <v>167</v>
      </c>
      <c r="C46" s="149"/>
      <c r="D46" s="149"/>
      <c r="E46" s="149"/>
      <c r="F46" s="149"/>
      <c r="G46" s="149"/>
      <c r="H46" s="149"/>
      <c r="I46" s="149"/>
      <c r="J46" s="149"/>
    </row>
    <row r="47" spans="1:10" ht="14.25">
      <c r="A47" s="139" t="s">
        <v>168</v>
      </c>
      <c r="B47" s="140" t="s">
        <v>169</v>
      </c>
      <c r="C47" s="149">
        <v>10129690</v>
      </c>
      <c r="D47" s="149">
        <v>3751737</v>
      </c>
      <c r="E47" s="149">
        <v>6377953</v>
      </c>
      <c r="F47" s="149" t="s">
        <v>507</v>
      </c>
      <c r="G47" s="149" t="s">
        <v>295</v>
      </c>
      <c r="H47" s="152">
        <v>43647</v>
      </c>
      <c r="I47" s="152">
        <v>45473</v>
      </c>
      <c r="J47" s="149"/>
    </row>
    <row r="48" spans="1:10" ht="15">
      <c r="A48" s="142" t="s">
        <v>344</v>
      </c>
      <c r="B48" s="143" t="s">
        <v>170</v>
      </c>
      <c r="C48" s="148"/>
      <c r="D48" s="148"/>
      <c r="E48" s="148"/>
      <c r="F48" s="149"/>
      <c r="G48" s="149"/>
      <c r="H48" s="152"/>
      <c r="I48" s="152"/>
      <c r="J48" s="149"/>
    </row>
    <row r="49" spans="1:10" ht="62.25">
      <c r="A49" s="153" t="s">
        <v>469</v>
      </c>
      <c r="B49" s="5"/>
      <c r="C49" s="138"/>
      <c r="D49" s="138"/>
      <c r="E49" s="138"/>
      <c r="F49" s="138"/>
      <c r="G49" s="138"/>
      <c r="H49" s="138"/>
      <c r="I49" s="138"/>
      <c r="J49" s="138"/>
    </row>
    <row r="50" spans="1:10" ht="14.25">
      <c r="A50" s="136" t="s">
        <v>470</v>
      </c>
      <c r="B50" s="5"/>
      <c r="C50" s="138"/>
      <c r="D50" s="138"/>
      <c r="E50" s="138"/>
      <c r="F50" s="138"/>
      <c r="G50" s="138"/>
      <c r="H50" s="138"/>
      <c r="I50" s="138"/>
      <c r="J50" s="138"/>
    </row>
    <row r="51" spans="1:10" ht="14.25">
      <c r="A51" s="136" t="s">
        <v>470</v>
      </c>
      <c r="B51" s="5"/>
      <c r="C51" s="138"/>
      <c r="D51" s="138"/>
      <c r="E51" s="138"/>
      <c r="F51" s="138"/>
      <c r="G51" s="138"/>
      <c r="H51" s="138"/>
      <c r="I51" s="138"/>
      <c r="J51" s="138"/>
    </row>
    <row r="52" spans="1:10" ht="14.25">
      <c r="A52" s="136" t="s">
        <v>470</v>
      </c>
      <c r="B52" s="5"/>
      <c r="C52" s="138"/>
      <c r="D52" s="138"/>
      <c r="E52" s="138"/>
      <c r="F52" s="138"/>
      <c r="G52" s="138"/>
      <c r="H52" s="138"/>
      <c r="I52" s="138"/>
      <c r="J52" s="138"/>
    </row>
    <row r="53" spans="1:10" ht="14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</row>
    <row r="54" spans="1:10" ht="14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</row>
    <row r="55" ht="14.25">
      <c r="A55" s="154" t="s">
        <v>471</v>
      </c>
    </row>
    <row r="56" ht="14.25">
      <c r="A56" s="155"/>
    </row>
    <row r="57" ht="26.25">
      <c r="A57" s="156" t="s">
        <v>472</v>
      </c>
    </row>
    <row r="58" ht="52.5">
      <c r="A58" s="156" t="s">
        <v>473</v>
      </c>
    </row>
    <row r="59" ht="26.25">
      <c r="A59" s="156" t="s">
        <v>474</v>
      </c>
    </row>
    <row r="60" ht="26.25">
      <c r="A60" s="156" t="s">
        <v>475</v>
      </c>
    </row>
    <row r="61" ht="39">
      <c r="A61" s="156" t="s">
        <v>476</v>
      </c>
    </row>
    <row r="62" ht="26.25">
      <c r="A62" s="156" t="s">
        <v>477</v>
      </c>
    </row>
    <row r="63" ht="39">
      <c r="A63" s="156" t="s">
        <v>478</v>
      </c>
    </row>
    <row r="64" ht="52.5">
      <c r="A64" s="157" t="s">
        <v>479</v>
      </c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  <headerFooter>
    <oddHeader>&amp;R8. melléklet a 8/2019.(V.31.)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A5" sqref="A5"/>
    </sheetView>
  </sheetViews>
  <sheetFormatPr defaultColWidth="9.140625" defaultRowHeight="15"/>
  <cols>
    <col min="1" max="1" width="64.140625" style="1" customWidth="1"/>
    <col min="2" max="2" width="15.421875" style="1" customWidth="1"/>
    <col min="3" max="3" width="14.7109375" style="1" customWidth="1"/>
    <col min="4" max="4" width="13.28125" style="1" customWidth="1"/>
    <col min="5" max="5" width="23.140625" style="1" customWidth="1"/>
    <col min="6" max="6" width="14.28125" style="1" customWidth="1"/>
    <col min="7" max="7" width="16.28125" style="1" customWidth="1"/>
    <col min="8" max="16384" width="9.140625" style="1" customWidth="1"/>
  </cols>
  <sheetData>
    <row r="1" spans="1:6" ht="25.5" customHeight="1">
      <c r="A1" s="190" t="s">
        <v>502</v>
      </c>
      <c r="B1" s="196"/>
      <c r="C1" s="196"/>
      <c r="D1" s="196"/>
      <c r="E1" s="196"/>
      <c r="F1" s="196"/>
    </row>
    <row r="2" spans="1:6" ht="82.5" customHeight="1">
      <c r="A2" s="197" t="s">
        <v>480</v>
      </c>
      <c r="B2" s="197"/>
      <c r="C2" s="197"/>
      <c r="D2" s="197"/>
      <c r="E2" s="197"/>
      <c r="F2" s="197"/>
    </row>
    <row r="3" spans="1:6" ht="20.25" customHeight="1">
      <c r="A3" s="158"/>
      <c r="B3" s="159"/>
      <c r="C3" s="159"/>
      <c r="D3" s="159"/>
      <c r="E3" s="159"/>
      <c r="F3" s="159"/>
    </row>
    <row r="4" ht="14.25">
      <c r="A4" s="147"/>
    </row>
    <row r="5" spans="1:7" ht="86.25" customHeight="1">
      <c r="A5" s="134" t="s">
        <v>44</v>
      </c>
      <c r="B5" s="135" t="s">
        <v>45</v>
      </c>
      <c r="C5" s="136" t="s">
        <v>465</v>
      </c>
      <c r="D5" s="136" t="s">
        <v>466</v>
      </c>
      <c r="E5" s="136" t="s">
        <v>481</v>
      </c>
      <c r="F5" s="160"/>
      <c r="G5" s="161"/>
    </row>
    <row r="6" spans="1:7" ht="14.25">
      <c r="A6" s="162" t="s">
        <v>416</v>
      </c>
      <c r="B6" s="141" t="s">
        <v>295</v>
      </c>
      <c r="C6" s="152">
        <v>43647</v>
      </c>
      <c r="D6" s="152">
        <v>45473</v>
      </c>
      <c r="E6" s="151">
        <v>30000000</v>
      </c>
      <c r="F6" s="163"/>
      <c r="G6" s="164"/>
    </row>
    <row r="7" spans="1:7" ht="14.25">
      <c r="A7" s="165" t="s">
        <v>482</v>
      </c>
      <c r="B7" s="165" t="s">
        <v>295</v>
      </c>
      <c r="C7" s="6"/>
      <c r="D7" s="6"/>
      <c r="E7" s="149"/>
      <c r="F7" s="163"/>
      <c r="G7" s="164"/>
    </row>
    <row r="8" spans="1:7" ht="26.25">
      <c r="A8" s="166" t="s">
        <v>296</v>
      </c>
      <c r="B8" s="141" t="s">
        <v>297</v>
      </c>
      <c r="C8" s="6"/>
      <c r="D8" s="6"/>
      <c r="E8" s="149"/>
      <c r="F8" s="163"/>
      <c r="G8" s="164"/>
    </row>
    <row r="9" spans="1:7" ht="14.25">
      <c r="A9" s="162" t="s">
        <v>451</v>
      </c>
      <c r="B9" s="141" t="s">
        <v>298</v>
      </c>
      <c r="C9" s="6"/>
      <c r="D9" s="6"/>
      <c r="E9" s="6"/>
      <c r="F9" s="163"/>
      <c r="G9" s="164"/>
    </row>
    <row r="10" spans="1:7" ht="14.25">
      <c r="A10" s="165" t="s">
        <v>482</v>
      </c>
      <c r="B10" s="165" t="s">
        <v>298</v>
      </c>
      <c r="C10" s="6"/>
      <c r="D10" s="6"/>
      <c r="E10" s="6"/>
      <c r="F10" s="163"/>
      <c r="G10" s="164"/>
    </row>
    <row r="11" spans="1:7" ht="14.25">
      <c r="A11" s="167" t="s">
        <v>2</v>
      </c>
      <c r="B11" s="168" t="s">
        <v>299</v>
      </c>
      <c r="C11" s="6"/>
      <c r="D11" s="6"/>
      <c r="E11" s="6"/>
      <c r="F11" s="163"/>
      <c r="G11" s="164"/>
    </row>
    <row r="12" spans="1:7" ht="14.25">
      <c r="A12" s="166" t="s">
        <v>483</v>
      </c>
      <c r="B12" s="141" t="s">
        <v>300</v>
      </c>
      <c r="C12" s="6"/>
      <c r="D12" s="6"/>
      <c r="E12" s="6"/>
      <c r="F12" s="163"/>
      <c r="G12" s="164"/>
    </row>
    <row r="13" spans="1:7" ht="14.25">
      <c r="A13" s="165" t="s">
        <v>484</v>
      </c>
      <c r="B13" s="165" t="s">
        <v>300</v>
      </c>
      <c r="C13" s="6"/>
      <c r="D13" s="6"/>
      <c r="E13" s="6"/>
      <c r="F13" s="163"/>
      <c r="G13" s="164"/>
    </row>
    <row r="14" spans="1:7" ht="14.25">
      <c r="A14" s="162" t="s">
        <v>301</v>
      </c>
      <c r="B14" s="141" t="s">
        <v>302</v>
      </c>
      <c r="C14" s="6"/>
      <c r="D14" s="6"/>
      <c r="E14" s="6"/>
      <c r="F14" s="163"/>
      <c r="G14" s="164"/>
    </row>
    <row r="15" spans="1:7" ht="14.25">
      <c r="A15" s="139" t="s">
        <v>485</v>
      </c>
      <c r="B15" s="141" t="s">
        <v>303</v>
      </c>
      <c r="C15" s="5"/>
      <c r="D15" s="5"/>
      <c r="E15" s="5"/>
      <c r="F15" s="169"/>
      <c r="G15" s="131"/>
    </row>
    <row r="16" spans="1:7" ht="14.25">
      <c r="A16" s="165" t="s">
        <v>486</v>
      </c>
      <c r="B16" s="165" t="s">
        <v>303</v>
      </c>
      <c r="C16" s="5"/>
      <c r="D16" s="5"/>
      <c r="E16" s="5"/>
      <c r="F16" s="169"/>
      <c r="G16" s="131"/>
    </row>
    <row r="17" spans="1:7" ht="14.25">
      <c r="A17" s="162" t="s">
        <v>304</v>
      </c>
      <c r="B17" s="141" t="s">
        <v>305</v>
      </c>
      <c r="C17" s="5"/>
      <c r="D17" s="5"/>
      <c r="E17" s="5"/>
      <c r="F17" s="169"/>
      <c r="G17" s="131"/>
    </row>
    <row r="18" spans="1:7" ht="14.25">
      <c r="A18" s="170" t="s">
        <v>3</v>
      </c>
      <c r="B18" s="168" t="s">
        <v>306</v>
      </c>
      <c r="C18" s="5"/>
      <c r="D18" s="5"/>
      <c r="E18" s="5"/>
      <c r="F18" s="169"/>
      <c r="G18" s="131"/>
    </row>
    <row r="19" spans="1:7" ht="14.25">
      <c r="A19" s="166" t="s">
        <v>320</v>
      </c>
      <c r="B19" s="141" t="s">
        <v>321</v>
      </c>
      <c r="C19" s="5"/>
      <c r="D19" s="5"/>
      <c r="E19" s="5"/>
      <c r="F19" s="169"/>
      <c r="G19" s="131"/>
    </row>
    <row r="20" spans="1:7" ht="14.25">
      <c r="A20" s="139" t="s">
        <v>322</v>
      </c>
      <c r="B20" s="141" t="s">
        <v>323</v>
      </c>
      <c r="C20" s="5"/>
      <c r="D20" s="5"/>
      <c r="E20" s="5"/>
      <c r="F20" s="169"/>
      <c r="G20" s="131"/>
    </row>
    <row r="21" spans="1:7" ht="14.25">
      <c r="A21" s="162" t="s">
        <v>324</v>
      </c>
      <c r="B21" s="141" t="s">
        <v>325</v>
      </c>
      <c r="C21" s="5"/>
      <c r="D21" s="5"/>
      <c r="E21" s="5"/>
      <c r="F21" s="169"/>
      <c r="G21" s="131"/>
    </row>
    <row r="22" spans="1:7" ht="14.25">
      <c r="A22" s="162" t="s">
        <v>421</v>
      </c>
      <c r="B22" s="141" t="s">
        <v>326</v>
      </c>
      <c r="C22" s="5"/>
      <c r="D22" s="5"/>
      <c r="E22" s="5"/>
      <c r="F22" s="169"/>
      <c r="G22" s="131"/>
    </row>
    <row r="23" spans="1:7" ht="14.25">
      <c r="A23" s="165" t="s">
        <v>487</v>
      </c>
      <c r="B23" s="165" t="s">
        <v>326</v>
      </c>
      <c r="C23" s="5"/>
      <c r="D23" s="5"/>
      <c r="E23" s="5"/>
      <c r="F23" s="169"/>
      <c r="G23" s="131"/>
    </row>
    <row r="24" spans="1:7" ht="14.25">
      <c r="A24" s="165" t="s">
        <v>488</v>
      </c>
      <c r="B24" s="165" t="s">
        <v>326</v>
      </c>
      <c r="C24" s="5"/>
      <c r="D24" s="5"/>
      <c r="E24" s="5"/>
      <c r="F24" s="169"/>
      <c r="G24" s="131"/>
    </row>
    <row r="25" spans="1:7" ht="14.25">
      <c r="A25" s="171" t="s">
        <v>489</v>
      </c>
      <c r="B25" s="171" t="s">
        <v>326</v>
      </c>
      <c r="C25" s="5"/>
      <c r="D25" s="5"/>
      <c r="E25" s="5"/>
      <c r="F25" s="169"/>
      <c r="G25" s="131"/>
    </row>
    <row r="26" spans="1:7" ht="14.25">
      <c r="A26" s="172" t="s">
        <v>6</v>
      </c>
      <c r="B26" s="173" t="s">
        <v>327</v>
      </c>
      <c r="C26" s="5"/>
      <c r="D26" s="5"/>
      <c r="E26" s="5"/>
      <c r="F26" s="169"/>
      <c r="G26" s="131"/>
    </row>
    <row r="27" spans="1:2" ht="14.25">
      <c r="A27" s="174"/>
      <c r="B27" s="175"/>
    </row>
    <row r="28" spans="1:6" ht="47.25" customHeight="1">
      <c r="A28" s="134" t="s">
        <v>44</v>
      </c>
      <c r="B28" s="135" t="s">
        <v>45</v>
      </c>
      <c r="C28" s="136" t="s">
        <v>490</v>
      </c>
      <c r="D28" s="136" t="s">
        <v>491</v>
      </c>
      <c r="E28" s="136" t="s">
        <v>492</v>
      </c>
      <c r="F28" s="136" t="s">
        <v>503</v>
      </c>
    </row>
    <row r="29" spans="1:6" ht="27">
      <c r="A29" s="137" t="s">
        <v>493</v>
      </c>
      <c r="B29" s="173"/>
      <c r="C29" s="138"/>
      <c r="D29" s="138"/>
      <c r="E29" s="138"/>
      <c r="F29" s="138"/>
    </row>
    <row r="30" spans="1:6" ht="14.25">
      <c r="A30" s="136" t="s">
        <v>494</v>
      </c>
      <c r="B30" s="173"/>
      <c r="C30" s="138">
        <v>21940000</v>
      </c>
      <c r="D30" s="138">
        <v>21940000</v>
      </c>
      <c r="E30" s="138">
        <v>21940000</v>
      </c>
      <c r="F30" s="138">
        <v>21940000</v>
      </c>
    </row>
    <row r="31" spans="1:6" ht="39.75">
      <c r="A31" s="136" t="s">
        <v>495</v>
      </c>
      <c r="B31" s="173"/>
      <c r="C31" s="138"/>
      <c r="D31" s="138"/>
      <c r="E31" s="138"/>
      <c r="F31" s="138"/>
    </row>
    <row r="32" spans="1:6" ht="14.25">
      <c r="A32" s="136" t="s">
        <v>496</v>
      </c>
      <c r="B32" s="173"/>
      <c r="C32" s="138"/>
      <c r="D32" s="138"/>
      <c r="E32" s="138"/>
      <c r="F32" s="138"/>
    </row>
    <row r="33" spans="1:6" ht="30.75" customHeight="1">
      <c r="A33" s="136" t="s">
        <v>497</v>
      </c>
      <c r="B33" s="173"/>
      <c r="C33" s="138"/>
      <c r="D33" s="138"/>
      <c r="E33" s="138"/>
      <c r="F33" s="138"/>
    </row>
    <row r="34" spans="1:6" ht="14.25">
      <c r="A34" s="136" t="s">
        <v>498</v>
      </c>
      <c r="B34" s="173"/>
      <c r="C34" s="138">
        <v>716000</v>
      </c>
      <c r="D34" s="138"/>
      <c r="E34" s="138"/>
      <c r="F34" s="138"/>
    </row>
    <row r="35" spans="1:6" ht="21" customHeight="1">
      <c r="A35" s="136" t="s">
        <v>499</v>
      </c>
      <c r="B35" s="173"/>
      <c r="C35" s="138"/>
      <c r="D35" s="138"/>
      <c r="E35" s="138"/>
      <c r="F35" s="138"/>
    </row>
    <row r="36" spans="1:6" ht="14.25">
      <c r="A36" s="170" t="s">
        <v>42</v>
      </c>
      <c r="B36" s="173"/>
      <c r="C36" s="138">
        <f>C30+C34</f>
        <v>22656000</v>
      </c>
      <c r="D36" s="138">
        <f>D30</f>
        <v>21940000</v>
      </c>
      <c r="E36" s="138">
        <f>E30</f>
        <v>21940000</v>
      </c>
      <c r="F36" s="138">
        <f>F30</f>
        <v>21940000</v>
      </c>
    </row>
    <row r="37" spans="1:2" ht="14.25">
      <c r="A37" s="174"/>
      <c r="B37" s="175"/>
    </row>
    <row r="38" spans="1:2" ht="14.25">
      <c r="A38" s="174"/>
      <c r="B38" s="175"/>
    </row>
    <row r="39" spans="1:5" ht="14.25">
      <c r="A39" s="199" t="s">
        <v>500</v>
      </c>
      <c r="B39" s="199"/>
      <c r="C39" s="199"/>
      <c r="D39" s="199"/>
      <c r="E39" s="199"/>
    </row>
    <row r="40" spans="1:5" ht="14.25">
      <c r="A40" s="199"/>
      <c r="B40" s="199"/>
      <c r="C40" s="199"/>
      <c r="D40" s="199"/>
      <c r="E40" s="199"/>
    </row>
    <row r="41" spans="1:5" ht="27.75" customHeight="1">
      <c r="A41" s="199"/>
      <c r="B41" s="199"/>
      <c r="C41" s="199"/>
      <c r="D41" s="199"/>
      <c r="E41" s="199"/>
    </row>
    <row r="42" spans="1:2" ht="14.25">
      <c r="A42" s="174"/>
      <c r="B42" s="175"/>
    </row>
  </sheetData>
  <sheetProtection/>
  <mergeCells count="3">
    <mergeCell ref="A1:F1"/>
    <mergeCell ref="A2:F2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headerFooter>
    <oddHeader>&amp;R9. melléklet a 8/2019.(V.31.) 
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A1" sqref="A1:F1"/>
    </sheetView>
  </sheetViews>
  <sheetFormatPr defaultColWidth="9.140625" defaultRowHeight="15"/>
  <cols>
    <col min="1" max="1" width="92.57421875" style="24" customWidth="1"/>
    <col min="2" max="2" width="9.140625" style="24" customWidth="1"/>
    <col min="3" max="3" width="16.421875" style="26" customWidth="1"/>
    <col min="4" max="4" width="16.00390625" style="26" customWidth="1"/>
    <col min="5" max="5" width="16.7109375" style="26" customWidth="1"/>
    <col min="6" max="6" width="19.421875" style="26" customWidth="1"/>
    <col min="7" max="16384" width="9.140625" style="24" customWidth="1"/>
  </cols>
  <sheetData>
    <row r="1" spans="1:6" s="50" customFormat="1" ht="15">
      <c r="A1" s="186" t="s">
        <v>512</v>
      </c>
      <c r="B1" s="187"/>
      <c r="C1" s="187"/>
      <c r="D1" s="187"/>
      <c r="E1" s="187"/>
      <c r="F1" s="187"/>
    </row>
    <row r="2" spans="3:6" s="50" customFormat="1" ht="15">
      <c r="C2" s="60"/>
      <c r="D2" s="60"/>
      <c r="E2" s="60"/>
      <c r="F2" s="60"/>
    </row>
    <row r="3" spans="1:6" ht="27" customHeight="1">
      <c r="A3" s="182" t="s">
        <v>447</v>
      </c>
      <c r="B3" s="188"/>
      <c r="C3" s="188"/>
      <c r="D3" s="188"/>
      <c r="E3" s="188"/>
      <c r="F3" s="189"/>
    </row>
    <row r="4" spans="1:6" ht="23.25" customHeight="1">
      <c r="A4" s="185" t="s">
        <v>435</v>
      </c>
      <c r="B4" s="188"/>
      <c r="C4" s="188"/>
      <c r="D4" s="188"/>
      <c r="E4" s="188"/>
      <c r="F4" s="189"/>
    </row>
    <row r="5" ht="15.75">
      <c r="A5" s="25"/>
    </row>
    <row r="6" spans="1:6" ht="15">
      <c r="A6" s="73" t="s">
        <v>442</v>
      </c>
      <c r="F6" s="26" t="s">
        <v>434</v>
      </c>
    </row>
    <row r="7" spans="1:6" ht="46.5">
      <c r="A7" s="27" t="s">
        <v>44</v>
      </c>
      <c r="B7" s="28" t="s">
        <v>43</v>
      </c>
      <c r="C7" s="29" t="s">
        <v>10</v>
      </c>
      <c r="D7" s="29" t="s">
        <v>11</v>
      </c>
      <c r="E7" s="29" t="s">
        <v>12</v>
      </c>
      <c r="F7" s="29" t="s">
        <v>40</v>
      </c>
    </row>
    <row r="8" spans="1:6" ht="15" customHeight="1">
      <c r="A8" s="33" t="s">
        <v>217</v>
      </c>
      <c r="B8" s="38" t="s">
        <v>218</v>
      </c>
      <c r="C8" s="67">
        <f>73825420+43618</f>
        <v>73869038</v>
      </c>
      <c r="D8" s="67"/>
      <c r="E8" s="67"/>
      <c r="F8" s="67">
        <f>C8+D8+E8</f>
        <v>73869038</v>
      </c>
    </row>
    <row r="9" spans="1:6" ht="15" customHeight="1">
      <c r="A9" s="34" t="s">
        <v>219</v>
      </c>
      <c r="B9" s="38" t="s">
        <v>220</v>
      </c>
      <c r="C9" s="67">
        <v>42529116</v>
      </c>
      <c r="D9" s="67"/>
      <c r="E9" s="67"/>
      <c r="F9" s="67">
        <f aca="true" t="shared" si="0" ref="F9:F73">C9+D9+E9</f>
        <v>42529116</v>
      </c>
    </row>
    <row r="10" spans="1:6" ht="15" customHeight="1">
      <c r="A10" s="34" t="s">
        <v>221</v>
      </c>
      <c r="B10" s="38" t="s">
        <v>222</v>
      </c>
      <c r="C10" s="67">
        <v>33628161</v>
      </c>
      <c r="D10" s="67"/>
      <c r="E10" s="67"/>
      <c r="F10" s="67">
        <f t="shared" si="0"/>
        <v>33628161</v>
      </c>
    </row>
    <row r="11" spans="1:6" ht="15" customHeight="1">
      <c r="A11" s="34" t="s">
        <v>223</v>
      </c>
      <c r="B11" s="38" t="s">
        <v>224</v>
      </c>
      <c r="C11" s="67">
        <v>1800000</v>
      </c>
      <c r="D11" s="67"/>
      <c r="E11" s="67"/>
      <c r="F11" s="67">
        <f t="shared" si="0"/>
        <v>1800000</v>
      </c>
    </row>
    <row r="12" spans="1:6" ht="15" customHeight="1">
      <c r="A12" s="34" t="s">
        <v>225</v>
      </c>
      <c r="B12" s="38" t="s">
        <v>226</v>
      </c>
      <c r="C12" s="67">
        <v>9752000</v>
      </c>
      <c r="D12" s="67"/>
      <c r="E12" s="67"/>
      <c r="F12" s="67">
        <f t="shared" si="0"/>
        <v>9752000</v>
      </c>
    </row>
    <row r="13" spans="1:6" ht="15" customHeight="1">
      <c r="A13" s="34" t="s">
        <v>227</v>
      </c>
      <c r="B13" s="38" t="s">
        <v>228</v>
      </c>
      <c r="C13" s="67">
        <v>332866</v>
      </c>
      <c r="D13" s="67"/>
      <c r="E13" s="67"/>
      <c r="F13" s="67">
        <f t="shared" si="0"/>
        <v>332866</v>
      </c>
    </row>
    <row r="14" spans="1:6" ht="15" customHeight="1">
      <c r="A14" s="39" t="s">
        <v>424</v>
      </c>
      <c r="B14" s="47" t="s">
        <v>229</v>
      </c>
      <c r="C14" s="67">
        <f>SUM(C8:C13)</f>
        <v>161911181</v>
      </c>
      <c r="D14" s="67"/>
      <c r="E14" s="67"/>
      <c r="F14" s="67">
        <f t="shared" si="0"/>
        <v>161911181</v>
      </c>
    </row>
    <row r="15" spans="1:6" ht="15" customHeight="1">
      <c r="A15" s="34" t="s">
        <v>230</v>
      </c>
      <c r="B15" s="38" t="s">
        <v>231</v>
      </c>
      <c r="C15" s="67"/>
      <c r="D15" s="67"/>
      <c r="E15" s="67"/>
      <c r="F15" s="67">
        <f t="shared" si="0"/>
        <v>0</v>
      </c>
    </row>
    <row r="16" spans="1:6" ht="15" customHeight="1">
      <c r="A16" s="34" t="s">
        <v>232</v>
      </c>
      <c r="B16" s="38" t="s">
        <v>233</v>
      </c>
      <c r="C16" s="67"/>
      <c r="D16" s="67"/>
      <c r="E16" s="67"/>
      <c r="F16" s="67">
        <f t="shared" si="0"/>
        <v>0</v>
      </c>
    </row>
    <row r="17" spans="1:6" ht="15" customHeight="1">
      <c r="A17" s="34" t="s">
        <v>386</v>
      </c>
      <c r="B17" s="38" t="s">
        <v>234</v>
      </c>
      <c r="C17" s="67"/>
      <c r="D17" s="67"/>
      <c r="E17" s="67"/>
      <c r="F17" s="67">
        <f t="shared" si="0"/>
        <v>0</v>
      </c>
    </row>
    <row r="18" spans="1:6" ht="15" customHeight="1">
      <c r="A18" s="34" t="s">
        <v>387</v>
      </c>
      <c r="B18" s="38" t="s">
        <v>235</v>
      </c>
      <c r="C18" s="67"/>
      <c r="D18" s="67"/>
      <c r="E18" s="67"/>
      <c r="F18" s="67">
        <f t="shared" si="0"/>
        <v>0</v>
      </c>
    </row>
    <row r="19" spans="1:6" ht="15" customHeight="1">
      <c r="A19" s="34" t="s">
        <v>388</v>
      </c>
      <c r="B19" s="38" t="s">
        <v>236</v>
      </c>
      <c r="C19" s="67">
        <v>50399515</v>
      </c>
      <c r="D19" s="67"/>
      <c r="E19" s="67"/>
      <c r="F19" s="67">
        <f t="shared" si="0"/>
        <v>50399515</v>
      </c>
    </row>
    <row r="20" spans="1:6" ht="15" customHeight="1">
      <c r="A20" s="39" t="s">
        <v>425</v>
      </c>
      <c r="B20" s="47" t="s">
        <v>237</v>
      </c>
      <c r="C20" s="68">
        <f>SUM(C14+C19)</f>
        <v>212310696</v>
      </c>
      <c r="D20" s="68"/>
      <c r="E20" s="68"/>
      <c r="F20" s="68">
        <f t="shared" si="0"/>
        <v>212310696</v>
      </c>
    </row>
    <row r="21" spans="1:6" ht="15" customHeight="1">
      <c r="A21" s="34" t="s">
        <v>238</v>
      </c>
      <c r="B21" s="38" t="s">
        <v>239</v>
      </c>
      <c r="C21" s="67"/>
      <c r="D21" s="67"/>
      <c r="E21" s="67"/>
      <c r="F21" s="67">
        <f t="shared" si="0"/>
        <v>0</v>
      </c>
    </row>
    <row r="22" spans="1:6" ht="15" customHeight="1">
      <c r="A22" s="34" t="s">
        <v>240</v>
      </c>
      <c r="B22" s="38" t="s">
        <v>241</v>
      </c>
      <c r="C22" s="67"/>
      <c r="D22" s="67"/>
      <c r="E22" s="67"/>
      <c r="F22" s="67">
        <f t="shared" si="0"/>
        <v>0</v>
      </c>
    </row>
    <row r="23" spans="1:6" ht="15" customHeight="1">
      <c r="A23" s="34" t="s">
        <v>389</v>
      </c>
      <c r="B23" s="38" t="s">
        <v>242</v>
      </c>
      <c r="C23" s="67"/>
      <c r="D23" s="67"/>
      <c r="E23" s="67"/>
      <c r="F23" s="67">
        <f t="shared" si="0"/>
        <v>0</v>
      </c>
    </row>
    <row r="24" spans="1:6" ht="15" customHeight="1">
      <c r="A24" s="34" t="s">
        <v>390</v>
      </c>
      <c r="B24" s="38" t="s">
        <v>243</v>
      </c>
      <c r="C24" s="67"/>
      <c r="D24" s="67"/>
      <c r="E24" s="67"/>
      <c r="F24" s="67">
        <f t="shared" si="0"/>
        <v>0</v>
      </c>
    </row>
    <row r="25" spans="1:6" ht="15" customHeight="1">
      <c r="A25" s="34" t="s">
        <v>391</v>
      </c>
      <c r="B25" s="38" t="s">
        <v>244</v>
      </c>
      <c r="C25" s="67"/>
      <c r="D25" s="67"/>
      <c r="E25" s="67"/>
      <c r="F25" s="67">
        <f t="shared" si="0"/>
        <v>0</v>
      </c>
    </row>
    <row r="26" spans="1:6" ht="15" customHeight="1">
      <c r="A26" s="39" t="s">
        <v>426</v>
      </c>
      <c r="B26" s="47" t="s">
        <v>245</v>
      </c>
      <c r="C26" s="67"/>
      <c r="D26" s="67"/>
      <c r="E26" s="67"/>
      <c r="F26" s="67">
        <f t="shared" si="0"/>
        <v>0</v>
      </c>
    </row>
    <row r="27" spans="1:6" ht="15" customHeight="1">
      <c r="A27" s="34" t="s">
        <v>392</v>
      </c>
      <c r="B27" s="38" t="s">
        <v>246</v>
      </c>
      <c r="C27" s="67"/>
      <c r="D27" s="67"/>
      <c r="E27" s="67"/>
      <c r="F27" s="67">
        <f t="shared" si="0"/>
        <v>0</v>
      </c>
    </row>
    <row r="28" spans="1:6" ht="15" customHeight="1">
      <c r="A28" s="34" t="s">
        <v>393</v>
      </c>
      <c r="B28" s="38" t="s">
        <v>247</v>
      </c>
      <c r="C28" s="67"/>
      <c r="D28" s="67"/>
      <c r="E28" s="67"/>
      <c r="F28" s="67">
        <f t="shared" si="0"/>
        <v>0</v>
      </c>
    </row>
    <row r="29" spans="1:6" ht="15" customHeight="1">
      <c r="A29" s="39" t="s">
        <v>427</v>
      </c>
      <c r="B29" s="47" t="s">
        <v>248</v>
      </c>
      <c r="C29" s="67"/>
      <c r="D29" s="67"/>
      <c r="E29" s="67"/>
      <c r="F29" s="67">
        <f t="shared" si="0"/>
        <v>0</v>
      </c>
    </row>
    <row r="30" spans="1:6" ht="15" customHeight="1">
      <c r="A30" s="34" t="s">
        <v>394</v>
      </c>
      <c r="B30" s="38" t="s">
        <v>249</v>
      </c>
      <c r="C30" s="67"/>
      <c r="D30" s="67"/>
      <c r="E30" s="67"/>
      <c r="F30" s="67">
        <f t="shared" si="0"/>
        <v>0</v>
      </c>
    </row>
    <row r="31" spans="1:6" ht="15" customHeight="1">
      <c r="A31" s="34" t="s">
        <v>395</v>
      </c>
      <c r="B31" s="38" t="s">
        <v>250</v>
      </c>
      <c r="C31" s="67"/>
      <c r="D31" s="67"/>
      <c r="E31" s="67"/>
      <c r="F31" s="67">
        <f t="shared" si="0"/>
        <v>0</v>
      </c>
    </row>
    <row r="32" spans="1:6" ht="15" customHeight="1">
      <c r="A32" s="34" t="s">
        <v>396</v>
      </c>
      <c r="B32" s="38" t="s">
        <v>251</v>
      </c>
      <c r="C32" s="67"/>
      <c r="D32" s="67"/>
      <c r="E32" s="67"/>
      <c r="F32" s="67">
        <f t="shared" si="0"/>
        <v>0</v>
      </c>
    </row>
    <row r="33" spans="1:6" ht="15" customHeight="1">
      <c r="A33" s="34" t="s">
        <v>397</v>
      </c>
      <c r="B33" s="38" t="s">
        <v>252</v>
      </c>
      <c r="C33" s="67">
        <v>16400000</v>
      </c>
      <c r="D33" s="67"/>
      <c r="E33" s="67"/>
      <c r="F33" s="67">
        <f t="shared" si="0"/>
        <v>16400000</v>
      </c>
    </row>
    <row r="34" spans="1:6" ht="15" customHeight="1">
      <c r="A34" s="34" t="s">
        <v>398</v>
      </c>
      <c r="B34" s="38" t="s">
        <v>253</v>
      </c>
      <c r="C34" s="67"/>
      <c r="D34" s="67"/>
      <c r="E34" s="67"/>
      <c r="F34" s="67">
        <f t="shared" si="0"/>
        <v>0</v>
      </c>
    </row>
    <row r="35" spans="1:6" ht="15" customHeight="1">
      <c r="A35" s="34" t="s">
        <v>254</v>
      </c>
      <c r="B35" s="38" t="s">
        <v>255</v>
      </c>
      <c r="C35" s="67"/>
      <c r="D35" s="67"/>
      <c r="E35" s="67"/>
      <c r="F35" s="67">
        <f t="shared" si="0"/>
        <v>0</v>
      </c>
    </row>
    <row r="36" spans="1:6" ht="15" customHeight="1">
      <c r="A36" s="34" t="s">
        <v>399</v>
      </c>
      <c r="B36" s="38" t="s">
        <v>256</v>
      </c>
      <c r="C36" s="67">
        <v>5000000</v>
      </c>
      <c r="D36" s="67"/>
      <c r="E36" s="67"/>
      <c r="F36" s="67">
        <f t="shared" si="0"/>
        <v>5000000</v>
      </c>
    </row>
    <row r="37" spans="1:6" ht="15" customHeight="1">
      <c r="A37" s="34" t="s">
        <v>400</v>
      </c>
      <c r="B37" s="38" t="s">
        <v>257</v>
      </c>
      <c r="C37" s="67">
        <v>540000</v>
      </c>
      <c r="D37" s="67"/>
      <c r="E37" s="67"/>
      <c r="F37" s="67">
        <f t="shared" si="0"/>
        <v>540000</v>
      </c>
    </row>
    <row r="38" spans="1:6" ht="15" customHeight="1">
      <c r="A38" s="39" t="s">
        <v>428</v>
      </c>
      <c r="B38" s="47" t="s">
        <v>258</v>
      </c>
      <c r="C38" s="67">
        <f>SUM(C33:C37)</f>
        <v>21940000</v>
      </c>
      <c r="D38" s="67"/>
      <c r="E38" s="67"/>
      <c r="F38" s="67">
        <f t="shared" si="0"/>
        <v>21940000</v>
      </c>
    </row>
    <row r="39" spans="1:6" ht="15" customHeight="1">
      <c r="A39" s="34" t="s">
        <v>401</v>
      </c>
      <c r="B39" s="38" t="s">
        <v>259</v>
      </c>
      <c r="C39" s="67">
        <v>716000</v>
      </c>
      <c r="D39" s="67"/>
      <c r="E39" s="67"/>
      <c r="F39" s="67">
        <f t="shared" si="0"/>
        <v>716000</v>
      </c>
    </row>
    <row r="40" spans="1:6" ht="15" customHeight="1">
      <c r="A40" s="39" t="s">
        <v>429</v>
      </c>
      <c r="B40" s="47" t="s">
        <v>260</v>
      </c>
      <c r="C40" s="68">
        <f>SUM(C38:C39)</f>
        <v>22656000</v>
      </c>
      <c r="D40" s="68"/>
      <c r="E40" s="68"/>
      <c r="F40" s="68">
        <f t="shared" si="0"/>
        <v>22656000</v>
      </c>
    </row>
    <row r="41" spans="1:6" ht="15" customHeight="1">
      <c r="A41" s="41" t="s">
        <v>261</v>
      </c>
      <c r="B41" s="38" t="s">
        <v>262</v>
      </c>
      <c r="C41" s="67"/>
      <c r="D41" s="67"/>
      <c r="E41" s="67"/>
      <c r="F41" s="67">
        <f t="shared" si="0"/>
        <v>0</v>
      </c>
    </row>
    <row r="42" spans="1:6" ht="15" customHeight="1">
      <c r="A42" s="41" t="s">
        <v>402</v>
      </c>
      <c r="B42" s="38" t="s">
        <v>263</v>
      </c>
      <c r="C42" s="67">
        <f>5294905+337000+400000+1000000</f>
        <v>7031905</v>
      </c>
      <c r="D42" s="67"/>
      <c r="E42" s="67"/>
      <c r="F42" s="67">
        <f t="shared" si="0"/>
        <v>7031905</v>
      </c>
    </row>
    <row r="43" spans="1:6" ht="15" customHeight="1">
      <c r="A43" s="41" t="s">
        <v>403</v>
      </c>
      <c r="B43" s="38" t="s">
        <v>264</v>
      </c>
      <c r="C43" s="67"/>
      <c r="D43" s="67"/>
      <c r="E43" s="67"/>
      <c r="F43" s="67">
        <f t="shared" si="0"/>
        <v>0</v>
      </c>
    </row>
    <row r="44" spans="1:6" ht="15" customHeight="1">
      <c r="A44" s="41" t="s">
        <v>404</v>
      </c>
      <c r="B44" s="38" t="s">
        <v>265</v>
      </c>
      <c r="C44" s="67">
        <v>0</v>
      </c>
      <c r="D44" s="67">
        <f>5321283+1145000</f>
        <v>6466283</v>
      </c>
      <c r="E44" s="67"/>
      <c r="F44" s="67">
        <f t="shared" si="0"/>
        <v>6466283</v>
      </c>
    </row>
    <row r="45" spans="1:6" ht="15" customHeight="1">
      <c r="A45" s="41" t="s">
        <v>266</v>
      </c>
      <c r="B45" s="38" t="s">
        <v>267</v>
      </c>
      <c r="C45" s="67"/>
      <c r="D45" s="67"/>
      <c r="E45" s="67"/>
      <c r="F45" s="67">
        <f t="shared" si="0"/>
        <v>0</v>
      </c>
    </row>
    <row r="46" spans="1:6" ht="15" customHeight="1">
      <c r="A46" s="41" t="s">
        <v>268</v>
      </c>
      <c r="B46" s="38" t="s">
        <v>269</v>
      </c>
      <c r="C46" s="67"/>
      <c r="D46" s="67"/>
      <c r="E46" s="67"/>
      <c r="F46" s="67">
        <f t="shared" si="0"/>
        <v>0</v>
      </c>
    </row>
    <row r="47" spans="1:6" ht="15" customHeight="1">
      <c r="A47" s="41" t="s">
        <v>270</v>
      </c>
      <c r="B47" s="38" t="s">
        <v>271</v>
      </c>
      <c r="C47" s="67"/>
      <c r="D47" s="67"/>
      <c r="E47" s="67"/>
      <c r="F47" s="67">
        <f t="shared" si="0"/>
        <v>0</v>
      </c>
    </row>
    <row r="48" spans="1:6" ht="15" customHeight="1">
      <c r="A48" s="41" t="s">
        <v>405</v>
      </c>
      <c r="B48" s="38" t="s">
        <v>272</v>
      </c>
      <c r="C48" s="67"/>
      <c r="D48" s="67"/>
      <c r="E48" s="67"/>
      <c r="F48" s="67">
        <f t="shared" si="0"/>
        <v>0</v>
      </c>
    </row>
    <row r="49" spans="1:6" ht="15" customHeight="1">
      <c r="A49" s="41" t="s">
        <v>406</v>
      </c>
      <c r="B49" s="38" t="s">
        <v>273</v>
      </c>
      <c r="C49" s="67"/>
      <c r="D49" s="67"/>
      <c r="E49" s="67"/>
      <c r="F49" s="67">
        <f t="shared" si="0"/>
        <v>0</v>
      </c>
    </row>
    <row r="50" spans="1:6" ht="15" customHeight="1">
      <c r="A50" s="41" t="s">
        <v>437</v>
      </c>
      <c r="B50" s="38" t="s">
        <v>274</v>
      </c>
      <c r="C50" s="67"/>
      <c r="D50" s="67"/>
      <c r="E50" s="67"/>
      <c r="F50" s="67"/>
    </row>
    <row r="51" spans="1:6" ht="15" customHeight="1">
      <c r="A51" s="41" t="s">
        <v>407</v>
      </c>
      <c r="B51" s="38" t="s">
        <v>436</v>
      </c>
      <c r="C51" s="67"/>
      <c r="D51" s="67"/>
      <c r="E51" s="67"/>
      <c r="F51" s="67">
        <f t="shared" si="0"/>
        <v>0</v>
      </c>
    </row>
    <row r="52" spans="1:6" ht="15" customHeight="1">
      <c r="A52" s="43" t="s">
        <v>430</v>
      </c>
      <c r="B52" s="47" t="s">
        <v>275</v>
      </c>
      <c r="C52" s="68">
        <f>C41+C42+C43+C44+C45+C46+C47+C48+C49+C50+C51</f>
        <v>7031905</v>
      </c>
      <c r="D52" s="68">
        <f>D44</f>
        <v>6466283</v>
      </c>
      <c r="E52" s="68"/>
      <c r="F52" s="68">
        <f t="shared" si="0"/>
        <v>13498188</v>
      </c>
    </row>
    <row r="53" spans="1:6" ht="15" customHeight="1">
      <c r="A53" s="41" t="s">
        <v>408</v>
      </c>
      <c r="B53" s="38" t="s">
        <v>276</v>
      </c>
      <c r="C53" s="67"/>
      <c r="D53" s="67"/>
      <c r="E53" s="67"/>
      <c r="F53" s="67">
        <f t="shared" si="0"/>
        <v>0</v>
      </c>
    </row>
    <row r="54" spans="1:6" ht="15" customHeight="1">
      <c r="A54" s="41" t="s">
        <v>409</v>
      </c>
      <c r="B54" s="38" t="s">
        <v>277</v>
      </c>
      <c r="C54" s="67"/>
      <c r="D54" s="67"/>
      <c r="E54" s="67"/>
      <c r="F54" s="67">
        <f t="shared" si="0"/>
        <v>0</v>
      </c>
    </row>
    <row r="55" spans="1:6" ht="15" customHeight="1">
      <c r="A55" s="41" t="s">
        <v>278</v>
      </c>
      <c r="B55" s="38" t="s">
        <v>279</v>
      </c>
      <c r="C55" s="67"/>
      <c r="D55" s="67"/>
      <c r="E55" s="67"/>
      <c r="F55" s="67">
        <f t="shared" si="0"/>
        <v>0</v>
      </c>
    </row>
    <row r="56" spans="1:6" ht="15" customHeight="1">
      <c r="A56" s="41" t="s">
        <v>410</v>
      </c>
      <c r="B56" s="38" t="s">
        <v>280</v>
      </c>
      <c r="C56" s="67"/>
      <c r="D56" s="67"/>
      <c r="E56" s="67"/>
      <c r="F56" s="67">
        <f t="shared" si="0"/>
        <v>0</v>
      </c>
    </row>
    <row r="57" spans="1:6" ht="15" customHeight="1">
      <c r="A57" s="41" t="s">
        <v>281</v>
      </c>
      <c r="B57" s="38" t="s">
        <v>282</v>
      </c>
      <c r="C57" s="67"/>
      <c r="D57" s="67"/>
      <c r="E57" s="67"/>
      <c r="F57" s="67">
        <f t="shared" si="0"/>
        <v>0</v>
      </c>
    </row>
    <row r="58" spans="1:6" ht="15" customHeight="1">
      <c r="A58" s="39" t="s">
        <v>431</v>
      </c>
      <c r="B58" s="47" t="s">
        <v>283</v>
      </c>
      <c r="C58" s="67"/>
      <c r="D58" s="67"/>
      <c r="E58" s="67"/>
      <c r="F58" s="67">
        <f t="shared" si="0"/>
        <v>0</v>
      </c>
    </row>
    <row r="59" spans="1:6" ht="15" customHeight="1">
      <c r="A59" s="41" t="s">
        <v>284</v>
      </c>
      <c r="B59" s="38" t="s">
        <v>285</v>
      </c>
      <c r="C59" s="67"/>
      <c r="D59" s="67"/>
      <c r="E59" s="67"/>
      <c r="F59" s="67">
        <f t="shared" si="0"/>
        <v>0</v>
      </c>
    </row>
    <row r="60" spans="1:6" ht="15" customHeight="1">
      <c r="A60" s="34" t="s">
        <v>411</v>
      </c>
      <c r="B60" s="38" t="s">
        <v>286</v>
      </c>
      <c r="C60" s="67"/>
      <c r="D60" s="67"/>
      <c r="E60" s="67"/>
      <c r="F60" s="67">
        <f t="shared" si="0"/>
        <v>0</v>
      </c>
    </row>
    <row r="61" spans="1:6" ht="15" customHeight="1">
      <c r="A61" s="41" t="s">
        <v>412</v>
      </c>
      <c r="B61" s="38" t="s">
        <v>287</v>
      </c>
      <c r="C61" s="67"/>
      <c r="D61" s="67"/>
      <c r="E61" s="67"/>
      <c r="F61" s="67">
        <f t="shared" si="0"/>
        <v>0</v>
      </c>
    </row>
    <row r="62" spans="1:6" ht="15" customHeight="1">
      <c r="A62" s="39" t="s">
        <v>432</v>
      </c>
      <c r="B62" s="47" t="s">
        <v>288</v>
      </c>
      <c r="C62" s="67">
        <f>SUM(C59:C61)</f>
        <v>0</v>
      </c>
      <c r="D62" s="67"/>
      <c r="E62" s="67"/>
      <c r="F62" s="67">
        <f t="shared" si="0"/>
        <v>0</v>
      </c>
    </row>
    <row r="63" spans="1:6" ht="15" customHeight="1">
      <c r="A63" s="41" t="s">
        <v>289</v>
      </c>
      <c r="B63" s="38" t="s">
        <v>290</v>
      </c>
      <c r="C63" s="67"/>
      <c r="D63" s="67"/>
      <c r="E63" s="67"/>
      <c r="F63" s="67">
        <f t="shared" si="0"/>
        <v>0</v>
      </c>
    </row>
    <row r="64" spans="1:6" ht="15" customHeight="1">
      <c r="A64" s="34" t="s">
        <v>413</v>
      </c>
      <c r="B64" s="38" t="s">
        <v>291</v>
      </c>
      <c r="C64" s="67"/>
      <c r="D64" s="67"/>
      <c r="E64" s="67"/>
      <c r="F64" s="67">
        <f t="shared" si="0"/>
        <v>0</v>
      </c>
    </row>
    <row r="65" spans="1:6" ht="15" customHeight="1">
      <c r="A65" s="41" t="s">
        <v>414</v>
      </c>
      <c r="B65" s="38" t="s">
        <v>292</v>
      </c>
      <c r="C65" s="67"/>
      <c r="D65" s="67"/>
      <c r="E65" s="67"/>
      <c r="F65" s="67">
        <f t="shared" si="0"/>
        <v>0</v>
      </c>
    </row>
    <row r="66" spans="1:6" ht="15" customHeight="1">
      <c r="A66" s="39" t="s">
        <v>1</v>
      </c>
      <c r="B66" s="47" t="s">
        <v>293</v>
      </c>
      <c r="C66" s="67">
        <f>SUM(C65)</f>
        <v>0</v>
      </c>
      <c r="D66" s="67"/>
      <c r="E66" s="67"/>
      <c r="F66" s="67">
        <f t="shared" si="0"/>
        <v>0</v>
      </c>
    </row>
    <row r="67" spans="1:6" ht="15">
      <c r="A67" s="62" t="s">
        <v>0</v>
      </c>
      <c r="B67" s="18" t="s">
        <v>294</v>
      </c>
      <c r="C67" s="37">
        <f>C20+C26+C40+C52+C58+C62+C66</f>
        <v>241998601</v>
      </c>
      <c r="D67" s="37">
        <f>D20+D26+D40+D52+D58+D62+D66</f>
        <v>6466283</v>
      </c>
      <c r="E67" s="37">
        <f>E20+E26+E40+E52+E58+E62+E66</f>
        <v>0</v>
      </c>
      <c r="F67" s="37">
        <f>F20+F26+F40+F52+F58+F62+F66</f>
        <v>248464884</v>
      </c>
    </row>
    <row r="68" spans="1:6" ht="15">
      <c r="A68" s="63" t="s">
        <v>17</v>
      </c>
      <c r="B68" s="64"/>
      <c r="C68" s="68">
        <f>C20+C40+C52+C62</f>
        <v>241998601</v>
      </c>
      <c r="D68" s="68">
        <f>D20+D40+D52+D62</f>
        <v>6466283</v>
      </c>
      <c r="E68" s="68">
        <f>E20+E40+E52+E62</f>
        <v>0</v>
      </c>
      <c r="F68" s="68">
        <f>F20+F40+F52+F62</f>
        <v>248464884</v>
      </c>
    </row>
    <row r="69" spans="1:6" ht="15">
      <c r="A69" s="63" t="s">
        <v>18</v>
      </c>
      <c r="B69" s="64"/>
      <c r="C69" s="67">
        <f>C26+C58+C66</f>
        <v>0</v>
      </c>
      <c r="D69" s="67">
        <f>D26+D58+D66</f>
        <v>0</v>
      </c>
      <c r="E69" s="67">
        <f>E26+E58+E66</f>
        <v>0</v>
      </c>
      <c r="F69" s="67">
        <f>F26+F58+F66</f>
        <v>0</v>
      </c>
    </row>
    <row r="70" spans="1:6" ht="15">
      <c r="A70" s="53" t="s">
        <v>416</v>
      </c>
      <c r="B70" s="34" t="s">
        <v>295</v>
      </c>
      <c r="C70" s="67">
        <v>30000000</v>
      </c>
      <c r="D70" s="67"/>
      <c r="E70" s="67"/>
      <c r="F70" s="67">
        <f t="shared" si="0"/>
        <v>30000000</v>
      </c>
    </row>
    <row r="71" spans="1:6" ht="15">
      <c r="A71" s="41" t="s">
        <v>296</v>
      </c>
      <c r="B71" s="34" t="s">
        <v>297</v>
      </c>
      <c r="C71" s="67"/>
      <c r="D71" s="67"/>
      <c r="E71" s="67"/>
      <c r="F71" s="67">
        <f t="shared" si="0"/>
        <v>0</v>
      </c>
    </row>
    <row r="72" spans="1:6" ht="15">
      <c r="A72" s="53" t="s">
        <v>417</v>
      </c>
      <c r="B72" s="34" t="s">
        <v>298</v>
      </c>
      <c r="C72" s="67"/>
      <c r="D72" s="67"/>
      <c r="E72" s="67"/>
      <c r="F72" s="67">
        <f t="shared" si="0"/>
        <v>0</v>
      </c>
    </row>
    <row r="73" spans="1:6" ht="15">
      <c r="A73" s="43" t="s">
        <v>2</v>
      </c>
      <c r="B73" s="39" t="s">
        <v>299</v>
      </c>
      <c r="C73" s="68">
        <f>C70+C71+C72</f>
        <v>30000000</v>
      </c>
      <c r="D73" s="68"/>
      <c r="E73" s="68"/>
      <c r="F73" s="68">
        <f t="shared" si="0"/>
        <v>30000000</v>
      </c>
    </row>
    <row r="74" spans="1:6" ht="15">
      <c r="A74" s="41" t="s">
        <v>418</v>
      </c>
      <c r="B74" s="34" t="s">
        <v>300</v>
      </c>
      <c r="C74" s="67"/>
      <c r="D74" s="67"/>
      <c r="E74" s="67"/>
      <c r="F74" s="67">
        <f aca="true" t="shared" si="1" ref="F74:F97">C74+D74+E74</f>
        <v>0</v>
      </c>
    </row>
    <row r="75" spans="1:6" ht="15">
      <c r="A75" s="53" t="s">
        <v>301</v>
      </c>
      <c r="B75" s="34" t="s">
        <v>302</v>
      </c>
      <c r="C75" s="67"/>
      <c r="D75" s="67"/>
      <c r="E75" s="67"/>
      <c r="F75" s="67">
        <f t="shared" si="1"/>
        <v>0</v>
      </c>
    </row>
    <row r="76" spans="1:6" ht="15">
      <c r="A76" s="41" t="s">
        <v>419</v>
      </c>
      <c r="B76" s="34" t="s">
        <v>303</v>
      </c>
      <c r="C76" s="67"/>
      <c r="D76" s="67"/>
      <c r="E76" s="67"/>
      <c r="F76" s="67">
        <f t="shared" si="1"/>
        <v>0</v>
      </c>
    </row>
    <row r="77" spans="1:6" ht="15">
      <c r="A77" s="53" t="s">
        <v>304</v>
      </c>
      <c r="B77" s="34" t="s">
        <v>305</v>
      </c>
      <c r="C77" s="67"/>
      <c r="D77" s="67"/>
      <c r="E77" s="67"/>
      <c r="F77" s="67">
        <f t="shared" si="1"/>
        <v>0</v>
      </c>
    </row>
    <row r="78" spans="1:6" ht="15">
      <c r="A78" s="57" t="s">
        <v>3</v>
      </c>
      <c r="B78" s="39" t="s">
        <v>306</v>
      </c>
      <c r="C78" s="67"/>
      <c r="D78" s="67"/>
      <c r="E78" s="67"/>
      <c r="F78" s="67">
        <f t="shared" si="1"/>
        <v>0</v>
      </c>
    </row>
    <row r="79" spans="1:6" ht="15">
      <c r="A79" s="34" t="s">
        <v>15</v>
      </c>
      <c r="B79" s="34" t="s">
        <v>307</v>
      </c>
      <c r="C79" s="67">
        <v>32047794</v>
      </c>
      <c r="D79" s="67"/>
      <c r="E79" s="67"/>
      <c r="F79" s="67">
        <f t="shared" si="1"/>
        <v>32047794</v>
      </c>
    </row>
    <row r="80" spans="1:6" ht="15">
      <c r="A80" s="34" t="s">
        <v>16</v>
      </c>
      <c r="B80" s="34" t="s">
        <v>307</v>
      </c>
      <c r="C80" s="67">
        <v>137044045</v>
      </c>
      <c r="D80" s="67"/>
      <c r="E80" s="67"/>
      <c r="F80" s="67">
        <f t="shared" si="1"/>
        <v>137044045</v>
      </c>
    </row>
    <row r="81" spans="1:6" ht="15">
      <c r="A81" s="34" t="s">
        <v>13</v>
      </c>
      <c r="B81" s="34" t="s">
        <v>308</v>
      </c>
      <c r="C81" s="67"/>
      <c r="D81" s="67"/>
      <c r="E81" s="67"/>
      <c r="F81" s="67">
        <f t="shared" si="1"/>
        <v>0</v>
      </c>
    </row>
    <row r="82" spans="1:6" ht="15">
      <c r="A82" s="34" t="s">
        <v>14</v>
      </c>
      <c r="B82" s="34" t="s">
        <v>308</v>
      </c>
      <c r="C82" s="67"/>
      <c r="D82" s="67"/>
      <c r="E82" s="67"/>
      <c r="F82" s="67">
        <f t="shared" si="1"/>
        <v>0</v>
      </c>
    </row>
    <row r="83" spans="1:6" ht="15">
      <c r="A83" s="39" t="s">
        <v>4</v>
      </c>
      <c r="B83" s="39" t="s">
        <v>309</v>
      </c>
      <c r="C83" s="68">
        <f>SUM(C79:C82)</f>
        <v>169091839</v>
      </c>
      <c r="D83" s="68"/>
      <c r="E83" s="68"/>
      <c r="F83" s="68">
        <f t="shared" si="1"/>
        <v>169091839</v>
      </c>
    </row>
    <row r="84" spans="1:6" ht="15">
      <c r="A84" s="53" t="s">
        <v>310</v>
      </c>
      <c r="B84" s="34" t="s">
        <v>311</v>
      </c>
      <c r="C84" s="67"/>
      <c r="D84" s="67"/>
      <c r="E84" s="67"/>
      <c r="F84" s="67">
        <f t="shared" si="1"/>
        <v>0</v>
      </c>
    </row>
    <row r="85" spans="1:6" ht="15">
      <c r="A85" s="53" t="s">
        <v>312</v>
      </c>
      <c r="B85" s="34" t="s">
        <v>313</v>
      </c>
      <c r="C85" s="67"/>
      <c r="D85" s="67"/>
      <c r="E85" s="67"/>
      <c r="F85" s="67">
        <f t="shared" si="1"/>
        <v>0</v>
      </c>
    </row>
    <row r="86" spans="1:6" ht="15">
      <c r="A86" s="53" t="s">
        <v>314</v>
      </c>
      <c r="B86" s="34" t="s">
        <v>315</v>
      </c>
      <c r="C86" s="67"/>
      <c r="D86" s="67"/>
      <c r="E86" s="67"/>
      <c r="F86" s="67">
        <f t="shared" si="1"/>
        <v>0</v>
      </c>
    </row>
    <row r="87" spans="1:6" ht="15">
      <c r="A87" s="53" t="s">
        <v>316</v>
      </c>
      <c r="B87" s="34" t="s">
        <v>317</v>
      </c>
      <c r="C87" s="67"/>
      <c r="D87" s="67"/>
      <c r="E87" s="67"/>
      <c r="F87" s="67">
        <f t="shared" si="1"/>
        <v>0</v>
      </c>
    </row>
    <row r="88" spans="1:6" ht="15">
      <c r="A88" s="41" t="s">
        <v>420</v>
      </c>
      <c r="B88" s="34" t="s">
        <v>318</v>
      </c>
      <c r="C88" s="67"/>
      <c r="D88" s="67"/>
      <c r="E88" s="67"/>
      <c r="F88" s="67">
        <f t="shared" si="1"/>
        <v>0</v>
      </c>
    </row>
    <row r="89" spans="1:6" ht="15">
      <c r="A89" s="43" t="s">
        <v>5</v>
      </c>
      <c r="B89" s="39" t="s">
        <v>319</v>
      </c>
      <c r="C89" s="67"/>
      <c r="D89" s="67"/>
      <c r="E89" s="67"/>
      <c r="F89" s="67">
        <f t="shared" si="1"/>
        <v>0</v>
      </c>
    </row>
    <row r="90" spans="1:6" ht="15">
      <c r="A90" s="41" t="s">
        <v>320</v>
      </c>
      <c r="B90" s="34" t="s">
        <v>321</v>
      </c>
      <c r="C90" s="67"/>
      <c r="D90" s="67"/>
      <c r="E90" s="67"/>
      <c r="F90" s="67">
        <f t="shared" si="1"/>
        <v>0</v>
      </c>
    </row>
    <row r="91" spans="1:6" ht="15">
      <c r="A91" s="41" t="s">
        <v>322</v>
      </c>
      <c r="B91" s="34" t="s">
        <v>323</v>
      </c>
      <c r="C91" s="67"/>
      <c r="D91" s="67"/>
      <c r="E91" s="67"/>
      <c r="F91" s="67">
        <f t="shared" si="1"/>
        <v>0</v>
      </c>
    </row>
    <row r="92" spans="1:6" ht="15">
      <c r="A92" s="53" t="s">
        <v>324</v>
      </c>
      <c r="B92" s="34" t="s">
        <v>325</v>
      </c>
      <c r="C92" s="67"/>
      <c r="D92" s="67"/>
      <c r="E92" s="67"/>
      <c r="F92" s="67">
        <f t="shared" si="1"/>
        <v>0</v>
      </c>
    </row>
    <row r="93" spans="1:6" ht="15">
      <c r="A93" s="53" t="s">
        <v>421</v>
      </c>
      <c r="B93" s="34" t="s">
        <v>326</v>
      </c>
      <c r="C93" s="67"/>
      <c r="D93" s="67"/>
      <c r="E93" s="67"/>
      <c r="F93" s="67">
        <f t="shared" si="1"/>
        <v>0</v>
      </c>
    </row>
    <row r="94" spans="1:6" ht="15">
      <c r="A94" s="57" t="s">
        <v>6</v>
      </c>
      <c r="B94" s="39" t="s">
        <v>327</v>
      </c>
      <c r="C94" s="67"/>
      <c r="D94" s="67"/>
      <c r="E94" s="67"/>
      <c r="F94" s="67">
        <f t="shared" si="1"/>
        <v>0</v>
      </c>
    </row>
    <row r="95" spans="1:6" ht="15">
      <c r="A95" s="43" t="s">
        <v>328</v>
      </c>
      <c r="B95" s="39" t="s">
        <v>329</v>
      </c>
      <c r="C95" s="67"/>
      <c r="D95" s="67"/>
      <c r="E95" s="67"/>
      <c r="F95" s="67">
        <f t="shared" si="1"/>
        <v>0</v>
      </c>
    </row>
    <row r="96" spans="1:6" ht="15">
      <c r="A96" s="20" t="s">
        <v>7</v>
      </c>
      <c r="B96" s="21" t="s">
        <v>330</v>
      </c>
      <c r="C96" s="68">
        <f>C83+C73</f>
        <v>199091839</v>
      </c>
      <c r="D96" s="68"/>
      <c r="E96" s="68"/>
      <c r="F96" s="68">
        <f t="shared" si="1"/>
        <v>199091839</v>
      </c>
    </row>
    <row r="97" spans="1:6" ht="15">
      <c r="A97" s="22" t="s">
        <v>423</v>
      </c>
      <c r="B97" s="23"/>
      <c r="C97" s="37">
        <f>C96+C67</f>
        <v>441090440</v>
      </c>
      <c r="D97" s="37">
        <f>D96+D67</f>
        <v>6466283</v>
      </c>
      <c r="E97" s="67"/>
      <c r="F97" s="68">
        <f t="shared" si="1"/>
        <v>447556723</v>
      </c>
    </row>
  </sheetData>
  <sheetProtection/>
  <mergeCells count="3">
    <mergeCell ref="A3:F3"/>
    <mergeCell ref="A4:F4"/>
    <mergeCell ref="A1:F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3"/>
  <sheetViews>
    <sheetView workbookViewId="0" topLeftCell="A1">
      <selection activeCell="A1" sqref="A1:F1"/>
    </sheetView>
  </sheetViews>
  <sheetFormatPr defaultColWidth="9.140625" defaultRowHeight="15"/>
  <cols>
    <col min="1" max="1" width="105.140625" style="24" customWidth="1"/>
    <col min="2" max="2" width="9.140625" style="24" customWidth="1"/>
    <col min="3" max="3" width="15.57421875" style="24" customWidth="1"/>
    <col min="4" max="4" width="16.28125" style="24" customWidth="1"/>
    <col min="5" max="5" width="17.140625" style="24" customWidth="1"/>
    <col min="6" max="6" width="15.57421875" style="24" customWidth="1"/>
    <col min="7" max="16384" width="9.140625" style="24" customWidth="1"/>
  </cols>
  <sheetData>
    <row r="1" spans="1:6" s="50" customFormat="1" ht="15">
      <c r="A1" s="186" t="s">
        <v>513</v>
      </c>
      <c r="B1" s="187"/>
      <c r="C1" s="187"/>
      <c r="D1" s="187"/>
      <c r="E1" s="187"/>
      <c r="F1" s="187"/>
    </row>
    <row r="2" s="50" customFormat="1" ht="15"/>
    <row r="3" spans="1:6" ht="24" customHeight="1">
      <c r="A3" s="182" t="s">
        <v>448</v>
      </c>
      <c r="B3" s="183"/>
      <c r="C3" s="183"/>
      <c r="D3" s="183"/>
      <c r="E3" s="183"/>
      <c r="F3" s="184"/>
    </row>
    <row r="4" spans="1:6" ht="19.5" customHeight="1">
      <c r="A4" s="185" t="s">
        <v>441</v>
      </c>
      <c r="B4" s="183"/>
      <c r="C4" s="183"/>
      <c r="D4" s="183"/>
      <c r="E4" s="183"/>
      <c r="F4" s="184"/>
    </row>
    <row r="5" ht="15.75">
      <c r="A5" s="25"/>
    </row>
    <row r="6" spans="1:6" ht="15">
      <c r="A6" s="73" t="s">
        <v>144</v>
      </c>
      <c r="F6" s="24" t="s">
        <v>434</v>
      </c>
    </row>
    <row r="7" spans="1:6" ht="46.5">
      <c r="A7" s="27" t="s">
        <v>44</v>
      </c>
      <c r="B7" s="28" t="s">
        <v>45</v>
      </c>
      <c r="C7" s="65" t="s">
        <v>10</v>
      </c>
      <c r="D7" s="65" t="s">
        <v>11</v>
      </c>
      <c r="E7" s="65" t="s">
        <v>12</v>
      </c>
      <c r="F7" s="65" t="s">
        <v>40</v>
      </c>
    </row>
    <row r="8" spans="1:6" ht="15">
      <c r="A8" s="30" t="s">
        <v>46</v>
      </c>
      <c r="B8" s="30" t="s">
        <v>47</v>
      </c>
      <c r="C8" s="77">
        <f>46161200+8187600</f>
        <v>54348800</v>
      </c>
      <c r="D8" s="77"/>
      <c r="E8" s="77"/>
      <c r="F8" s="74">
        <f>C8+D8+E8</f>
        <v>54348800</v>
      </c>
    </row>
    <row r="9" spans="1:6" ht="15">
      <c r="A9" s="30" t="s">
        <v>48</v>
      </c>
      <c r="B9" s="32" t="s">
        <v>49</v>
      </c>
      <c r="C9" s="77"/>
      <c r="D9" s="77"/>
      <c r="E9" s="77"/>
      <c r="F9" s="74">
        <f aca="true" t="shared" si="0" ref="F9:F72">C9+D9+E9</f>
        <v>0</v>
      </c>
    </row>
    <row r="10" spans="1:6" ht="15">
      <c r="A10" s="30" t="s">
        <v>50</v>
      </c>
      <c r="B10" s="32" t="s">
        <v>51</v>
      </c>
      <c r="C10" s="77"/>
      <c r="D10" s="77"/>
      <c r="E10" s="77"/>
      <c r="F10" s="74">
        <f t="shared" si="0"/>
        <v>0</v>
      </c>
    </row>
    <row r="11" spans="1:6" ht="15">
      <c r="A11" s="33" t="s">
        <v>52</v>
      </c>
      <c r="B11" s="32" t="s">
        <v>53</v>
      </c>
      <c r="C11" s="77"/>
      <c r="D11" s="77"/>
      <c r="E11" s="77"/>
      <c r="F11" s="74">
        <f t="shared" si="0"/>
        <v>0</v>
      </c>
    </row>
    <row r="12" spans="1:6" ht="15">
      <c r="A12" s="33" t="s">
        <v>54</v>
      </c>
      <c r="B12" s="32" t="s">
        <v>55</v>
      </c>
      <c r="C12" s="77"/>
      <c r="D12" s="77"/>
      <c r="E12" s="77"/>
      <c r="F12" s="74">
        <f t="shared" si="0"/>
        <v>0</v>
      </c>
    </row>
    <row r="13" spans="1:6" ht="15">
      <c r="A13" s="33" t="s">
        <v>56</v>
      </c>
      <c r="B13" s="32" t="s">
        <v>57</v>
      </c>
      <c r="C13" s="77">
        <v>1869000</v>
      </c>
      <c r="D13" s="77"/>
      <c r="E13" s="77"/>
      <c r="F13" s="74">
        <f t="shared" si="0"/>
        <v>1869000</v>
      </c>
    </row>
    <row r="14" spans="1:6" ht="15">
      <c r="A14" s="33" t="s">
        <v>58</v>
      </c>
      <c r="B14" s="32" t="s">
        <v>59</v>
      </c>
      <c r="C14" s="77">
        <v>1934388</v>
      </c>
      <c r="D14" s="77"/>
      <c r="E14" s="77"/>
      <c r="F14" s="74">
        <f t="shared" si="0"/>
        <v>1934388</v>
      </c>
    </row>
    <row r="15" spans="1:6" ht="15">
      <c r="A15" s="33" t="s">
        <v>60</v>
      </c>
      <c r="B15" s="32" t="s">
        <v>61</v>
      </c>
      <c r="C15" s="77"/>
      <c r="D15" s="77"/>
      <c r="E15" s="77"/>
      <c r="F15" s="74">
        <f t="shared" si="0"/>
        <v>0</v>
      </c>
    </row>
    <row r="16" spans="1:6" ht="15">
      <c r="A16" s="34" t="s">
        <v>62</v>
      </c>
      <c r="B16" s="32" t="s">
        <v>63</v>
      </c>
      <c r="C16" s="77">
        <v>843590</v>
      </c>
      <c r="D16" s="77"/>
      <c r="E16" s="77"/>
      <c r="F16" s="74">
        <f t="shared" si="0"/>
        <v>843590</v>
      </c>
    </row>
    <row r="17" spans="1:6" ht="15">
      <c r="A17" s="34" t="s">
        <v>64</v>
      </c>
      <c r="B17" s="32" t="s">
        <v>65</v>
      </c>
      <c r="C17" s="77"/>
      <c r="D17" s="77"/>
      <c r="E17" s="77"/>
      <c r="F17" s="74">
        <f t="shared" si="0"/>
        <v>0</v>
      </c>
    </row>
    <row r="18" spans="1:6" ht="15">
      <c r="A18" s="34" t="s">
        <v>66</v>
      </c>
      <c r="B18" s="32" t="s">
        <v>67</v>
      </c>
      <c r="C18" s="77"/>
      <c r="D18" s="77"/>
      <c r="E18" s="77"/>
      <c r="F18" s="74">
        <f t="shared" si="0"/>
        <v>0</v>
      </c>
    </row>
    <row r="19" spans="1:6" ht="15">
      <c r="A19" s="34" t="s">
        <v>68</v>
      </c>
      <c r="B19" s="32" t="s">
        <v>69</v>
      </c>
      <c r="C19" s="77"/>
      <c r="D19" s="77"/>
      <c r="E19" s="77"/>
      <c r="F19" s="74">
        <f t="shared" si="0"/>
        <v>0</v>
      </c>
    </row>
    <row r="20" spans="1:6" ht="15">
      <c r="A20" s="34" t="s">
        <v>352</v>
      </c>
      <c r="B20" s="32" t="s">
        <v>70</v>
      </c>
      <c r="C20" s="77"/>
      <c r="D20" s="77"/>
      <c r="E20" s="77"/>
      <c r="F20" s="74">
        <f t="shared" si="0"/>
        <v>0</v>
      </c>
    </row>
    <row r="21" spans="1:6" ht="15">
      <c r="A21" s="35" t="s">
        <v>331</v>
      </c>
      <c r="B21" s="36" t="s">
        <v>71</v>
      </c>
      <c r="C21" s="78">
        <f>SUM(C8:C20)</f>
        <v>58995778</v>
      </c>
      <c r="D21" s="78">
        <f>SUM(D8:D20)</f>
        <v>0</v>
      </c>
      <c r="E21" s="78">
        <f>SUM(E8:E20)</f>
        <v>0</v>
      </c>
      <c r="F21" s="75">
        <f t="shared" si="0"/>
        <v>58995778</v>
      </c>
    </row>
    <row r="22" spans="1:6" ht="15">
      <c r="A22" s="34" t="s">
        <v>72</v>
      </c>
      <c r="B22" s="32" t="s">
        <v>73</v>
      </c>
      <c r="C22" s="77"/>
      <c r="D22" s="77"/>
      <c r="E22" s="77"/>
      <c r="F22" s="74">
        <f t="shared" si="0"/>
        <v>0</v>
      </c>
    </row>
    <row r="23" spans="1:6" ht="15">
      <c r="A23" s="34" t="s">
        <v>74</v>
      </c>
      <c r="B23" s="32" t="s">
        <v>75</v>
      </c>
      <c r="C23" s="77"/>
      <c r="D23" s="77"/>
      <c r="E23" s="77"/>
      <c r="F23" s="74">
        <f t="shared" si="0"/>
        <v>0</v>
      </c>
    </row>
    <row r="24" spans="1:6" ht="15">
      <c r="A24" s="38" t="s">
        <v>76</v>
      </c>
      <c r="B24" s="32" t="s">
        <v>77</v>
      </c>
      <c r="C24" s="77"/>
      <c r="D24" s="77"/>
      <c r="E24" s="77"/>
      <c r="F24" s="74">
        <f t="shared" si="0"/>
        <v>0</v>
      </c>
    </row>
    <row r="25" spans="1:6" ht="15">
      <c r="A25" s="39" t="s">
        <v>332</v>
      </c>
      <c r="B25" s="36" t="s">
        <v>78</v>
      </c>
      <c r="C25" s="78">
        <f>SUM(C22:C24)</f>
        <v>0</v>
      </c>
      <c r="D25" s="78"/>
      <c r="E25" s="78"/>
      <c r="F25" s="74">
        <f t="shared" si="0"/>
        <v>0</v>
      </c>
    </row>
    <row r="26" spans="1:6" ht="15">
      <c r="A26" s="35" t="s">
        <v>382</v>
      </c>
      <c r="B26" s="36" t="s">
        <v>79</v>
      </c>
      <c r="C26" s="78">
        <f>SUM(C25,C21)</f>
        <v>58995778</v>
      </c>
      <c r="D26" s="78">
        <f>SUM(D25,D21)</f>
        <v>0</v>
      </c>
      <c r="E26" s="78">
        <f>SUM(E25,E21)</f>
        <v>0</v>
      </c>
      <c r="F26" s="75">
        <f t="shared" si="0"/>
        <v>58995778</v>
      </c>
    </row>
    <row r="27" spans="1:6" ht="15">
      <c r="A27" s="39" t="s">
        <v>353</v>
      </c>
      <c r="B27" s="36" t="s">
        <v>80</v>
      </c>
      <c r="C27" s="78">
        <f>10126061+1592000</f>
        <v>11718061</v>
      </c>
      <c r="D27" s="78"/>
      <c r="E27" s="78"/>
      <c r="F27" s="75">
        <f t="shared" si="0"/>
        <v>11718061</v>
      </c>
    </row>
    <row r="28" spans="1:6" ht="15">
      <c r="A28" s="34" t="s">
        <v>81</v>
      </c>
      <c r="B28" s="32" t="s">
        <v>82</v>
      </c>
      <c r="C28" s="77">
        <v>100000</v>
      </c>
      <c r="D28" s="77"/>
      <c r="E28" s="77"/>
      <c r="F28" s="74">
        <f t="shared" si="0"/>
        <v>100000</v>
      </c>
    </row>
    <row r="29" spans="1:6" ht="15">
      <c r="A29" s="34" t="s">
        <v>83</v>
      </c>
      <c r="B29" s="32" t="s">
        <v>84</v>
      </c>
      <c r="C29" s="77">
        <f>1556508-239470</f>
        <v>1317038</v>
      </c>
      <c r="D29" s="77"/>
      <c r="E29" s="77"/>
      <c r="F29" s="74">
        <f t="shared" si="0"/>
        <v>1317038</v>
      </c>
    </row>
    <row r="30" spans="1:6" ht="15">
      <c r="A30" s="34" t="s">
        <v>85</v>
      </c>
      <c r="B30" s="32" t="s">
        <v>86</v>
      </c>
      <c r="C30" s="77"/>
      <c r="D30" s="77"/>
      <c r="E30" s="77"/>
      <c r="F30" s="74">
        <f t="shared" si="0"/>
        <v>0</v>
      </c>
    </row>
    <row r="31" spans="1:6" ht="15">
      <c r="A31" s="39" t="s">
        <v>333</v>
      </c>
      <c r="B31" s="36" t="s">
        <v>87</v>
      </c>
      <c r="C31" s="78">
        <f>SUM(C28:C30)</f>
        <v>1417038</v>
      </c>
      <c r="D31" s="78">
        <f>SUM(D28:D30)</f>
        <v>0</v>
      </c>
      <c r="E31" s="78">
        <f>SUM(E28:E30)</f>
        <v>0</v>
      </c>
      <c r="F31" s="75">
        <f t="shared" si="0"/>
        <v>1417038</v>
      </c>
    </row>
    <row r="32" spans="1:6" ht="15">
      <c r="A32" s="34" t="s">
        <v>88</v>
      </c>
      <c r="B32" s="32" t="s">
        <v>89</v>
      </c>
      <c r="C32" s="77">
        <v>950000</v>
      </c>
      <c r="D32" s="77"/>
      <c r="E32" s="77"/>
      <c r="F32" s="74">
        <f t="shared" si="0"/>
        <v>950000</v>
      </c>
    </row>
    <row r="33" spans="1:6" ht="15">
      <c r="A33" s="34" t="s">
        <v>90</v>
      </c>
      <c r="B33" s="32" t="s">
        <v>91</v>
      </c>
      <c r="C33" s="77">
        <v>680000</v>
      </c>
      <c r="D33" s="77"/>
      <c r="E33" s="77"/>
      <c r="F33" s="74">
        <f t="shared" si="0"/>
        <v>680000</v>
      </c>
    </row>
    <row r="34" spans="1:6" ht="15" customHeight="1">
      <c r="A34" s="39" t="s">
        <v>383</v>
      </c>
      <c r="B34" s="36" t="s">
        <v>92</v>
      </c>
      <c r="C34" s="78">
        <f>SUM(C32:C33)</f>
        <v>1630000</v>
      </c>
      <c r="D34" s="78">
        <f>SUM(D32:D33)</f>
        <v>0</v>
      </c>
      <c r="E34" s="78">
        <f>SUM(E32:E33)</f>
        <v>0</v>
      </c>
      <c r="F34" s="75">
        <f t="shared" si="0"/>
        <v>1630000</v>
      </c>
    </row>
    <row r="35" spans="1:6" ht="15">
      <c r="A35" s="34" t="s">
        <v>93</v>
      </c>
      <c r="B35" s="32" t="s">
        <v>94</v>
      </c>
      <c r="C35" s="77">
        <v>1700000</v>
      </c>
      <c r="D35" s="77"/>
      <c r="E35" s="77"/>
      <c r="F35" s="74">
        <f t="shared" si="0"/>
        <v>1700000</v>
      </c>
    </row>
    <row r="36" spans="1:6" ht="15">
      <c r="A36" s="34" t="s">
        <v>95</v>
      </c>
      <c r="B36" s="32" t="s">
        <v>96</v>
      </c>
      <c r="C36" s="77"/>
      <c r="D36" s="77"/>
      <c r="E36" s="77"/>
      <c r="F36" s="74">
        <f t="shared" si="0"/>
        <v>0</v>
      </c>
    </row>
    <row r="37" spans="1:6" ht="15">
      <c r="A37" s="34" t="s">
        <v>354</v>
      </c>
      <c r="B37" s="32" t="s">
        <v>97</v>
      </c>
      <c r="C37" s="77"/>
      <c r="D37" s="77"/>
      <c r="E37" s="77"/>
      <c r="F37" s="74">
        <f t="shared" si="0"/>
        <v>0</v>
      </c>
    </row>
    <row r="38" spans="1:6" ht="15">
      <c r="A38" s="34" t="s">
        <v>98</v>
      </c>
      <c r="B38" s="32" t="s">
        <v>99</v>
      </c>
      <c r="C38" s="77">
        <v>30000</v>
      </c>
      <c r="D38" s="77"/>
      <c r="E38" s="77"/>
      <c r="F38" s="74">
        <f t="shared" si="0"/>
        <v>30000</v>
      </c>
    </row>
    <row r="39" spans="1:6" ht="15">
      <c r="A39" s="40" t="s">
        <v>355</v>
      </c>
      <c r="B39" s="32" t="s">
        <v>100</v>
      </c>
      <c r="C39" s="77"/>
      <c r="D39" s="77"/>
      <c r="E39" s="77"/>
      <c r="F39" s="74">
        <f t="shared" si="0"/>
        <v>0</v>
      </c>
    </row>
    <row r="40" spans="1:6" ht="15">
      <c r="A40" s="38" t="s">
        <v>101</v>
      </c>
      <c r="B40" s="32" t="s">
        <v>102</v>
      </c>
      <c r="C40" s="77">
        <f>2872000</f>
        <v>2872000</v>
      </c>
      <c r="D40" s="77"/>
      <c r="E40" s="77"/>
      <c r="F40" s="74">
        <f t="shared" si="0"/>
        <v>2872000</v>
      </c>
    </row>
    <row r="41" spans="1:6" ht="15">
      <c r="A41" s="34" t="s">
        <v>356</v>
      </c>
      <c r="B41" s="32" t="s">
        <v>103</v>
      </c>
      <c r="C41" s="77">
        <v>650000</v>
      </c>
      <c r="D41" s="77"/>
      <c r="E41" s="77"/>
      <c r="F41" s="74">
        <f t="shared" si="0"/>
        <v>650000</v>
      </c>
    </row>
    <row r="42" spans="1:6" ht="15">
      <c r="A42" s="39" t="s">
        <v>334</v>
      </c>
      <c r="B42" s="36" t="s">
        <v>104</v>
      </c>
      <c r="C42" s="78">
        <f>SUM(C35:C41)</f>
        <v>5252000</v>
      </c>
      <c r="D42" s="78">
        <f>SUM(D35:D41)</f>
        <v>0</v>
      </c>
      <c r="E42" s="78">
        <f>SUM(E35:E41)</f>
        <v>0</v>
      </c>
      <c r="F42" s="75">
        <f t="shared" si="0"/>
        <v>5252000</v>
      </c>
    </row>
    <row r="43" spans="1:6" ht="15">
      <c r="A43" s="34" t="s">
        <v>105</v>
      </c>
      <c r="B43" s="32" t="s">
        <v>106</v>
      </c>
      <c r="C43" s="77">
        <v>1540000</v>
      </c>
      <c r="D43" s="77"/>
      <c r="E43" s="77"/>
      <c r="F43" s="74">
        <f t="shared" si="0"/>
        <v>1540000</v>
      </c>
    </row>
    <row r="44" spans="1:6" ht="15">
      <c r="A44" s="34" t="s">
        <v>107</v>
      </c>
      <c r="B44" s="32" t="s">
        <v>108</v>
      </c>
      <c r="C44" s="77"/>
      <c r="D44" s="77"/>
      <c r="E44" s="77"/>
      <c r="F44" s="74">
        <f t="shared" si="0"/>
        <v>0</v>
      </c>
    </row>
    <row r="45" spans="1:6" ht="15">
      <c r="A45" s="39" t="s">
        <v>335</v>
      </c>
      <c r="B45" s="36" t="s">
        <v>109</v>
      </c>
      <c r="C45" s="78">
        <f>SUM(C43:C44)</f>
        <v>1540000</v>
      </c>
      <c r="D45" s="78">
        <f>SUM(D43:D44)</f>
        <v>0</v>
      </c>
      <c r="E45" s="78">
        <f>SUM(E43:E44)</f>
        <v>0</v>
      </c>
      <c r="F45" s="75">
        <f t="shared" si="0"/>
        <v>1540000</v>
      </c>
    </row>
    <row r="46" spans="1:6" ht="15">
      <c r="A46" s="34" t="s">
        <v>110</v>
      </c>
      <c r="B46" s="32" t="s">
        <v>111</v>
      </c>
      <c r="C46" s="77">
        <v>2038157</v>
      </c>
      <c r="D46" s="77"/>
      <c r="E46" s="77"/>
      <c r="F46" s="74">
        <f t="shared" si="0"/>
        <v>2038157</v>
      </c>
    </row>
    <row r="47" spans="1:6" ht="15">
      <c r="A47" s="34" t="s">
        <v>112</v>
      </c>
      <c r="B47" s="32" t="s">
        <v>113</v>
      </c>
      <c r="C47" s="77"/>
      <c r="D47" s="77"/>
      <c r="E47" s="77"/>
      <c r="F47" s="74">
        <f t="shared" si="0"/>
        <v>0</v>
      </c>
    </row>
    <row r="48" spans="1:6" ht="15">
      <c r="A48" s="34" t="s">
        <v>357</v>
      </c>
      <c r="B48" s="32" t="s">
        <v>114</v>
      </c>
      <c r="C48" s="77"/>
      <c r="D48" s="77"/>
      <c r="E48" s="77"/>
      <c r="F48" s="74">
        <f t="shared" si="0"/>
        <v>0</v>
      </c>
    </row>
    <row r="49" spans="1:6" ht="15">
      <c r="A49" s="34" t="s">
        <v>358</v>
      </c>
      <c r="B49" s="32" t="s">
        <v>115</v>
      </c>
      <c r="C49" s="77"/>
      <c r="D49" s="77"/>
      <c r="E49" s="77"/>
      <c r="F49" s="74">
        <f t="shared" si="0"/>
        <v>0</v>
      </c>
    </row>
    <row r="50" spans="1:6" ht="15">
      <c r="A50" s="34" t="s">
        <v>116</v>
      </c>
      <c r="B50" s="32" t="s">
        <v>117</v>
      </c>
      <c r="C50" s="77"/>
      <c r="D50" s="77"/>
      <c r="E50" s="77"/>
      <c r="F50" s="74">
        <f t="shared" si="0"/>
        <v>0</v>
      </c>
    </row>
    <row r="51" spans="1:6" ht="15">
      <c r="A51" s="39" t="s">
        <v>336</v>
      </c>
      <c r="B51" s="36" t="s">
        <v>118</v>
      </c>
      <c r="C51" s="78">
        <f>SUM(C46:C50)</f>
        <v>2038157</v>
      </c>
      <c r="D51" s="78">
        <f>SUM(D46:D50)</f>
        <v>0</v>
      </c>
      <c r="E51" s="78">
        <f>SUM(E46:E50)</f>
        <v>0</v>
      </c>
      <c r="F51" s="75">
        <f t="shared" si="0"/>
        <v>2038157</v>
      </c>
    </row>
    <row r="52" spans="1:6" ht="15">
      <c r="A52" s="39" t="s">
        <v>337</v>
      </c>
      <c r="B52" s="36" t="s">
        <v>119</v>
      </c>
      <c r="C52" s="78">
        <f>SUM(C31+C34+C42+C45+C51)</f>
        <v>11877195</v>
      </c>
      <c r="D52" s="78">
        <f>SUM(D31+D34+D42+D45+D51)</f>
        <v>0</v>
      </c>
      <c r="E52" s="78">
        <f>SUM(E31+E34+E42+E45+E51)</f>
        <v>0</v>
      </c>
      <c r="F52" s="75">
        <f t="shared" si="0"/>
        <v>11877195</v>
      </c>
    </row>
    <row r="53" spans="1:6" ht="15">
      <c r="A53" s="41" t="s">
        <v>120</v>
      </c>
      <c r="B53" s="32" t="s">
        <v>121</v>
      </c>
      <c r="C53" s="77"/>
      <c r="D53" s="77"/>
      <c r="E53" s="77"/>
      <c r="F53" s="74">
        <f t="shared" si="0"/>
        <v>0</v>
      </c>
    </row>
    <row r="54" spans="1:6" ht="15">
      <c r="A54" s="41" t="s">
        <v>338</v>
      </c>
      <c r="B54" s="32" t="s">
        <v>122</v>
      </c>
      <c r="C54" s="77"/>
      <c r="D54" s="77"/>
      <c r="E54" s="77"/>
      <c r="F54" s="74">
        <f t="shared" si="0"/>
        <v>0</v>
      </c>
    </row>
    <row r="55" spans="1:6" ht="15">
      <c r="A55" s="42" t="s">
        <v>359</v>
      </c>
      <c r="B55" s="32" t="s">
        <v>123</v>
      </c>
      <c r="C55" s="77"/>
      <c r="D55" s="77"/>
      <c r="E55" s="77"/>
      <c r="F55" s="74">
        <f t="shared" si="0"/>
        <v>0</v>
      </c>
    </row>
    <row r="56" spans="1:6" ht="15">
      <c r="A56" s="42" t="s">
        <v>360</v>
      </c>
      <c r="B56" s="32" t="s">
        <v>124</v>
      </c>
      <c r="C56" s="77"/>
      <c r="D56" s="77"/>
      <c r="E56" s="77"/>
      <c r="F56" s="74">
        <f t="shared" si="0"/>
        <v>0</v>
      </c>
    </row>
    <row r="57" spans="1:6" ht="15">
      <c r="A57" s="42" t="s">
        <v>361</v>
      </c>
      <c r="B57" s="32" t="s">
        <v>125</v>
      </c>
      <c r="C57" s="77"/>
      <c r="D57" s="77"/>
      <c r="E57" s="77"/>
      <c r="F57" s="74">
        <f t="shared" si="0"/>
        <v>0</v>
      </c>
    </row>
    <row r="58" spans="1:6" ht="15">
      <c r="A58" s="41" t="s">
        <v>362</v>
      </c>
      <c r="B58" s="32" t="s">
        <v>126</v>
      </c>
      <c r="C58" s="77"/>
      <c r="D58" s="77"/>
      <c r="E58" s="77"/>
      <c r="F58" s="74">
        <f t="shared" si="0"/>
        <v>0</v>
      </c>
    </row>
    <row r="59" spans="1:6" ht="15">
      <c r="A59" s="41" t="s">
        <v>363</v>
      </c>
      <c r="B59" s="32" t="s">
        <v>127</v>
      </c>
      <c r="C59" s="77"/>
      <c r="D59" s="77"/>
      <c r="E59" s="77"/>
      <c r="F59" s="74">
        <f t="shared" si="0"/>
        <v>0</v>
      </c>
    </row>
    <row r="60" spans="1:6" ht="15">
      <c r="A60" s="41" t="s">
        <v>364</v>
      </c>
      <c r="B60" s="32" t="s">
        <v>128</v>
      </c>
      <c r="C60" s="77"/>
      <c r="D60" s="77"/>
      <c r="E60" s="77"/>
      <c r="F60" s="74">
        <f t="shared" si="0"/>
        <v>0</v>
      </c>
    </row>
    <row r="61" spans="1:6" ht="15">
      <c r="A61" s="43" t="s">
        <v>339</v>
      </c>
      <c r="B61" s="36" t="s">
        <v>129</v>
      </c>
      <c r="C61" s="77"/>
      <c r="D61" s="77"/>
      <c r="E61" s="77"/>
      <c r="F61" s="74">
        <f t="shared" si="0"/>
        <v>0</v>
      </c>
    </row>
    <row r="62" spans="1:6" ht="15">
      <c r="A62" s="44" t="s">
        <v>365</v>
      </c>
      <c r="B62" s="32" t="s">
        <v>130</v>
      </c>
      <c r="C62" s="77"/>
      <c r="D62" s="77"/>
      <c r="E62" s="77"/>
      <c r="F62" s="74">
        <f t="shared" si="0"/>
        <v>0</v>
      </c>
    </row>
    <row r="63" spans="1:6" ht="15">
      <c r="A63" s="44" t="s">
        <v>131</v>
      </c>
      <c r="B63" s="32" t="s">
        <v>132</v>
      </c>
      <c r="C63" s="77"/>
      <c r="D63" s="77"/>
      <c r="E63" s="77"/>
      <c r="F63" s="74">
        <f t="shared" si="0"/>
        <v>0</v>
      </c>
    </row>
    <row r="64" spans="1:6" ht="15">
      <c r="A64" s="44" t="s">
        <v>133</v>
      </c>
      <c r="B64" s="32" t="s">
        <v>134</v>
      </c>
      <c r="C64" s="77"/>
      <c r="D64" s="77"/>
      <c r="E64" s="77"/>
      <c r="F64" s="74">
        <f t="shared" si="0"/>
        <v>0</v>
      </c>
    </row>
    <row r="65" spans="1:6" ht="15">
      <c r="A65" s="44" t="s">
        <v>340</v>
      </c>
      <c r="B65" s="32" t="s">
        <v>135</v>
      </c>
      <c r="C65" s="77"/>
      <c r="D65" s="77"/>
      <c r="E65" s="77"/>
      <c r="F65" s="74">
        <f t="shared" si="0"/>
        <v>0</v>
      </c>
    </row>
    <row r="66" spans="1:6" ht="15">
      <c r="A66" s="44" t="s">
        <v>366</v>
      </c>
      <c r="B66" s="32" t="s">
        <v>136</v>
      </c>
      <c r="C66" s="77"/>
      <c r="D66" s="77"/>
      <c r="E66" s="77"/>
      <c r="F66" s="74">
        <f t="shared" si="0"/>
        <v>0</v>
      </c>
    </row>
    <row r="67" spans="1:6" ht="15">
      <c r="A67" s="44" t="s">
        <v>341</v>
      </c>
      <c r="B67" s="32" t="s">
        <v>137</v>
      </c>
      <c r="C67" s="77"/>
      <c r="D67" s="77"/>
      <c r="E67" s="77"/>
      <c r="F67" s="74">
        <f t="shared" si="0"/>
        <v>0</v>
      </c>
    </row>
    <row r="68" spans="1:6" ht="15">
      <c r="A68" s="44" t="s">
        <v>367</v>
      </c>
      <c r="B68" s="32" t="s">
        <v>138</v>
      </c>
      <c r="C68" s="77"/>
      <c r="D68" s="77"/>
      <c r="E68" s="77"/>
      <c r="F68" s="74">
        <f t="shared" si="0"/>
        <v>0</v>
      </c>
    </row>
    <row r="69" spans="1:6" ht="15">
      <c r="A69" s="44" t="s">
        <v>368</v>
      </c>
      <c r="B69" s="32" t="s">
        <v>139</v>
      </c>
      <c r="C69" s="77"/>
      <c r="D69" s="77"/>
      <c r="E69" s="77"/>
      <c r="F69" s="74">
        <f t="shared" si="0"/>
        <v>0</v>
      </c>
    </row>
    <row r="70" spans="1:6" ht="15">
      <c r="A70" s="44" t="s">
        <v>140</v>
      </c>
      <c r="B70" s="32" t="s">
        <v>141</v>
      </c>
      <c r="C70" s="77"/>
      <c r="D70" s="77"/>
      <c r="E70" s="77"/>
      <c r="F70" s="74">
        <f t="shared" si="0"/>
        <v>0</v>
      </c>
    </row>
    <row r="71" spans="1:6" ht="15">
      <c r="A71" s="45" t="s">
        <v>142</v>
      </c>
      <c r="B71" s="32" t="s">
        <v>143</v>
      </c>
      <c r="C71" s="77"/>
      <c r="D71" s="77"/>
      <c r="E71" s="77"/>
      <c r="F71" s="74">
        <f t="shared" si="0"/>
        <v>0</v>
      </c>
    </row>
    <row r="72" spans="1:6" ht="15">
      <c r="A72" s="44" t="s">
        <v>369</v>
      </c>
      <c r="B72" s="32" t="s">
        <v>145</v>
      </c>
      <c r="C72" s="77"/>
      <c r="D72" s="77"/>
      <c r="E72" s="77"/>
      <c r="F72" s="74">
        <f t="shared" si="0"/>
        <v>0</v>
      </c>
    </row>
    <row r="73" spans="1:6" ht="15">
      <c r="A73" s="45" t="s">
        <v>19</v>
      </c>
      <c r="B73" s="32" t="s">
        <v>146</v>
      </c>
      <c r="C73" s="77"/>
      <c r="D73" s="77"/>
      <c r="E73" s="77"/>
      <c r="F73" s="74">
        <f aca="true" t="shared" si="1" ref="F73:F124">C73+D73+E73</f>
        <v>0</v>
      </c>
    </row>
    <row r="74" spans="1:6" ht="15">
      <c r="A74" s="45" t="s">
        <v>20</v>
      </c>
      <c r="B74" s="32" t="s">
        <v>146</v>
      </c>
      <c r="C74" s="77"/>
      <c r="D74" s="77"/>
      <c r="E74" s="77"/>
      <c r="F74" s="74">
        <f t="shared" si="1"/>
        <v>0</v>
      </c>
    </row>
    <row r="75" spans="1:6" ht="15">
      <c r="A75" s="43" t="s">
        <v>342</v>
      </c>
      <c r="B75" s="36" t="s">
        <v>147</v>
      </c>
      <c r="C75" s="77"/>
      <c r="D75" s="77"/>
      <c r="E75" s="77"/>
      <c r="F75" s="74">
        <f t="shared" si="1"/>
        <v>0</v>
      </c>
    </row>
    <row r="76" spans="1:6" ht="15.75">
      <c r="A76" s="17" t="s">
        <v>9</v>
      </c>
      <c r="B76" s="36"/>
      <c r="C76" s="77"/>
      <c r="D76" s="77"/>
      <c r="E76" s="77"/>
      <c r="F76" s="74">
        <f t="shared" si="1"/>
        <v>0</v>
      </c>
    </row>
    <row r="77" spans="1:6" ht="15">
      <c r="A77" s="46" t="s">
        <v>148</v>
      </c>
      <c r="B77" s="32" t="s">
        <v>149</v>
      </c>
      <c r="C77" s="77"/>
      <c r="D77" s="77"/>
      <c r="E77" s="77"/>
      <c r="F77" s="74">
        <f t="shared" si="1"/>
        <v>0</v>
      </c>
    </row>
    <row r="78" spans="1:6" ht="15">
      <c r="A78" s="46" t="s">
        <v>370</v>
      </c>
      <c r="B78" s="32" t="s">
        <v>150</v>
      </c>
      <c r="C78" s="77"/>
      <c r="D78" s="77"/>
      <c r="E78" s="77"/>
      <c r="F78" s="74">
        <f t="shared" si="1"/>
        <v>0</v>
      </c>
    </row>
    <row r="79" spans="1:6" ht="15">
      <c r="A79" s="46" t="s">
        <v>151</v>
      </c>
      <c r="B79" s="32" t="s">
        <v>152</v>
      </c>
      <c r="C79" s="77"/>
      <c r="D79" s="77"/>
      <c r="E79" s="77"/>
      <c r="F79" s="74">
        <f t="shared" si="1"/>
        <v>0</v>
      </c>
    </row>
    <row r="80" spans="1:6" ht="15">
      <c r="A80" s="46" t="s">
        <v>153</v>
      </c>
      <c r="B80" s="32" t="s">
        <v>154</v>
      </c>
      <c r="C80" s="77">
        <v>239470</v>
      </c>
      <c r="D80" s="77"/>
      <c r="E80" s="77"/>
      <c r="F80" s="74">
        <f t="shared" si="1"/>
        <v>239470</v>
      </c>
    </row>
    <row r="81" spans="1:6" ht="15">
      <c r="A81" s="38" t="s">
        <v>155</v>
      </c>
      <c r="B81" s="32" t="s">
        <v>156</v>
      </c>
      <c r="C81" s="77"/>
      <c r="D81" s="77"/>
      <c r="E81" s="77"/>
      <c r="F81" s="74">
        <f t="shared" si="1"/>
        <v>0</v>
      </c>
    </row>
    <row r="82" spans="1:6" ht="15">
      <c r="A82" s="38" t="s">
        <v>157</v>
      </c>
      <c r="B82" s="32" t="s">
        <v>158</v>
      </c>
      <c r="C82" s="77"/>
      <c r="D82" s="77"/>
      <c r="E82" s="77"/>
      <c r="F82" s="74">
        <f t="shared" si="1"/>
        <v>0</v>
      </c>
    </row>
    <row r="83" spans="1:6" ht="15">
      <c r="A83" s="38" t="s">
        <v>159</v>
      </c>
      <c r="B83" s="32" t="s">
        <v>160</v>
      </c>
      <c r="C83" s="77"/>
      <c r="D83" s="77"/>
      <c r="E83" s="77"/>
      <c r="F83" s="74">
        <f t="shared" si="1"/>
        <v>0</v>
      </c>
    </row>
    <row r="84" spans="1:6" ht="15">
      <c r="A84" s="47" t="s">
        <v>343</v>
      </c>
      <c r="B84" s="36" t="s">
        <v>161</v>
      </c>
      <c r="C84" s="77">
        <f>SUM(C77:C83)</f>
        <v>239470</v>
      </c>
      <c r="D84" s="77"/>
      <c r="E84" s="77"/>
      <c r="F84" s="74">
        <f t="shared" si="1"/>
        <v>239470</v>
      </c>
    </row>
    <row r="85" spans="1:6" ht="15">
      <c r="A85" s="41" t="s">
        <v>162</v>
      </c>
      <c r="B85" s="32" t="s">
        <v>163</v>
      </c>
      <c r="C85" s="77"/>
      <c r="D85" s="77"/>
      <c r="E85" s="77"/>
      <c r="F85" s="74">
        <f t="shared" si="1"/>
        <v>0</v>
      </c>
    </row>
    <row r="86" spans="1:6" ht="15">
      <c r="A86" s="41" t="s">
        <v>164</v>
      </c>
      <c r="B86" s="32" t="s">
        <v>165</v>
      </c>
      <c r="C86" s="77"/>
      <c r="D86" s="77"/>
      <c r="E86" s="77"/>
      <c r="F86" s="74">
        <f t="shared" si="1"/>
        <v>0</v>
      </c>
    </row>
    <row r="87" spans="1:6" ht="15">
      <c r="A87" s="41" t="s">
        <v>166</v>
      </c>
      <c r="B87" s="32" t="s">
        <v>167</v>
      </c>
      <c r="C87" s="77"/>
      <c r="D87" s="77"/>
      <c r="E87" s="77"/>
      <c r="F87" s="74">
        <f t="shared" si="1"/>
        <v>0</v>
      </c>
    </row>
    <row r="88" spans="1:6" ht="15">
      <c r="A88" s="41" t="s">
        <v>168</v>
      </c>
      <c r="B88" s="32" t="s">
        <v>169</v>
      </c>
      <c r="C88" s="77"/>
      <c r="D88" s="77"/>
      <c r="E88" s="77"/>
      <c r="F88" s="74">
        <f t="shared" si="1"/>
        <v>0</v>
      </c>
    </row>
    <row r="89" spans="1:6" ht="15">
      <c r="A89" s="43" t="s">
        <v>344</v>
      </c>
      <c r="B89" s="36" t="s">
        <v>170</v>
      </c>
      <c r="C89" s="77"/>
      <c r="D89" s="77"/>
      <c r="E89" s="77"/>
      <c r="F89" s="74">
        <f t="shared" si="1"/>
        <v>0</v>
      </c>
    </row>
    <row r="90" spans="1:6" ht="15">
      <c r="A90" s="41" t="s">
        <v>171</v>
      </c>
      <c r="B90" s="32" t="s">
        <v>172</v>
      </c>
      <c r="C90" s="77"/>
      <c r="D90" s="77"/>
      <c r="E90" s="77"/>
      <c r="F90" s="74">
        <f t="shared" si="1"/>
        <v>0</v>
      </c>
    </row>
    <row r="91" spans="1:6" ht="15">
      <c r="A91" s="41" t="s">
        <v>371</v>
      </c>
      <c r="B91" s="32" t="s">
        <v>173</v>
      </c>
      <c r="C91" s="77"/>
      <c r="D91" s="77"/>
      <c r="E91" s="77"/>
      <c r="F91" s="74">
        <f t="shared" si="1"/>
        <v>0</v>
      </c>
    </row>
    <row r="92" spans="1:6" ht="15">
      <c r="A92" s="41" t="s">
        <v>372</v>
      </c>
      <c r="B92" s="32" t="s">
        <v>174</v>
      </c>
      <c r="C92" s="77"/>
      <c r="D92" s="77"/>
      <c r="E92" s="77"/>
      <c r="F92" s="74">
        <f t="shared" si="1"/>
        <v>0</v>
      </c>
    </row>
    <row r="93" spans="1:6" ht="15">
      <c r="A93" s="41" t="s">
        <v>373</v>
      </c>
      <c r="B93" s="32" t="s">
        <v>175</v>
      </c>
      <c r="C93" s="77"/>
      <c r="D93" s="77"/>
      <c r="E93" s="77"/>
      <c r="F93" s="74">
        <f t="shared" si="1"/>
        <v>0</v>
      </c>
    </row>
    <row r="94" spans="1:6" ht="15">
      <c r="A94" s="41" t="s">
        <v>374</v>
      </c>
      <c r="B94" s="32" t="s">
        <v>176</v>
      </c>
      <c r="C94" s="77"/>
      <c r="D94" s="77"/>
      <c r="E94" s="77"/>
      <c r="F94" s="74">
        <f t="shared" si="1"/>
        <v>0</v>
      </c>
    </row>
    <row r="95" spans="1:6" ht="15">
      <c r="A95" s="41" t="s">
        <v>375</v>
      </c>
      <c r="B95" s="32" t="s">
        <v>177</v>
      </c>
      <c r="C95" s="77"/>
      <c r="D95" s="77"/>
      <c r="E95" s="77"/>
      <c r="F95" s="74">
        <f t="shared" si="1"/>
        <v>0</v>
      </c>
    </row>
    <row r="96" spans="1:6" ht="15">
      <c r="A96" s="41" t="s">
        <v>178</v>
      </c>
      <c r="B96" s="32" t="s">
        <v>179</v>
      </c>
      <c r="C96" s="77"/>
      <c r="D96" s="77"/>
      <c r="E96" s="77"/>
      <c r="F96" s="74">
        <f t="shared" si="1"/>
        <v>0</v>
      </c>
    </row>
    <row r="97" spans="1:6" ht="15">
      <c r="A97" s="41" t="s">
        <v>376</v>
      </c>
      <c r="B97" s="32" t="s">
        <v>180</v>
      </c>
      <c r="C97" s="77"/>
      <c r="D97" s="77"/>
      <c r="E97" s="77"/>
      <c r="F97" s="74">
        <f t="shared" si="1"/>
        <v>0</v>
      </c>
    </row>
    <row r="98" spans="1:6" ht="15">
      <c r="A98" s="43" t="s">
        <v>345</v>
      </c>
      <c r="B98" s="36" t="s">
        <v>181</v>
      </c>
      <c r="C98" s="77"/>
      <c r="D98" s="77"/>
      <c r="E98" s="77"/>
      <c r="F98" s="74">
        <f t="shared" si="1"/>
        <v>0</v>
      </c>
    </row>
    <row r="99" spans="1:6" ht="15.75">
      <c r="A99" s="17" t="s">
        <v>8</v>
      </c>
      <c r="B99" s="36"/>
      <c r="C99" s="77"/>
      <c r="D99" s="77"/>
      <c r="E99" s="77"/>
      <c r="F99" s="74">
        <f t="shared" si="1"/>
        <v>0</v>
      </c>
    </row>
    <row r="100" spans="1:6" ht="15">
      <c r="A100" s="18" t="s">
        <v>384</v>
      </c>
      <c r="B100" s="19" t="s">
        <v>182</v>
      </c>
      <c r="C100" s="78">
        <f>SUM(C26+C27+C52+C61+C75+C84+C89+C98)</f>
        <v>82830504</v>
      </c>
      <c r="D100" s="78">
        <f>SUM(D26+D27+D52+D61+D75+D84+D89+D98)</f>
        <v>0</v>
      </c>
      <c r="E100" s="78">
        <f>SUM(E26+E27+E52+E61+E75+E84+E89+E98)</f>
        <v>0</v>
      </c>
      <c r="F100" s="75">
        <f t="shared" si="1"/>
        <v>82830504</v>
      </c>
    </row>
    <row r="101" spans="1:25" ht="15">
      <c r="A101" s="41" t="s">
        <v>377</v>
      </c>
      <c r="B101" s="34" t="s">
        <v>183</v>
      </c>
      <c r="C101" s="79"/>
      <c r="D101" s="79"/>
      <c r="E101" s="79"/>
      <c r="F101" s="74">
        <f t="shared" si="1"/>
        <v>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50"/>
      <c r="Y101" s="50"/>
    </row>
    <row r="102" spans="1:25" ht="15">
      <c r="A102" s="41" t="s">
        <v>184</v>
      </c>
      <c r="B102" s="34" t="s">
        <v>185</v>
      </c>
      <c r="C102" s="79"/>
      <c r="D102" s="79"/>
      <c r="E102" s="79"/>
      <c r="F102" s="74">
        <f t="shared" si="1"/>
        <v>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50"/>
      <c r="Y102" s="50"/>
    </row>
    <row r="103" spans="1:25" ht="15">
      <c r="A103" s="41" t="s">
        <v>378</v>
      </c>
      <c r="B103" s="34" t="s">
        <v>186</v>
      </c>
      <c r="C103" s="79"/>
      <c r="D103" s="79"/>
      <c r="E103" s="79"/>
      <c r="F103" s="74">
        <f t="shared" si="1"/>
        <v>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50"/>
      <c r="Y103" s="50"/>
    </row>
    <row r="104" spans="1:25" ht="15">
      <c r="A104" s="43" t="s">
        <v>346</v>
      </c>
      <c r="B104" s="39" t="s">
        <v>187</v>
      </c>
      <c r="C104" s="80"/>
      <c r="D104" s="80"/>
      <c r="E104" s="80"/>
      <c r="F104" s="74">
        <f t="shared" si="1"/>
        <v>0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0"/>
      <c r="Y104" s="50"/>
    </row>
    <row r="105" spans="1:25" ht="15">
      <c r="A105" s="53" t="s">
        <v>379</v>
      </c>
      <c r="B105" s="34" t="s">
        <v>188</v>
      </c>
      <c r="C105" s="81"/>
      <c r="D105" s="81"/>
      <c r="E105" s="81"/>
      <c r="F105" s="74">
        <f t="shared" si="1"/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0"/>
      <c r="Y105" s="50"/>
    </row>
    <row r="106" spans="1:25" ht="15">
      <c r="A106" s="53" t="s">
        <v>349</v>
      </c>
      <c r="B106" s="34" t="s">
        <v>189</v>
      </c>
      <c r="C106" s="81"/>
      <c r="D106" s="81"/>
      <c r="E106" s="81"/>
      <c r="F106" s="74">
        <f t="shared" si="1"/>
        <v>0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0"/>
      <c r="Y106" s="50"/>
    </row>
    <row r="107" spans="1:25" ht="15">
      <c r="A107" s="41" t="s">
        <v>190</v>
      </c>
      <c r="B107" s="34" t="s">
        <v>191</v>
      </c>
      <c r="C107" s="79"/>
      <c r="D107" s="79"/>
      <c r="E107" s="79"/>
      <c r="F107" s="74">
        <f t="shared" si="1"/>
        <v>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50"/>
      <c r="Y107" s="50"/>
    </row>
    <row r="108" spans="1:25" ht="15">
      <c r="A108" s="41" t="s">
        <v>380</v>
      </c>
      <c r="B108" s="34" t="s">
        <v>192</v>
      </c>
      <c r="C108" s="79"/>
      <c r="D108" s="79"/>
      <c r="E108" s="79"/>
      <c r="F108" s="74">
        <f t="shared" si="1"/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50"/>
      <c r="Y108" s="50"/>
    </row>
    <row r="109" spans="1:25" ht="15">
      <c r="A109" s="57" t="s">
        <v>347</v>
      </c>
      <c r="B109" s="39" t="s">
        <v>193</v>
      </c>
      <c r="C109" s="82"/>
      <c r="D109" s="82"/>
      <c r="E109" s="82"/>
      <c r="F109" s="74">
        <f t="shared" si="1"/>
        <v>0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0"/>
      <c r="Y109" s="50"/>
    </row>
    <row r="110" spans="1:25" ht="15">
      <c r="A110" s="53" t="s">
        <v>194</v>
      </c>
      <c r="B110" s="34" t="s">
        <v>195</v>
      </c>
      <c r="C110" s="81"/>
      <c r="D110" s="81"/>
      <c r="E110" s="81"/>
      <c r="F110" s="74">
        <f t="shared" si="1"/>
        <v>0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0"/>
      <c r="Y110" s="50"/>
    </row>
    <row r="111" spans="1:25" ht="15">
      <c r="A111" s="53" t="s">
        <v>196</v>
      </c>
      <c r="B111" s="34" t="s">
        <v>197</v>
      </c>
      <c r="C111" s="81"/>
      <c r="D111" s="81"/>
      <c r="E111" s="81"/>
      <c r="F111" s="74">
        <f t="shared" si="1"/>
        <v>0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0"/>
      <c r="Y111" s="50"/>
    </row>
    <row r="112" spans="1:25" ht="15">
      <c r="A112" s="57" t="s">
        <v>198</v>
      </c>
      <c r="B112" s="39" t="s">
        <v>199</v>
      </c>
      <c r="C112" s="81"/>
      <c r="D112" s="81"/>
      <c r="E112" s="81"/>
      <c r="F112" s="74">
        <f t="shared" si="1"/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0"/>
      <c r="Y112" s="50"/>
    </row>
    <row r="113" spans="1:25" ht="15">
      <c r="A113" s="53" t="s">
        <v>200</v>
      </c>
      <c r="B113" s="34" t="s">
        <v>201</v>
      </c>
      <c r="C113" s="81"/>
      <c r="D113" s="81"/>
      <c r="E113" s="81"/>
      <c r="F113" s="74">
        <f t="shared" si="1"/>
        <v>0</v>
      </c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0"/>
      <c r="Y113" s="50"/>
    </row>
    <row r="114" spans="1:25" ht="15">
      <c r="A114" s="53" t="s">
        <v>202</v>
      </c>
      <c r="B114" s="34" t="s">
        <v>203</v>
      </c>
      <c r="C114" s="81"/>
      <c r="D114" s="81"/>
      <c r="E114" s="81"/>
      <c r="F114" s="74">
        <f t="shared" si="1"/>
        <v>0</v>
      </c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0"/>
      <c r="Y114" s="50"/>
    </row>
    <row r="115" spans="1:25" ht="15">
      <c r="A115" s="53" t="s">
        <v>204</v>
      </c>
      <c r="B115" s="34" t="s">
        <v>205</v>
      </c>
      <c r="C115" s="81"/>
      <c r="D115" s="81"/>
      <c r="E115" s="81"/>
      <c r="F115" s="74">
        <f t="shared" si="1"/>
        <v>0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0"/>
      <c r="Y115" s="50"/>
    </row>
    <row r="116" spans="1:25" ht="15">
      <c r="A116" s="57" t="s">
        <v>348</v>
      </c>
      <c r="B116" s="39" t="s">
        <v>206</v>
      </c>
      <c r="C116" s="82">
        <f>SUM(C104)</f>
        <v>0</v>
      </c>
      <c r="D116" s="82"/>
      <c r="E116" s="82"/>
      <c r="F116" s="74">
        <f t="shared" si="1"/>
        <v>0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0"/>
      <c r="Y116" s="50"/>
    </row>
    <row r="117" spans="1:25" ht="15">
      <c r="A117" s="53" t="s">
        <v>207</v>
      </c>
      <c r="B117" s="34" t="s">
        <v>208</v>
      </c>
      <c r="C117" s="81"/>
      <c r="D117" s="81"/>
      <c r="E117" s="81"/>
      <c r="F117" s="74">
        <f t="shared" si="1"/>
        <v>0</v>
      </c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0"/>
      <c r="Y117" s="50"/>
    </row>
    <row r="118" spans="1:25" ht="15">
      <c r="A118" s="41" t="s">
        <v>209</v>
      </c>
      <c r="B118" s="34" t="s">
        <v>210</v>
      </c>
      <c r="C118" s="79"/>
      <c r="D118" s="79"/>
      <c r="E118" s="79"/>
      <c r="F118" s="74">
        <f t="shared" si="1"/>
        <v>0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50"/>
      <c r="Y118" s="50"/>
    </row>
    <row r="119" spans="1:25" ht="15">
      <c r="A119" s="53" t="s">
        <v>381</v>
      </c>
      <c r="B119" s="34" t="s">
        <v>211</v>
      </c>
      <c r="C119" s="81"/>
      <c r="D119" s="81"/>
      <c r="E119" s="81"/>
      <c r="F119" s="74">
        <f t="shared" si="1"/>
        <v>0</v>
      </c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0"/>
      <c r="Y119" s="50"/>
    </row>
    <row r="120" spans="1:25" ht="15">
      <c r="A120" s="53" t="s">
        <v>350</v>
      </c>
      <c r="B120" s="34" t="s">
        <v>212</v>
      </c>
      <c r="C120" s="81"/>
      <c r="D120" s="81"/>
      <c r="E120" s="81"/>
      <c r="F120" s="74">
        <f t="shared" si="1"/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0"/>
      <c r="Y120" s="50"/>
    </row>
    <row r="121" spans="1:25" ht="15">
      <c r="A121" s="57" t="s">
        <v>351</v>
      </c>
      <c r="B121" s="39" t="s">
        <v>213</v>
      </c>
      <c r="C121" s="82">
        <f>SUM(C117:C120)</f>
        <v>0</v>
      </c>
      <c r="D121" s="82"/>
      <c r="E121" s="82"/>
      <c r="F121" s="74">
        <f t="shared" si="1"/>
        <v>0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0"/>
      <c r="Y121" s="50"/>
    </row>
    <row r="122" spans="1:25" ht="15">
      <c r="A122" s="41" t="s">
        <v>214</v>
      </c>
      <c r="B122" s="34" t="s">
        <v>215</v>
      </c>
      <c r="C122" s="79"/>
      <c r="D122" s="79"/>
      <c r="E122" s="79"/>
      <c r="F122" s="74">
        <f t="shared" si="1"/>
        <v>0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50"/>
      <c r="Y122" s="50"/>
    </row>
    <row r="123" spans="1:25" ht="15">
      <c r="A123" s="20" t="s">
        <v>385</v>
      </c>
      <c r="B123" s="21" t="s">
        <v>216</v>
      </c>
      <c r="C123" s="82">
        <f>SUM(C121,C116+C122)</f>
        <v>0</v>
      </c>
      <c r="D123" s="82"/>
      <c r="E123" s="82"/>
      <c r="F123" s="74">
        <f t="shared" si="1"/>
        <v>0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0"/>
      <c r="Y123" s="50"/>
    </row>
    <row r="124" spans="1:25" ht="15">
      <c r="A124" s="22" t="s">
        <v>422</v>
      </c>
      <c r="B124" s="23"/>
      <c r="C124" s="78">
        <f>SUM(C100+C123)</f>
        <v>82830504</v>
      </c>
      <c r="D124" s="78">
        <f>SUM(D100+D123)</f>
        <v>0</v>
      </c>
      <c r="E124" s="78">
        <f>SUM(E100+E123)</f>
        <v>0</v>
      </c>
      <c r="F124" s="75">
        <f t="shared" si="1"/>
        <v>82830504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2:25" ht="1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2:25" ht="1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2:25" ht="1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2:25" ht="1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2:25" ht="1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2:25" ht="1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2:25" ht="1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2:25" ht="1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2:25" ht="1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2:25" ht="1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2:25" ht="1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2:25" ht="1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2:25" ht="1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2:25" ht="1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2:25" ht="1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2:25" ht="1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2:25" ht="1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2:25" ht="1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2:25" ht="1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2:25" ht="1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2:25" ht="1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2:25" ht="1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2:25" ht="1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2:25" ht="1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2:25" ht="1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2:25" ht="1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2:25" ht="1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2:25" ht="1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2:25" ht="1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2:25" ht="1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2:25" ht="1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2:25" ht="1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2:25" ht="1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2:25" ht="1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2:25" ht="1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2:25" ht="1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2:25" ht="1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2:25" ht="15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2:25" ht="15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2:25" ht="15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2:25" ht="15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2:25" ht="15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2:25" ht="15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2:25" ht="15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2:25" ht="15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2:25" ht="1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2:25" ht="1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2:25" ht="15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2:25" ht="15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</sheetData>
  <sheetProtection/>
  <mergeCells count="3">
    <mergeCell ref="A3:F3"/>
    <mergeCell ref="A4:F4"/>
    <mergeCell ref="A1:F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B1">
      <selection activeCell="C85" sqref="C85"/>
    </sheetView>
  </sheetViews>
  <sheetFormatPr defaultColWidth="9.140625" defaultRowHeight="15"/>
  <cols>
    <col min="1" max="1" width="92.57421875" style="24" customWidth="1"/>
    <col min="2" max="2" width="9.140625" style="24" customWidth="1"/>
    <col min="3" max="3" width="16.140625" style="24" customWidth="1"/>
    <col min="4" max="4" width="14.140625" style="24" customWidth="1"/>
    <col min="5" max="5" width="16.421875" style="24" customWidth="1"/>
    <col min="6" max="6" width="16.28125" style="24" customWidth="1"/>
    <col min="7" max="16384" width="9.140625" style="24" customWidth="1"/>
  </cols>
  <sheetData>
    <row r="1" spans="1:6" ht="24" customHeight="1">
      <c r="A1" s="182" t="s">
        <v>448</v>
      </c>
      <c r="B1" s="183"/>
      <c r="C1" s="183"/>
      <c r="D1" s="183"/>
      <c r="E1" s="183"/>
      <c r="F1" s="184"/>
    </row>
    <row r="2" spans="1:8" ht="24" customHeight="1">
      <c r="A2" s="185" t="s">
        <v>440</v>
      </c>
      <c r="B2" s="183"/>
      <c r="C2" s="183"/>
      <c r="D2" s="183"/>
      <c r="E2" s="183"/>
      <c r="F2" s="184"/>
      <c r="H2" s="72"/>
    </row>
    <row r="3" ht="15.75">
      <c r="A3" s="25"/>
    </row>
    <row r="4" spans="1:6" ht="15">
      <c r="A4" s="73" t="s">
        <v>144</v>
      </c>
      <c r="F4" s="24" t="s">
        <v>434</v>
      </c>
    </row>
    <row r="5" spans="1:6" ht="46.5">
      <c r="A5" s="27" t="s">
        <v>44</v>
      </c>
      <c r="B5" s="28" t="s">
        <v>43</v>
      </c>
      <c r="C5" s="65" t="s">
        <v>10</v>
      </c>
      <c r="D5" s="65" t="s">
        <v>11</v>
      </c>
      <c r="E5" s="65" t="s">
        <v>12</v>
      </c>
      <c r="F5" s="65" t="s">
        <v>40</v>
      </c>
    </row>
    <row r="6" spans="1:6" ht="15" customHeight="1">
      <c r="A6" s="33" t="s">
        <v>217</v>
      </c>
      <c r="B6" s="38" t="s">
        <v>218</v>
      </c>
      <c r="C6" s="66"/>
      <c r="D6" s="66"/>
      <c r="E6" s="66"/>
      <c r="F6" s="66"/>
    </row>
    <row r="7" spans="1:6" ht="15" customHeight="1">
      <c r="A7" s="34" t="s">
        <v>219</v>
      </c>
      <c r="B7" s="38" t="s">
        <v>220</v>
      </c>
      <c r="C7" s="66"/>
      <c r="D7" s="66"/>
      <c r="E7" s="66"/>
      <c r="F7" s="66"/>
    </row>
    <row r="8" spans="1:6" ht="15" customHeight="1">
      <c r="A8" s="34" t="s">
        <v>221</v>
      </c>
      <c r="B8" s="38" t="s">
        <v>222</v>
      </c>
      <c r="C8" s="66"/>
      <c r="D8" s="66"/>
      <c r="E8" s="66"/>
      <c r="F8" s="66"/>
    </row>
    <row r="9" spans="1:6" ht="15" customHeight="1">
      <c r="A9" s="34" t="s">
        <v>223</v>
      </c>
      <c r="B9" s="38" t="s">
        <v>224</v>
      </c>
      <c r="C9" s="66"/>
      <c r="D9" s="66"/>
      <c r="E9" s="66"/>
      <c r="F9" s="66"/>
    </row>
    <row r="10" spans="1:6" ht="15" customHeight="1">
      <c r="A10" s="34" t="s">
        <v>225</v>
      </c>
      <c r="B10" s="38" t="s">
        <v>226</v>
      </c>
      <c r="C10" s="66"/>
      <c r="D10" s="66"/>
      <c r="E10" s="66"/>
      <c r="F10" s="66"/>
    </row>
    <row r="11" spans="1:6" ht="15" customHeight="1">
      <c r="A11" s="34" t="s">
        <v>227</v>
      </c>
      <c r="B11" s="38" t="s">
        <v>228</v>
      </c>
      <c r="C11" s="66"/>
      <c r="D11" s="66"/>
      <c r="E11" s="66"/>
      <c r="F11" s="66"/>
    </row>
    <row r="12" spans="1:6" ht="15" customHeight="1">
      <c r="A12" s="39" t="s">
        <v>424</v>
      </c>
      <c r="B12" s="47" t="s">
        <v>229</v>
      </c>
      <c r="C12" s="66"/>
      <c r="D12" s="66"/>
      <c r="E12" s="66"/>
      <c r="F12" s="66"/>
    </row>
    <row r="13" spans="1:6" ht="15" customHeight="1">
      <c r="A13" s="34" t="s">
        <v>230</v>
      </c>
      <c r="B13" s="38" t="s">
        <v>231</v>
      </c>
      <c r="C13" s="66"/>
      <c r="D13" s="66"/>
      <c r="E13" s="66"/>
      <c r="F13" s="66"/>
    </row>
    <row r="14" spans="1:6" ht="15" customHeight="1">
      <c r="A14" s="34" t="s">
        <v>232</v>
      </c>
      <c r="B14" s="38" t="s">
        <v>233</v>
      </c>
      <c r="C14" s="66"/>
      <c r="D14" s="66"/>
      <c r="E14" s="66"/>
      <c r="F14" s="66"/>
    </row>
    <row r="15" spans="1:6" ht="15" customHeight="1">
      <c r="A15" s="34" t="s">
        <v>386</v>
      </c>
      <c r="B15" s="38" t="s">
        <v>234</v>
      </c>
      <c r="C15" s="66"/>
      <c r="D15" s="66"/>
      <c r="E15" s="66"/>
      <c r="F15" s="66"/>
    </row>
    <row r="16" spans="1:6" ht="15" customHeight="1">
      <c r="A16" s="34" t="s">
        <v>387</v>
      </c>
      <c r="B16" s="38" t="s">
        <v>235</v>
      </c>
      <c r="C16" s="66"/>
      <c r="D16" s="66"/>
      <c r="E16" s="66"/>
      <c r="F16" s="66"/>
    </row>
    <row r="17" spans="1:6" ht="15" customHeight="1">
      <c r="A17" s="34" t="s">
        <v>388</v>
      </c>
      <c r="B17" s="38" t="s">
        <v>236</v>
      </c>
      <c r="C17" s="74">
        <v>9985724</v>
      </c>
      <c r="D17" s="74"/>
      <c r="E17" s="74"/>
      <c r="F17" s="74">
        <f>C17+D17+E17</f>
        <v>9985724</v>
      </c>
    </row>
    <row r="18" spans="1:6" ht="15" customHeight="1">
      <c r="A18" s="39" t="s">
        <v>425</v>
      </c>
      <c r="B18" s="47" t="s">
        <v>237</v>
      </c>
      <c r="C18" s="75">
        <f>SUM(C17)</f>
        <v>9985724</v>
      </c>
      <c r="D18" s="75">
        <f>SUM(D17)</f>
        <v>0</v>
      </c>
      <c r="E18" s="75">
        <f>SUM(E17)</f>
        <v>0</v>
      </c>
      <c r="F18" s="75">
        <f>SUM(F17)</f>
        <v>9985724</v>
      </c>
    </row>
    <row r="19" spans="1:6" ht="15" customHeight="1">
      <c r="A19" s="34" t="s">
        <v>392</v>
      </c>
      <c r="B19" s="38" t="s">
        <v>246</v>
      </c>
      <c r="C19" s="66"/>
      <c r="D19" s="66"/>
      <c r="E19" s="66"/>
      <c r="F19" s="66"/>
    </row>
    <row r="20" spans="1:6" ht="15" customHeight="1">
      <c r="A20" s="34" t="s">
        <v>393</v>
      </c>
      <c r="B20" s="38" t="s">
        <v>247</v>
      </c>
      <c r="C20" s="66"/>
      <c r="D20" s="66"/>
      <c r="E20" s="66"/>
      <c r="F20" s="66"/>
    </row>
    <row r="21" spans="1:6" ht="15" customHeight="1">
      <c r="A21" s="39" t="s">
        <v>427</v>
      </c>
      <c r="B21" s="47" t="s">
        <v>248</v>
      </c>
      <c r="C21" s="66"/>
      <c r="D21" s="66"/>
      <c r="E21" s="66"/>
      <c r="F21" s="66"/>
    </row>
    <row r="22" spans="1:6" ht="15" customHeight="1">
      <c r="A22" s="34" t="s">
        <v>394</v>
      </c>
      <c r="B22" s="38" t="s">
        <v>249</v>
      </c>
      <c r="C22" s="66"/>
      <c r="D22" s="66"/>
      <c r="E22" s="66"/>
      <c r="F22" s="66"/>
    </row>
    <row r="23" spans="1:6" ht="15" customHeight="1">
      <c r="A23" s="34" t="s">
        <v>395</v>
      </c>
      <c r="B23" s="38" t="s">
        <v>250</v>
      </c>
      <c r="C23" s="66"/>
      <c r="D23" s="66"/>
      <c r="E23" s="66"/>
      <c r="F23" s="66"/>
    </row>
    <row r="24" spans="1:6" ht="15" customHeight="1">
      <c r="A24" s="34" t="s">
        <v>396</v>
      </c>
      <c r="B24" s="38" t="s">
        <v>251</v>
      </c>
      <c r="C24" s="66"/>
      <c r="D24" s="66"/>
      <c r="E24" s="66"/>
      <c r="F24" s="66"/>
    </row>
    <row r="25" spans="1:6" ht="15" customHeight="1">
      <c r="A25" s="34" t="s">
        <v>397</v>
      </c>
      <c r="B25" s="38" t="s">
        <v>252</v>
      </c>
      <c r="C25" s="66"/>
      <c r="D25" s="66"/>
      <c r="E25" s="66"/>
      <c r="F25" s="66"/>
    </row>
    <row r="26" spans="1:6" ht="15" customHeight="1">
      <c r="A26" s="34" t="s">
        <v>398</v>
      </c>
      <c r="B26" s="38" t="s">
        <v>253</v>
      </c>
      <c r="C26" s="66"/>
      <c r="D26" s="66"/>
      <c r="E26" s="66"/>
      <c r="F26" s="66"/>
    </row>
    <row r="27" spans="1:6" ht="15" customHeight="1">
      <c r="A27" s="34" t="s">
        <v>254</v>
      </c>
      <c r="B27" s="38" t="s">
        <v>255</v>
      </c>
      <c r="C27" s="66"/>
      <c r="D27" s="66"/>
      <c r="E27" s="66"/>
      <c r="F27" s="66"/>
    </row>
    <row r="28" spans="1:6" ht="15" customHeight="1">
      <c r="A28" s="34" t="s">
        <v>399</v>
      </c>
      <c r="B28" s="38" t="s">
        <v>256</v>
      </c>
      <c r="C28" s="66"/>
      <c r="D28" s="66"/>
      <c r="E28" s="66"/>
      <c r="F28" s="66"/>
    </row>
    <row r="29" spans="1:6" ht="15" customHeight="1">
      <c r="A29" s="34" t="s">
        <v>400</v>
      </c>
      <c r="B29" s="38" t="s">
        <v>257</v>
      </c>
      <c r="C29" s="66"/>
      <c r="D29" s="66"/>
      <c r="E29" s="66"/>
      <c r="F29" s="66"/>
    </row>
    <row r="30" spans="1:6" ht="15" customHeight="1">
      <c r="A30" s="39" t="s">
        <v>428</v>
      </c>
      <c r="B30" s="47" t="s">
        <v>258</v>
      </c>
      <c r="C30" s="66"/>
      <c r="D30" s="66"/>
      <c r="E30" s="66"/>
      <c r="F30" s="66"/>
    </row>
    <row r="31" spans="1:6" ht="15" customHeight="1">
      <c r="A31" s="34" t="s">
        <v>401</v>
      </c>
      <c r="B31" s="38" t="s">
        <v>259</v>
      </c>
      <c r="C31" s="66"/>
      <c r="D31" s="66"/>
      <c r="E31" s="66"/>
      <c r="F31" s="66"/>
    </row>
    <row r="32" spans="1:6" ht="15" customHeight="1">
      <c r="A32" s="39" t="s">
        <v>429</v>
      </c>
      <c r="B32" s="47" t="s">
        <v>260</v>
      </c>
      <c r="C32" s="66"/>
      <c r="D32" s="66"/>
      <c r="E32" s="66"/>
      <c r="F32" s="66"/>
    </row>
    <row r="33" spans="1:6" ht="15" customHeight="1">
      <c r="A33" s="41" t="s">
        <v>261</v>
      </c>
      <c r="B33" s="38" t="s">
        <v>262</v>
      </c>
      <c r="C33" s="66"/>
      <c r="D33" s="66"/>
      <c r="E33" s="66"/>
      <c r="F33" s="66"/>
    </row>
    <row r="34" spans="1:6" ht="15" customHeight="1">
      <c r="A34" s="41" t="s">
        <v>402</v>
      </c>
      <c r="B34" s="38" t="s">
        <v>263</v>
      </c>
      <c r="C34" s="66"/>
      <c r="D34" s="66"/>
      <c r="E34" s="66"/>
      <c r="F34" s="66"/>
    </row>
    <row r="35" spans="1:6" ht="15" customHeight="1">
      <c r="A35" s="41" t="s">
        <v>403</v>
      </c>
      <c r="B35" s="38" t="s">
        <v>264</v>
      </c>
      <c r="C35" s="66"/>
      <c r="D35" s="66"/>
      <c r="E35" s="66"/>
      <c r="F35" s="66"/>
    </row>
    <row r="36" spans="1:6" ht="15" customHeight="1">
      <c r="A36" s="41" t="s">
        <v>404</v>
      </c>
      <c r="B36" s="38" t="s">
        <v>265</v>
      </c>
      <c r="C36" s="66"/>
      <c r="D36" s="66"/>
      <c r="E36" s="66"/>
      <c r="F36" s="66"/>
    </row>
    <row r="37" spans="1:6" ht="15" customHeight="1">
      <c r="A37" s="41" t="s">
        <v>266</v>
      </c>
      <c r="B37" s="38" t="s">
        <v>267</v>
      </c>
      <c r="C37" s="66"/>
      <c r="D37" s="66"/>
      <c r="E37" s="66"/>
      <c r="F37" s="66"/>
    </row>
    <row r="38" spans="1:6" ht="15" customHeight="1">
      <c r="A38" s="41" t="s">
        <v>268</v>
      </c>
      <c r="B38" s="38" t="s">
        <v>269</v>
      </c>
      <c r="C38" s="66"/>
      <c r="D38" s="66"/>
      <c r="E38" s="66"/>
      <c r="F38" s="66"/>
    </row>
    <row r="39" spans="1:6" ht="15" customHeight="1">
      <c r="A39" s="41" t="s">
        <v>270</v>
      </c>
      <c r="B39" s="38" t="s">
        <v>271</v>
      </c>
      <c r="C39" s="66"/>
      <c r="D39" s="66"/>
      <c r="E39" s="66"/>
      <c r="F39" s="66"/>
    </row>
    <row r="40" spans="1:6" ht="15" customHeight="1">
      <c r="A40" s="41" t="s">
        <v>405</v>
      </c>
      <c r="B40" s="38" t="s">
        <v>272</v>
      </c>
      <c r="C40" s="66"/>
      <c r="D40" s="66"/>
      <c r="E40" s="66"/>
      <c r="F40" s="66"/>
    </row>
    <row r="41" spans="1:6" ht="15" customHeight="1">
      <c r="A41" s="41" t="s">
        <v>406</v>
      </c>
      <c r="B41" s="38" t="s">
        <v>273</v>
      </c>
      <c r="C41" s="66"/>
      <c r="D41" s="66"/>
      <c r="E41" s="66"/>
      <c r="F41" s="66"/>
    </row>
    <row r="42" spans="1:6" ht="15" customHeight="1">
      <c r="A42" s="41" t="s">
        <v>407</v>
      </c>
      <c r="B42" s="38" t="s">
        <v>274</v>
      </c>
      <c r="C42" s="66"/>
      <c r="D42" s="66"/>
      <c r="E42" s="66"/>
      <c r="F42" s="66"/>
    </row>
    <row r="43" spans="1:6" ht="15" customHeight="1">
      <c r="A43" s="43" t="s">
        <v>430</v>
      </c>
      <c r="B43" s="47" t="s">
        <v>275</v>
      </c>
      <c r="C43" s="66"/>
      <c r="D43" s="66"/>
      <c r="E43" s="66"/>
      <c r="F43" s="66"/>
    </row>
    <row r="44" spans="1:6" ht="15" customHeight="1">
      <c r="A44" s="41" t="s">
        <v>284</v>
      </c>
      <c r="B44" s="38" t="s">
        <v>285</v>
      </c>
      <c r="C44" s="66"/>
      <c r="D44" s="66"/>
      <c r="E44" s="66"/>
      <c r="F44" s="66"/>
    </row>
    <row r="45" spans="1:6" ht="15" customHeight="1">
      <c r="A45" s="34" t="s">
        <v>411</v>
      </c>
      <c r="B45" s="38" t="s">
        <v>286</v>
      </c>
      <c r="C45" s="66"/>
      <c r="D45" s="66"/>
      <c r="E45" s="66"/>
      <c r="F45" s="66"/>
    </row>
    <row r="46" spans="1:6" ht="15" customHeight="1">
      <c r="A46" s="41" t="s">
        <v>412</v>
      </c>
      <c r="B46" s="38" t="s">
        <v>287</v>
      </c>
      <c r="C46" s="66"/>
      <c r="D46" s="66"/>
      <c r="E46" s="66"/>
      <c r="F46" s="66"/>
    </row>
    <row r="47" spans="1:6" ht="15" customHeight="1">
      <c r="A47" s="39" t="s">
        <v>432</v>
      </c>
      <c r="B47" s="47" t="s">
        <v>288</v>
      </c>
      <c r="C47" s="66"/>
      <c r="D47" s="66"/>
      <c r="E47" s="66"/>
      <c r="F47" s="66"/>
    </row>
    <row r="48" spans="1:6" ht="15" customHeight="1">
      <c r="A48" s="17" t="s">
        <v>9</v>
      </c>
      <c r="B48" s="76"/>
      <c r="C48" s="75">
        <f>C18</f>
        <v>9985724</v>
      </c>
      <c r="D48" s="75"/>
      <c r="E48" s="75"/>
      <c r="F48" s="75">
        <f>F18</f>
        <v>9985724</v>
      </c>
    </row>
    <row r="49" spans="1:6" ht="15" customHeight="1">
      <c r="A49" s="34" t="s">
        <v>238</v>
      </c>
      <c r="B49" s="38" t="s">
        <v>239</v>
      </c>
      <c r="C49" s="66"/>
      <c r="D49" s="66"/>
      <c r="E49" s="66"/>
      <c r="F49" s="66"/>
    </row>
    <row r="50" spans="1:6" ht="15" customHeight="1">
      <c r="A50" s="34" t="s">
        <v>240</v>
      </c>
      <c r="B50" s="38" t="s">
        <v>241</v>
      </c>
      <c r="C50" s="66"/>
      <c r="D50" s="66"/>
      <c r="E50" s="66"/>
      <c r="F50" s="66"/>
    </row>
    <row r="51" spans="1:6" ht="15" customHeight="1">
      <c r="A51" s="34" t="s">
        <v>389</v>
      </c>
      <c r="B51" s="38" t="s">
        <v>242</v>
      </c>
      <c r="C51" s="66"/>
      <c r="D51" s="66"/>
      <c r="E51" s="66"/>
      <c r="F51" s="66"/>
    </row>
    <row r="52" spans="1:6" ht="15" customHeight="1">
      <c r="A52" s="34" t="s">
        <v>390</v>
      </c>
      <c r="B52" s="38" t="s">
        <v>243</v>
      </c>
      <c r="C52" s="66"/>
      <c r="D52" s="66"/>
      <c r="E52" s="66"/>
      <c r="F52" s="66"/>
    </row>
    <row r="53" spans="1:6" ht="15" customHeight="1">
      <c r="A53" s="34" t="s">
        <v>391</v>
      </c>
      <c r="B53" s="38" t="s">
        <v>244</v>
      </c>
      <c r="C53" s="66"/>
      <c r="D53" s="66"/>
      <c r="E53" s="66"/>
      <c r="F53" s="66"/>
    </row>
    <row r="54" spans="1:6" ht="15" customHeight="1">
      <c r="A54" s="39" t="s">
        <v>426</v>
      </c>
      <c r="B54" s="47" t="s">
        <v>245</v>
      </c>
      <c r="C54" s="66"/>
      <c r="D54" s="66"/>
      <c r="E54" s="66"/>
      <c r="F54" s="66"/>
    </row>
    <row r="55" spans="1:6" ht="15" customHeight="1">
      <c r="A55" s="41" t="s">
        <v>408</v>
      </c>
      <c r="B55" s="38" t="s">
        <v>276</v>
      </c>
      <c r="C55" s="66"/>
      <c r="D55" s="66"/>
      <c r="E55" s="66"/>
      <c r="F55" s="66"/>
    </row>
    <row r="56" spans="1:6" ht="15" customHeight="1">
      <c r="A56" s="41" t="s">
        <v>409</v>
      </c>
      <c r="B56" s="38" t="s">
        <v>277</v>
      </c>
      <c r="C56" s="66"/>
      <c r="D56" s="66"/>
      <c r="E56" s="66"/>
      <c r="F56" s="66"/>
    </row>
    <row r="57" spans="1:6" ht="15" customHeight="1">
      <c r="A57" s="41" t="s">
        <v>278</v>
      </c>
      <c r="B57" s="38" t="s">
        <v>279</v>
      </c>
      <c r="C57" s="66"/>
      <c r="D57" s="66"/>
      <c r="E57" s="66"/>
      <c r="F57" s="66"/>
    </row>
    <row r="58" spans="1:6" ht="15" customHeight="1">
      <c r="A58" s="41" t="s">
        <v>410</v>
      </c>
      <c r="B58" s="38" t="s">
        <v>280</v>
      </c>
      <c r="C58" s="66"/>
      <c r="D58" s="66"/>
      <c r="E58" s="66"/>
      <c r="F58" s="66"/>
    </row>
    <row r="59" spans="1:6" ht="15" customHeight="1">
      <c r="A59" s="41" t="s">
        <v>281</v>
      </c>
      <c r="B59" s="38" t="s">
        <v>282</v>
      </c>
      <c r="C59" s="66"/>
      <c r="D59" s="66"/>
      <c r="E59" s="66"/>
      <c r="F59" s="66"/>
    </row>
    <row r="60" spans="1:6" ht="15" customHeight="1">
      <c r="A60" s="39" t="s">
        <v>431</v>
      </c>
      <c r="B60" s="47" t="s">
        <v>283</v>
      </c>
      <c r="C60" s="66"/>
      <c r="D60" s="66"/>
      <c r="E60" s="66"/>
      <c r="F60" s="66"/>
    </row>
    <row r="61" spans="1:6" ht="15" customHeight="1">
      <c r="A61" s="41" t="s">
        <v>289</v>
      </c>
      <c r="B61" s="38" t="s">
        <v>290</v>
      </c>
      <c r="C61" s="66"/>
      <c r="D61" s="66"/>
      <c r="E61" s="66"/>
      <c r="F61" s="66"/>
    </row>
    <row r="62" spans="1:6" ht="15" customHeight="1">
      <c r="A62" s="34" t="s">
        <v>413</v>
      </c>
      <c r="B62" s="38" t="s">
        <v>291</v>
      </c>
      <c r="C62" s="66"/>
      <c r="D62" s="66"/>
      <c r="E62" s="66"/>
      <c r="F62" s="66"/>
    </row>
    <row r="63" spans="1:6" ht="15" customHeight="1">
      <c r="A63" s="41" t="s">
        <v>414</v>
      </c>
      <c r="B63" s="38" t="s">
        <v>292</v>
      </c>
      <c r="C63" s="66"/>
      <c r="D63" s="66"/>
      <c r="E63" s="66"/>
      <c r="F63" s="66"/>
    </row>
    <row r="64" spans="1:6" ht="15" customHeight="1">
      <c r="A64" s="39" t="s">
        <v>1</v>
      </c>
      <c r="B64" s="47" t="s">
        <v>293</v>
      </c>
      <c r="C64" s="66"/>
      <c r="D64" s="66"/>
      <c r="E64" s="66"/>
      <c r="F64" s="66"/>
    </row>
    <row r="65" spans="1:6" ht="15" customHeight="1">
      <c r="A65" s="17" t="s">
        <v>8</v>
      </c>
      <c r="B65" s="76"/>
      <c r="C65" s="66"/>
      <c r="D65" s="66"/>
      <c r="E65" s="66"/>
      <c r="F65" s="66"/>
    </row>
    <row r="66" spans="1:6" ht="15">
      <c r="A66" s="62" t="s">
        <v>0</v>
      </c>
      <c r="B66" s="18" t="s">
        <v>294</v>
      </c>
      <c r="C66" s="75">
        <f>SUM(C18+C32++C43+C47+C54+C60+C64)</f>
        <v>9985724</v>
      </c>
      <c r="D66" s="75">
        <f>SUM(D18+D32++D43+D47+D54+D60+D64)</f>
        <v>0</v>
      </c>
      <c r="E66" s="75">
        <f>SUM(E18+E32++E43+E47+E54+E60+E64)</f>
        <v>0</v>
      </c>
      <c r="F66" s="75">
        <f>SUM(F18+F32++F43+F47+F54+F60+F64)</f>
        <v>9985724</v>
      </c>
    </row>
    <row r="67" spans="1:6" ht="15">
      <c r="A67" s="63" t="s">
        <v>17</v>
      </c>
      <c r="B67" s="64"/>
      <c r="C67" s="66"/>
      <c r="D67" s="66"/>
      <c r="E67" s="66"/>
      <c r="F67" s="66"/>
    </row>
    <row r="68" spans="1:6" ht="15">
      <c r="A68" s="63" t="s">
        <v>18</v>
      </c>
      <c r="B68" s="64"/>
      <c r="C68" s="66"/>
      <c r="D68" s="66"/>
      <c r="E68" s="66"/>
      <c r="F68" s="66"/>
    </row>
    <row r="69" spans="1:6" ht="15">
      <c r="A69" s="53" t="s">
        <v>416</v>
      </c>
      <c r="B69" s="34" t="s">
        <v>295</v>
      </c>
      <c r="C69" s="66"/>
      <c r="D69" s="66"/>
      <c r="E69" s="66"/>
      <c r="F69" s="66"/>
    </row>
    <row r="70" spans="1:6" ht="15">
      <c r="A70" s="41" t="s">
        <v>296</v>
      </c>
      <c r="B70" s="34" t="s">
        <v>297</v>
      </c>
      <c r="C70" s="66"/>
      <c r="D70" s="66"/>
      <c r="E70" s="66"/>
      <c r="F70" s="66"/>
    </row>
    <row r="71" spans="1:6" ht="15">
      <c r="A71" s="53" t="s">
        <v>417</v>
      </c>
      <c r="B71" s="34" t="s">
        <v>298</v>
      </c>
      <c r="C71" s="66"/>
      <c r="D71" s="66"/>
      <c r="E71" s="66"/>
      <c r="F71" s="66"/>
    </row>
    <row r="72" spans="1:6" ht="15">
      <c r="A72" s="43" t="s">
        <v>2</v>
      </c>
      <c r="B72" s="39" t="s">
        <v>299</v>
      </c>
      <c r="C72" s="66"/>
      <c r="D72" s="66"/>
      <c r="E72" s="66"/>
      <c r="F72" s="66"/>
    </row>
    <row r="73" spans="1:6" ht="15">
      <c r="A73" s="41" t="s">
        <v>418</v>
      </c>
      <c r="B73" s="34" t="s">
        <v>300</v>
      </c>
      <c r="C73" s="66"/>
      <c r="D73" s="66"/>
      <c r="E73" s="66"/>
      <c r="F73" s="66"/>
    </row>
    <row r="74" spans="1:6" ht="15">
      <c r="A74" s="53" t="s">
        <v>301</v>
      </c>
      <c r="B74" s="34" t="s">
        <v>302</v>
      </c>
      <c r="C74" s="66"/>
      <c r="D74" s="66"/>
      <c r="E74" s="66"/>
      <c r="F74" s="66"/>
    </row>
    <row r="75" spans="1:6" ht="15">
      <c r="A75" s="41" t="s">
        <v>419</v>
      </c>
      <c r="B75" s="34" t="s">
        <v>303</v>
      </c>
      <c r="C75" s="66"/>
      <c r="D75" s="66"/>
      <c r="E75" s="66"/>
      <c r="F75" s="66"/>
    </row>
    <row r="76" spans="1:6" ht="15">
      <c r="A76" s="53" t="s">
        <v>304</v>
      </c>
      <c r="B76" s="34" t="s">
        <v>305</v>
      </c>
      <c r="C76" s="66"/>
      <c r="D76" s="66"/>
      <c r="E76" s="66"/>
      <c r="F76" s="66"/>
    </row>
    <row r="77" spans="1:6" ht="15">
      <c r="A77" s="57" t="s">
        <v>3</v>
      </c>
      <c r="B77" s="39" t="s">
        <v>306</v>
      </c>
      <c r="C77" s="66"/>
      <c r="D77" s="66"/>
      <c r="E77" s="66"/>
      <c r="F77" s="66"/>
    </row>
    <row r="78" spans="1:6" ht="15">
      <c r="A78" s="34" t="s">
        <v>15</v>
      </c>
      <c r="B78" s="34" t="s">
        <v>307</v>
      </c>
      <c r="C78" s="74">
        <v>845797</v>
      </c>
      <c r="D78" s="74"/>
      <c r="E78" s="74"/>
      <c r="F78" s="74">
        <f>SUM(C78:E78)</f>
        <v>845797</v>
      </c>
    </row>
    <row r="79" spans="1:6" ht="15">
      <c r="A79" s="34" t="s">
        <v>16</v>
      </c>
      <c r="B79" s="34" t="s">
        <v>307</v>
      </c>
      <c r="C79" s="74"/>
      <c r="D79" s="74"/>
      <c r="E79" s="74"/>
      <c r="F79" s="74"/>
    </row>
    <row r="80" spans="1:6" ht="15">
      <c r="A80" s="34" t="s">
        <v>13</v>
      </c>
      <c r="B80" s="34" t="s">
        <v>308</v>
      </c>
      <c r="C80" s="74"/>
      <c r="D80" s="74"/>
      <c r="E80" s="74"/>
      <c r="F80" s="74"/>
    </row>
    <row r="81" spans="1:6" ht="15">
      <c r="A81" s="34" t="s">
        <v>14</v>
      </c>
      <c r="B81" s="34" t="s">
        <v>308</v>
      </c>
      <c r="C81" s="74"/>
      <c r="D81" s="74"/>
      <c r="E81" s="74"/>
      <c r="F81" s="74"/>
    </row>
    <row r="82" spans="1:6" ht="15">
      <c r="A82" s="39" t="s">
        <v>4</v>
      </c>
      <c r="B82" s="39" t="s">
        <v>309</v>
      </c>
      <c r="C82" s="75">
        <f>SUM(C78:C81)</f>
        <v>845797</v>
      </c>
      <c r="D82" s="75">
        <f>SUM(D78:D81)</f>
        <v>0</v>
      </c>
      <c r="E82" s="75"/>
      <c r="F82" s="75">
        <f>SUM(C82:E82)</f>
        <v>845797</v>
      </c>
    </row>
    <row r="83" spans="1:6" ht="15">
      <c r="A83" s="53" t="s">
        <v>310</v>
      </c>
      <c r="B83" s="34" t="s">
        <v>311</v>
      </c>
      <c r="C83" s="74"/>
      <c r="D83" s="74"/>
      <c r="E83" s="74"/>
      <c r="F83" s="74"/>
    </row>
    <row r="84" spans="1:6" ht="15">
      <c r="A84" s="53" t="s">
        <v>312</v>
      </c>
      <c r="B84" s="34" t="s">
        <v>313</v>
      </c>
      <c r="C84" s="74"/>
      <c r="D84" s="74"/>
      <c r="E84" s="74"/>
      <c r="F84" s="74"/>
    </row>
    <row r="85" spans="1:6" ht="15">
      <c r="A85" s="53" t="s">
        <v>314</v>
      </c>
      <c r="B85" s="34" t="s">
        <v>315</v>
      </c>
      <c r="C85" s="74">
        <f>62219383+9779600</f>
        <v>71998983</v>
      </c>
      <c r="D85" s="74"/>
      <c r="E85" s="74"/>
      <c r="F85" s="74">
        <f>SUM(C85:E85)</f>
        <v>71998983</v>
      </c>
    </row>
    <row r="86" spans="1:6" ht="15">
      <c r="A86" s="53" t="s">
        <v>316</v>
      </c>
      <c r="B86" s="34" t="s">
        <v>317</v>
      </c>
      <c r="C86" s="74"/>
      <c r="D86" s="74"/>
      <c r="E86" s="74"/>
      <c r="F86" s="74"/>
    </row>
    <row r="87" spans="1:6" ht="15">
      <c r="A87" s="41" t="s">
        <v>420</v>
      </c>
      <c r="B87" s="34" t="s">
        <v>318</v>
      </c>
      <c r="C87" s="74"/>
      <c r="D87" s="74"/>
      <c r="E87" s="74"/>
      <c r="F87" s="74"/>
    </row>
    <row r="88" spans="1:6" ht="15">
      <c r="A88" s="43" t="s">
        <v>5</v>
      </c>
      <c r="B88" s="39" t="s">
        <v>319</v>
      </c>
      <c r="C88" s="75">
        <f>SUM(C82+C85)</f>
        <v>72844780</v>
      </c>
      <c r="D88" s="75">
        <f>SUM(D82)</f>
        <v>0</v>
      </c>
      <c r="E88" s="75"/>
      <c r="F88" s="75">
        <f>SUM(C88:E88)</f>
        <v>72844780</v>
      </c>
    </row>
    <row r="89" spans="1:6" ht="15">
      <c r="A89" s="41" t="s">
        <v>320</v>
      </c>
      <c r="B89" s="34" t="s">
        <v>321</v>
      </c>
      <c r="C89" s="74"/>
      <c r="D89" s="74"/>
      <c r="E89" s="74"/>
      <c r="F89" s="74"/>
    </row>
    <row r="90" spans="1:6" ht="15">
      <c r="A90" s="41" t="s">
        <v>322</v>
      </c>
      <c r="B90" s="34" t="s">
        <v>323</v>
      </c>
      <c r="C90" s="74"/>
      <c r="D90" s="74"/>
      <c r="E90" s="74"/>
      <c r="F90" s="74"/>
    </row>
    <row r="91" spans="1:6" ht="15">
      <c r="A91" s="53" t="s">
        <v>324</v>
      </c>
      <c r="B91" s="34" t="s">
        <v>325</v>
      </c>
      <c r="C91" s="74"/>
      <c r="D91" s="74"/>
      <c r="E91" s="74"/>
      <c r="F91" s="74"/>
    </row>
    <row r="92" spans="1:6" ht="15">
      <c r="A92" s="53" t="s">
        <v>421</v>
      </c>
      <c r="B92" s="34" t="s">
        <v>326</v>
      </c>
      <c r="C92" s="74"/>
      <c r="D92" s="74"/>
      <c r="E92" s="74"/>
      <c r="F92" s="74"/>
    </row>
    <row r="93" spans="1:6" ht="15">
      <c r="A93" s="57" t="s">
        <v>6</v>
      </c>
      <c r="B93" s="39" t="s">
        <v>327</v>
      </c>
      <c r="C93" s="74"/>
      <c r="D93" s="74"/>
      <c r="E93" s="74"/>
      <c r="F93" s="74"/>
    </row>
    <row r="94" spans="1:6" ht="15">
      <c r="A94" s="43" t="s">
        <v>328</v>
      </c>
      <c r="B94" s="39" t="s">
        <v>329</v>
      </c>
      <c r="C94" s="74"/>
      <c r="D94" s="74"/>
      <c r="E94" s="74"/>
      <c r="F94" s="74"/>
    </row>
    <row r="95" spans="1:6" ht="15">
      <c r="A95" s="20" t="s">
        <v>7</v>
      </c>
      <c r="B95" s="21" t="s">
        <v>330</v>
      </c>
      <c r="C95" s="75">
        <f>SUM(C82+C85)</f>
        <v>72844780</v>
      </c>
      <c r="D95" s="75">
        <f>SUM(D82)</f>
        <v>0</v>
      </c>
      <c r="E95" s="75"/>
      <c r="F95" s="75">
        <f>SUM(C95:E95)</f>
        <v>72844780</v>
      </c>
    </row>
    <row r="96" spans="1:6" ht="15">
      <c r="A96" s="22" t="s">
        <v>423</v>
      </c>
      <c r="B96" s="23"/>
      <c r="C96" s="75">
        <f>SUM(C95+C66)</f>
        <v>82830504</v>
      </c>
      <c r="D96" s="75">
        <f>SUM(D66+D95)</f>
        <v>0</v>
      </c>
      <c r="E96" s="75"/>
      <c r="F96" s="75">
        <f>SUM(C96:E96)</f>
        <v>82830504</v>
      </c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Header>&amp;R&amp;"-,Dőlt"2.b melléklet a 8/2019.(V.31.) önkormányzati rendelethez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A6" sqref="A6"/>
    </sheetView>
  </sheetViews>
  <sheetFormatPr defaultColWidth="9.140625" defaultRowHeight="15"/>
  <cols>
    <col min="1" max="1" width="105.140625" style="24" customWidth="1"/>
    <col min="2" max="2" width="9.140625" style="24" customWidth="1"/>
    <col min="3" max="3" width="19.00390625" style="26" customWidth="1"/>
    <col min="4" max="4" width="20.140625" style="26" customWidth="1"/>
    <col min="5" max="5" width="18.8515625" style="26" customWidth="1"/>
    <col min="6" max="6" width="18.7109375" style="26" customWidth="1"/>
    <col min="7" max="16384" width="9.140625" style="24" customWidth="1"/>
  </cols>
  <sheetData>
    <row r="1" spans="1:6" ht="21" customHeight="1">
      <c r="A1" s="182" t="s">
        <v>446</v>
      </c>
      <c r="B1" s="183"/>
      <c r="C1" s="183"/>
      <c r="D1" s="183"/>
      <c r="E1" s="183"/>
      <c r="F1" s="184"/>
    </row>
    <row r="2" spans="1:6" ht="18.75" customHeight="1">
      <c r="A2" s="185" t="s">
        <v>433</v>
      </c>
      <c r="B2" s="183"/>
      <c r="C2" s="183"/>
      <c r="D2" s="183"/>
      <c r="E2" s="183"/>
      <c r="F2" s="184"/>
    </row>
    <row r="3" ht="15.75">
      <c r="A3" s="25"/>
    </row>
    <row r="4" spans="1:6" ht="15">
      <c r="A4" s="73" t="s">
        <v>443</v>
      </c>
      <c r="F4" s="26" t="s">
        <v>434</v>
      </c>
    </row>
    <row r="5" spans="1:6" ht="46.5">
      <c r="A5" s="27" t="s">
        <v>44</v>
      </c>
      <c r="B5" s="28" t="s">
        <v>45</v>
      </c>
      <c r="C5" s="29" t="s">
        <v>10</v>
      </c>
      <c r="D5" s="29" t="s">
        <v>11</v>
      </c>
      <c r="E5" s="29" t="s">
        <v>12</v>
      </c>
      <c r="F5" s="29" t="s">
        <v>40</v>
      </c>
    </row>
    <row r="6" spans="1:6" ht="15">
      <c r="A6" s="30" t="s">
        <v>46</v>
      </c>
      <c r="B6" s="30" t="s">
        <v>47</v>
      </c>
      <c r="C6" s="31">
        <f>'1.a melléklet'!C8+'2.a melléklet'!C8</f>
        <v>76297984</v>
      </c>
      <c r="D6" s="31"/>
      <c r="E6" s="31"/>
      <c r="F6" s="31">
        <f>C6+D6+E6</f>
        <v>76297984</v>
      </c>
    </row>
    <row r="7" spans="1:6" ht="15">
      <c r="A7" s="30" t="s">
        <v>48</v>
      </c>
      <c r="B7" s="32" t="s">
        <v>49</v>
      </c>
      <c r="C7" s="31">
        <f>'1.a melléklet'!C9+'2.a melléklet'!C9</f>
        <v>0</v>
      </c>
      <c r="D7" s="31"/>
      <c r="E7" s="31"/>
      <c r="F7" s="31">
        <f aca="true" t="shared" si="0" ref="F7:F70">C7+D7+E7</f>
        <v>0</v>
      </c>
    </row>
    <row r="8" spans="1:6" ht="15">
      <c r="A8" s="30" t="s">
        <v>50</v>
      </c>
      <c r="B8" s="32" t="s">
        <v>51</v>
      </c>
      <c r="C8" s="31">
        <f>'1.a melléklet'!C10+'2.a melléklet'!C10</f>
        <v>0</v>
      </c>
      <c r="D8" s="31"/>
      <c r="E8" s="31"/>
      <c r="F8" s="31">
        <f t="shared" si="0"/>
        <v>0</v>
      </c>
    </row>
    <row r="9" spans="1:6" ht="15">
      <c r="A9" s="33" t="s">
        <v>52</v>
      </c>
      <c r="B9" s="32" t="s">
        <v>53</v>
      </c>
      <c r="C9" s="31">
        <f>'1.a melléklet'!C11+'2.a melléklet'!C11</f>
        <v>0</v>
      </c>
      <c r="D9" s="31"/>
      <c r="E9" s="31"/>
      <c r="F9" s="31">
        <f t="shared" si="0"/>
        <v>0</v>
      </c>
    </row>
    <row r="10" spans="1:6" ht="15">
      <c r="A10" s="33" t="s">
        <v>54</v>
      </c>
      <c r="B10" s="32" t="s">
        <v>55</v>
      </c>
      <c r="C10" s="31">
        <f>'1.a melléklet'!C12+'2.a melléklet'!C12</f>
        <v>0</v>
      </c>
      <c r="D10" s="31"/>
      <c r="E10" s="31"/>
      <c r="F10" s="31">
        <f t="shared" si="0"/>
        <v>0</v>
      </c>
    </row>
    <row r="11" spans="1:6" ht="15">
      <c r="A11" s="33" t="s">
        <v>56</v>
      </c>
      <c r="B11" s="32" t="s">
        <v>57</v>
      </c>
      <c r="C11" s="31">
        <f>'1.a melléklet'!C13+'2.a melléklet'!C13</f>
        <v>1869000</v>
      </c>
      <c r="D11" s="31"/>
      <c r="E11" s="31"/>
      <c r="F11" s="31">
        <f t="shared" si="0"/>
        <v>1869000</v>
      </c>
    </row>
    <row r="12" spans="1:6" ht="15">
      <c r="A12" s="33" t="s">
        <v>58</v>
      </c>
      <c r="B12" s="32" t="s">
        <v>59</v>
      </c>
      <c r="C12" s="31">
        <f>'1.a melléklet'!C14+'2.a melléklet'!C14</f>
        <v>2753938</v>
      </c>
      <c r="D12" s="31"/>
      <c r="E12" s="31"/>
      <c r="F12" s="31">
        <f t="shared" si="0"/>
        <v>2753938</v>
      </c>
    </row>
    <row r="13" spans="1:6" ht="15">
      <c r="A13" s="33" t="s">
        <v>60</v>
      </c>
      <c r="B13" s="32" t="s">
        <v>61</v>
      </c>
      <c r="C13" s="31">
        <f>'1.a melléklet'!C15+'2.a melléklet'!C15</f>
        <v>0</v>
      </c>
      <c r="D13" s="31"/>
      <c r="E13" s="31"/>
      <c r="F13" s="31">
        <f t="shared" si="0"/>
        <v>0</v>
      </c>
    </row>
    <row r="14" spans="1:6" ht="15">
      <c r="A14" s="34" t="s">
        <v>62</v>
      </c>
      <c r="B14" s="32" t="s">
        <v>63</v>
      </c>
      <c r="C14" s="31">
        <f>'1.a melléklet'!C16+'2.a melléklet'!C16</f>
        <v>1095590</v>
      </c>
      <c r="D14" s="31"/>
      <c r="E14" s="31"/>
      <c r="F14" s="31">
        <f t="shared" si="0"/>
        <v>1095590</v>
      </c>
    </row>
    <row r="15" spans="1:6" ht="15">
      <c r="A15" s="34" t="s">
        <v>64</v>
      </c>
      <c r="B15" s="32" t="s">
        <v>65</v>
      </c>
      <c r="C15" s="31">
        <f>'1.a melléklet'!C17+'2.a melléklet'!C17</f>
        <v>0</v>
      </c>
      <c r="D15" s="31"/>
      <c r="E15" s="31"/>
      <c r="F15" s="31">
        <f t="shared" si="0"/>
        <v>0</v>
      </c>
    </row>
    <row r="16" spans="1:6" ht="15">
      <c r="A16" s="34" t="s">
        <v>66</v>
      </c>
      <c r="B16" s="32" t="s">
        <v>67</v>
      </c>
      <c r="C16" s="31">
        <f>'1.a melléklet'!C18+'2.a melléklet'!C18</f>
        <v>0</v>
      </c>
      <c r="D16" s="31"/>
      <c r="E16" s="31"/>
      <c r="F16" s="31">
        <f t="shared" si="0"/>
        <v>0</v>
      </c>
    </row>
    <row r="17" spans="1:6" ht="15">
      <c r="A17" s="34" t="s">
        <v>68</v>
      </c>
      <c r="B17" s="32" t="s">
        <v>69</v>
      </c>
      <c r="C17" s="31">
        <f>'1.a melléklet'!C19+'2.a melléklet'!C19</f>
        <v>0</v>
      </c>
      <c r="D17" s="31"/>
      <c r="E17" s="31"/>
      <c r="F17" s="31">
        <f t="shared" si="0"/>
        <v>0</v>
      </c>
    </row>
    <row r="18" spans="1:6" ht="15">
      <c r="A18" s="34" t="s">
        <v>352</v>
      </c>
      <c r="B18" s="32" t="s">
        <v>70</v>
      </c>
      <c r="C18" s="31">
        <f>'1.a melléklet'!C20+'2.a melléklet'!C20</f>
        <v>0</v>
      </c>
      <c r="D18" s="31"/>
      <c r="E18" s="31"/>
      <c r="F18" s="31">
        <f t="shared" si="0"/>
        <v>0</v>
      </c>
    </row>
    <row r="19" spans="1:6" ht="15">
      <c r="A19" s="35" t="s">
        <v>331</v>
      </c>
      <c r="B19" s="36" t="s">
        <v>71</v>
      </c>
      <c r="C19" s="37">
        <f>SUM(C6:C18)</f>
        <v>82016512</v>
      </c>
      <c r="D19" s="37"/>
      <c r="E19" s="37"/>
      <c r="F19" s="37">
        <f t="shared" si="0"/>
        <v>82016512</v>
      </c>
    </row>
    <row r="20" spans="1:6" ht="15">
      <c r="A20" s="34" t="s">
        <v>72</v>
      </c>
      <c r="B20" s="32" t="s">
        <v>73</v>
      </c>
      <c r="C20" s="31">
        <f>'1.a melléklet'!C22+'2.a melléklet'!C22</f>
        <v>7081860</v>
      </c>
      <c r="D20" s="31"/>
      <c r="E20" s="31"/>
      <c r="F20" s="31">
        <f t="shared" si="0"/>
        <v>7081860</v>
      </c>
    </row>
    <row r="21" spans="1:6" ht="15">
      <c r="A21" s="34" t="s">
        <v>74</v>
      </c>
      <c r="B21" s="32" t="s">
        <v>75</v>
      </c>
      <c r="C21" s="31">
        <f>'1.a melléklet'!C23+'2.a melléklet'!C23</f>
        <v>1447600</v>
      </c>
      <c r="D21" s="31"/>
      <c r="E21" s="31"/>
      <c r="F21" s="31">
        <f t="shared" si="0"/>
        <v>1447600</v>
      </c>
    </row>
    <row r="22" spans="1:6" ht="15">
      <c r="A22" s="38" t="s">
        <v>76</v>
      </c>
      <c r="B22" s="32" t="s">
        <v>77</v>
      </c>
      <c r="C22" s="31"/>
      <c r="D22" s="31"/>
      <c r="E22" s="31"/>
      <c r="F22" s="31">
        <f t="shared" si="0"/>
        <v>0</v>
      </c>
    </row>
    <row r="23" spans="1:6" ht="15">
      <c r="A23" s="39" t="s">
        <v>332</v>
      </c>
      <c r="B23" s="36" t="s">
        <v>78</v>
      </c>
      <c r="C23" s="37">
        <f>SUM(C20:C22)</f>
        <v>8529460</v>
      </c>
      <c r="D23" s="37"/>
      <c r="E23" s="37"/>
      <c r="F23" s="37">
        <f t="shared" si="0"/>
        <v>8529460</v>
      </c>
    </row>
    <row r="24" spans="1:6" ht="15">
      <c r="A24" s="35" t="s">
        <v>382</v>
      </c>
      <c r="B24" s="36" t="s">
        <v>79</v>
      </c>
      <c r="C24" s="37">
        <f>SUM(C23,C19)</f>
        <v>90545972</v>
      </c>
      <c r="D24" s="37"/>
      <c r="E24" s="37"/>
      <c r="F24" s="37">
        <f t="shared" si="0"/>
        <v>90545972</v>
      </c>
    </row>
    <row r="25" spans="1:6" ht="15">
      <c r="A25" s="39" t="s">
        <v>353</v>
      </c>
      <c r="B25" s="36" t="s">
        <v>80</v>
      </c>
      <c r="C25" s="37">
        <f>6000989+9805553</f>
        <v>15806542</v>
      </c>
      <c r="D25" s="37"/>
      <c r="E25" s="37"/>
      <c r="F25" s="37">
        <f t="shared" si="0"/>
        <v>15806542</v>
      </c>
    </row>
    <row r="26" spans="1:6" ht="15">
      <c r="A26" s="34" t="s">
        <v>81</v>
      </c>
      <c r="B26" s="32" t="s">
        <v>82</v>
      </c>
      <c r="C26" s="31">
        <f>'1.a melléklet'!C28+'2.a melléklet'!C28</f>
        <v>987000</v>
      </c>
      <c r="D26" s="31"/>
      <c r="E26" s="31"/>
      <c r="F26" s="31">
        <f t="shared" si="0"/>
        <v>987000</v>
      </c>
    </row>
    <row r="27" spans="1:6" ht="15">
      <c r="A27" s="34" t="s">
        <v>83</v>
      </c>
      <c r="B27" s="32" t="s">
        <v>84</v>
      </c>
      <c r="C27" s="31">
        <f>'1.a melléklet'!C29+'2.a melléklet'!C29</f>
        <v>7517038</v>
      </c>
      <c r="D27" s="31"/>
      <c r="E27" s="31"/>
      <c r="F27" s="31">
        <f t="shared" si="0"/>
        <v>7517038</v>
      </c>
    </row>
    <row r="28" spans="1:6" ht="15">
      <c r="A28" s="34" t="s">
        <v>85</v>
      </c>
      <c r="B28" s="32" t="s">
        <v>86</v>
      </c>
      <c r="C28" s="31">
        <v>0</v>
      </c>
      <c r="D28" s="31"/>
      <c r="E28" s="31"/>
      <c r="F28" s="31">
        <f t="shared" si="0"/>
        <v>0</v>
      </c>
    </row>
    <row r="29" spans="1:6" ht="15">
      <c r="A29" s="39" t="s">
        <v>333</v>
      </c>
      <c r="B29" s="36" t="s">
        <v>87</v>
      </c>
      <c r="C29" s="37">
        <f>SUM(C26:C28)</f>
        <v>8504038</v>
      </c>
      <c r="D29" s="37"/>
      <c r="E29" s="37"/>
      <c r="F29" s="37">
        <f>C29+D29+E29</f>
        <v>8504038</v>
      </c>
    </row>
    <row r="30" spans="1:6" ht="15">
      <c r="A30" s="34" t="s">
        <v>88</v>
      </c>
      <c r="B30" s="32" t="s">
        <v>89</v>
      </c>
      <c r="C30" s="31">
        <f>'1.a melléklet'!C32+'2.a melléklet'!C32</f>
        <v>2393000</v>
      </c>
      <c r="D30" s="31"/>
      <c r="E30" s="31"/>
      <c r="F30" s="31">
        <f t="shared" si="0"/>
        <v>2393000</v>
      </c>
    </row>
    <row r="31" spans="1:6" ht="15">
      <c r="A31" s="34" t="s">
        <v>90</v>
      </c>
      <c r="B31" s="32" t="s">
        <v>91</v>
      </c>
      <c r="C31" s="31">
        <f>'1.a melléklet'!C33+'2.a melléklet'!C33</f>
        <v>1360000</v>
      </c>
      <c r="D31" s="31"/>
      <c r="E31" s="31"/>
      <c r="F31" s="31">
        <f t="shared" si="0"/>
        <v>1360000</v>
      </c>
    </row>
    <row r="32" spans="1:6" ht="15" customHeight="1">
      <c r="A32" s="39" t="s">
        <v>383</v>
      </c>
      <c r="B32" s="36" t="s">
        <v>92</v>
      </c>
      <c r="C32" s="31">
        <f>'1.a melléklet'!C34+'2.a melléklet'!C34</f>
        <v>3753000</v>
      </c>
      <c r="D32" s="37"/>
      <c r="E32" s="37"/>
      <c r="F32" s="37">
        <f t="shared" si="0"/>
        <v>3753000</v>
      </c>
    </row>
    <row r="33" spans="1:6" ht="15">
      <c r="A33" s="34" t="s">
        <v>93</v>
      </c>
      <c r="B33" s="32" t="s">
        <v>94</v>
      </c>
      <c r="C33" s="31">
        <f>'1.a melléklet'!C35+'2.a melléklet'!C35</f>
        <v>7105000</v>
      </c>
      <c r="D33" s="31"/>
      <c r="E33" s="31"/>
      <c r="F33" s="31">
        <f t="shared" si="0"/>
        <v>7105000</v>
      </c>
    </row>
    <row r="34" spans="1:6" ht="15">
      <c r="A34" s="34" t="s">
        <v>95</v>
      </c>
      <c r="B34" s="32" t="s">
        <v>96</v>
      </c>
      <c r="C34" s="31">
        <f>'1.a melléklet'!C36+'2.a melléklet'!C36</f>
        <v>1421000</v>
      </c>
      <c r="D34" s="31"/>
      <c r="E34" s="31"/>
      <c r="F34" s="31">
        <f t="shared" si="0"/>
        <v>1421000</v>
      </c>
    </row>
    <row r="35" spans="1:6" ht="15">
      <c r="A35" s="34" t="s">
        <v>354</v>
      </c>
      <c r="B35" s="32" t="s">
        <v>97</v>
      </c>
      <c r="C35" s="31">
        <f>'1.a melléklet'!C37+'2.a melléklet'!C37</f>
        <v>1910000</v>
      </c>
      <c r="D35" s="31"/>
      <c r="E35" s="31"/>
      <c r="F35" s="31">
        <f t="shared" si="0"/>
        <v>1910000</v>
      </c>
    </row>
    <row r="36" spans="1:6" ht="15">
      <c r="A36" s="34" t="s">
        <v>98</v>
      </c>
      <c r="B36" s="32" t="s">
        <v>99</v>
      </c>
      <c r="C36" s="31">
        <f>'1.a melléklet'!C38+'2.a melléklet'!C38</f>
        <v>25593737</v>
      </c>
      <c r="D36" s="31"/>
      <c r="E36" s="31"/>
      <c r="F36" s="31">
        <f t="shared" si="0"/>
        <v>25593737</v>
      </c>
    </row>
    <row r="37" spans="1:6" ht="15">
      <c r="A37" s="40" t="s">
        <v>355</v>
      </c>
      <c r="B37" s="32" t="s">
        <v>100</v>
      </c>
      <c r="C37" s="31">
        <f>'1.a melléklet'!C39+'2.a melléklet'!C39</f>
        <v>0</v>
      </c>
      <c r="D37" s="31"/>
      <c r="E37" s="31"/>
      <c r="F37" s="31">
        <f t="shared" si="0"/>
        <v>0</v>
      </c>
    </row>
    <row r="38" spans="1:6" ht="15">
      <c r="A38" s="38" t="s">
        <v>101</v>
      </c>
      <c r="B38" s="32" t="s">
        <v>102</v>
      </c>
      <c r="C38" s="31">
        <f>'1.a melléklet'!C40+'2.a melléklet'!C40</f>
        <v>4672000</v>
      </c>
      <c r="D38" s="31"/>
      <c r="E38" s="31"/>
      <c r="F38" s="31">
        <f t="shared" si="0"/>
        <v>4672000</v>
      </c>
    </row>
    <row r="39" spans="1:6" ht="15">
      <c r="A39" s="34" t="s">
        <v>356</v>
      </c>
      <c r="B39" s="32" t="s">
        <v>103</v>
      </c>
      <c r="C39" s="31">
        <f>'1.a melléklet'!C41+'2.a melléklet'!C41</f>
        <v>7288000</v>
      </c>
      <c r="D39" s="31"/>
      <c r="E39" s="31"/>
      <c r="F39" s="31">
        <f t="shared" si="0"/>
        <v>7288000</v>
      </c>
    </row>
    <row r="40" spans="1:6" ht="15">
      <c r="A40" s="39" t="s">
        <v>334</v>
      </c>
      <c r="B40" s="36" t="s">
        <v>104</v>
      </c>
      <c r="C40" s="37">
        <f>SUM(C33:C39)</f>
        <v>47989737</v>
      </c>
      <c r="D40" s="37"/>
      <c r="E40" s="37"/>
      <c r="F40" s="37">
        <f t="shared" si="0"/>
        <v>47989737</v>
      </c>
    </row>
    <row r="41" spans="1:6" ht="15">
      <c r="A41" s="34" t="s">
        <v>105</v>
      </c>
      <c r="B41" s="32" t="s">
        <v>106</v>
      </c>
      <c r="C41" s="31">
        <f>'1.a melléklet'!C43+'2.a melléklet'!C43</f>
        <v>2124000</v>
      </c>
      <c r="D41" s="31"/>
      <c r="E41" s="31"/>
      <c r="F41" s="31">
        <f t="shared" si="0"/>
        <v>2124000</v>
      </c>
    </row>
    <row r="42" spans="1:6" ht="15">
      <c r="A42" s="34" t="s">
        <v>107</v>
      </c>
      <c r="B42" s="32" t="s">
        <v>108</v>
      </c>
      <c r="C42" s="31">
        <f>'1.a melléklet'!C44+'2.a melléklet'!C44</f>
        <v>500000</v>
      </c>
      <c r="D42" s="31"/>
      <c r="E42" s="31"/>
      <c r="F42" s="31">
        <f t="shared" si="0"/>
        <v>500000</v>
      </c>
    </row>
    <row r="43" spans="1:6" ht="15">
      <c r="A43" s="39" t="s">
        <v>335</v>
      </c>
      <c r="B43" s="36" t="s">
        <v>109</v>
      </c>
      <c r="C43" s="37">
        <f>SUM(C41:C42)</f>
        <v>2624000</v>
      </c>
      <c r="D43" s="37"/>
      <c r="E43" s="37"/>
      <c r="F43" s="37">
        <f t="shared" si="0"/>
        <v>2624000</v>
      </c>
    </row>
    <row r="44" spans="1:6" ht="15">
      <c r="A44" s="34" t="s">
        <v>110</v>
      </c>
      <c r="B44" s="32" t="s">
        <v>111</v>
      </c>
      <c r="C44" s="31">
        <f>'1.a melléklet'!C46+'2.a melléklet'!C46</f>
        <v>14779676</v>
      </c>
      <c r="D44" s="31"/>
      <c r="E44" s="31"/>
      <c r="F44" s="31">
        <f t="shared" si="0"/>
        <v>14779676</v>
      </c>
    </row>
    <row r="45" spans="1:6" ht="15">
      <c r="A45" s="34" t="s">
        <v>112</v>
      </c>
      <c r="B45" s="32" t="s">
        <v>113</v>
      </c>
      <c r="C45" s="31">
        <f>'1.a melléklet'!C47+'2.a melléklet'!C47</f>
        <v>27669000</v>
      </c>
      <c r="D45" s="31"/>
      <c r="E45" s="31"/>
      <c r="F45" s="31">
        <f t="shared" si="0"/>
        <v>27669000</v>
      </c>
    </row>
    <row r="46" spans="1:6" ht="15">
      <c r="A46" s="34" t="s">
        <v>357</v>
      </c>
      <c r="B46" s="32" t="s">
        <v>114</v>
      </c>
      <c r="C46" s="31">
        <f>'1.a melléklet'!C48+'2.a melléklet'!C48</f>
        <v>0</v>
      </c>
      <c r="D46" s="31"/>
      <c r="E46" s="31"/>
      <c r="F46" s="31">
        <f t="shared" si="0"/>
        <v>0</v>
      </c>
    </row>
    <row r="47" spans="1:6" ht="15">
      <c r="A47" s="34" t="s">
        <v>358</v>
      </c>
      <c r="B47" s="32" t="s">
        <v>115</v>
      </c>
      <c r="C47" s="31">
        <f>'1.a melléklet'!C49+'2.a melléklet'!C49</f>
        <v>0</v>
      </c>
      <c r="D47" s="31"/>
      <c r="E47" s="31"/>
      <c r="F47" s="31">
        <f t="shared" si="0"/>
        <v>0</v>
      </c>
    </row>
    <row r="48" spans="1:6" ht="15">
      <c r="A48" s="34" t="s">
        <v>116</v>
      </c>
      <c r="B48" s="32" t="s">
        <v>117</v>
      </c>
      <c r="C48" s="31">
        <f>'1.a melléklet'!C50+'2.a melléklet'!C50</f>
        <v>60000</v>
      </c>
      <c r="D48" s="31"/>
      <c r="E48" s="31"/>
      <c r="F48" s="31">
        <f t="shared" si="0"/>
        <v>60000</v>
      </c>
    </row>
    <row r="49" spans="1:6" ht="15">
      <c r="A49" s="39" t="s">
        <v>336</v>
      </c>
      <c r="B49" s="36" t="s">
        <v>118</v>
      </c>
      <c r="C49" s="37">
        <f>SUM(C44:C48)</f>
        <v>42508676</v>
      </c>
      <c r="D49" s="37"/>
      <c r="E49" s="37"/>
      <c r="F49" s="37">
        <f t="shared" si="0"/>
        <v>42508676</v>
      </c>
    </row>
    <row r="50" spans="1:6" ht="15">
      <c r="A50" s="39" t="s">
        <v>337</v>
      </c>
      <c r="B50" s="36" t="s">
        <v>119</v>
      </c>
      <c r="C50" s="37">
        <f>SUM(C49,C43,C40,C32,C29)</f>
        <v>105379451</v>
      </c>
      <c r="D50" s="37"/>
      <c r="E50" s="37"/>
      <c r="F50" s="37">
        <f t="shared" si="0"/>
        <v>105379451</v>
      </c>
    </row>
    <row r="51" spans="1:6" ht="15">
      <c r="A51" s="41" t="s">
        <v>120</v>
      </c>
      <c r="B51" s="32" t="s">
        <v>121</v>
      </c>
      <c r="C51" s="31"/>
      <c r="D51" s="31"/>
      <c r="E51" s="31"/>
      <c r="F51" s="31">
        <f t="shared" si="0"/>
        <v>0</v>
      </c>
    </row>
    <row r="52" spans="1:6" ht="15">
      <c r="A52" s="41" t="s">
        <v>338</v>
      </c>
      <c r="B52" s="32" t="s">
        <v>122</v>
      </c>
      <c r="C52" s="31"/>
      <c r="D52" s="31"/>
      <c r="E52" s="31"/>
      <c r="F52" s="31">
        <f t="shared" si="0"/>
        <v>0</v>
      </c>
    </row>
    <row r="53" spans="1:6" ht="15">
      <c r="A53" s="42" t="s">
        <v>359</v>
      </c>
      <c r="B53" s="32" t="s">
        <v>123</v>
      </c>
      <c r="C53" s="31"/>
      <c r="D53" s="31"/>
      <c r="E53" s="31"/>
      <c r="F53" s="31">
        <f t="shared" si="0"/>
        <v>0</v>
      </c>
    </row>
    <row r="54" spans="1:6" ht="15">
      <c r="A54" s="42" t="s">
        <v>360</v>
      </c>
      <c r="B54" s="32" t="s">
        <v>124</v>
      </c>
      <c r="C54" s="31"/>
      <c r="D54" s="31"/>
      <c r="E54" s="31"/>
      <c r="F54" s="31">
        <f t="shared" si="0"/>
        <v>0</v>
      </c>
    </row>
    <row r="55" spans="1:6" ht="15">
      <c r="A55" s="42" t="s">
        <v>361</v>
      </c>
      <c r="B55" s="32" t="s">
        <v>125</v>
      </c>
      <c r="C55" s="31"/>
      <c r="D55" s="31"/>
      <c r="E55" s="31"/>
      <c r="F55" s="31">
        <f t="shared" si="0"/>
        <v>0</v>
      </c>
    </row>
    <row r="56" spans="1:6" ht="15">
      <c r="A56" s="41" t="s">
        <v>362</v>
      </c>
      <c r="B56" s="32" t="s">
        <v>126</v>
      </c>
      <c r="C56" s="31"/>
      <c r="D56" s="31"/>
      <c r="E56" s="31"/>
      <c r="F56" s="31">
        <f t="shared" si="0"/>
        <v>0</v>
      </c>
    </row>
    <row r="57" spans="1:6" ht="15">
      <c r="A57" s="41" t="s">
        <v>363</v>
      </c>
      <c r="B57" s="32" t="s">
        <v>127</v>
      </c>
      <c r="C57" s="31"/>
      <c r="D57" s="31"/>
      <c r="E57" s="31"/>
      <c r="F57" s="31">
        <f t="shared" si="0"/>
        <v>0</v>
      </c>
    </row>
    <row r="58" spans="1:6" ht="15">
      <c r="A58" s="41" t="s">
        <v>364</v>
      </c>
      <c r="B58" s="32" t="s">
        <v>128</v>
      </c>
      <c r="C58" s="31">
        <f>'1.a melléklet'!C60+'2.a melléklet'!C60</f>
        <v>7189360</v>
      </c>
      <c r="D58" s="31"/>
      <c r="E58" s="31"/>
      <c r="F58" s="31">
        <f t="shared" si="0"/>
        <v>7189360</v>
      </c>
    </row>
    <row r="59" spans="1:6" ht="15">
      <c r="A59" s="43" t="s">
        <v>339</v>
      </c>
      <c r="B59" s="36" t="s">
        <v>129</v>
      </c>
      <c r="C59" s="37">
        <f>SUM(C51:C58)</f>
        <v>7189360</v>
      </c>
      <c r="D59" s="37"/>
      <c r="E59" s="37"/>
      <c r="F59" s="37">
        <f t="shared" si="0"/>
        <v>7189360</v>
      </c>
    </row>
    <row r="60" spans="1:6" ht="15">
      <c r="A60" s="44" t="s">
        <v>365</v>
      </c>
      <c r="B60" s="32" t="s">
        <v>130</v>
      </c>
      <c r="C60" s="31">
        <f>'1.a melléklet'!C62+'2.a melléklet'!C62</f>
        <v>0</v>
      </c>
      <c r="D60" s="31"/>
      <c r="E60" s="31"/>
      <c r="F60" s="31">
        <f t="shared" si="0"/>
        <v>0</v>
      </c>
    </row>
    <row r="61" spans="1:6" ht="15">
      <c r="A61" s="44" t="s">
        <v>131</v>
      </c>
      <c r="B61" s="32" t="s">
        <v>132</v>
      </c>
      <c r="C61" s="31">
        <f>'1.a melléklet'!C63+'2.a melléklet'!C63</f>
        <v>0</v>
      </c>
      <c r="D61" s="31"/>
      <c r="E61" s="31"/>
      <c r="F61" s="31">
        <f t="shared" si="0"/>
        <v>0</v>
      </c>
    </row>
    <row r="62" spans="1:6" ht="15">
      <c r="A62" s="44" t="s">
        <v>133</v>
      </c>
      <c r="B62" s="32" t="s">
        <v>134</v>
      </c>
      <c r="C62" s="31">
        <f>'1.a melléklet'!C64+'2.a melléklet'!C64</f>
        <v>0</v>
      </c>
      <c r="D62" s="31"/>
      <c r="E62" s="31"/>
      <c r="F62" s="31">
        <f t="shared" si="0"/>
        <v>0</v>
      </c>
    </row>
    <row r="63" spans="1:6" ht="15">
      <c r="A63" s="44" t="s">
        <v>340</v>
      </c>
      <c r="B63" s="32" t="s">
        <v>135</v>
      </c>
      <c r="C63" s="31">
        <f>'1.a melléklet'!C65+'2.a melléklet'!C65</f>
        <v>0</v>
      </c>
      <c r="D63" s="31"/>
      <c r="E63" s="31"/>
      <c r="F63" s="31">
        <f t="shared" si="0"/>
        <v>0</v>
      </c>
    </row>
    <row r="64" spans="1:6" ht="15">
      <c r="A64" s="44" t="s">
        <v>366</v>
      </c>
      <c r="B64" s="32" t="s">
        <v>136</v>
      </c>
      <c r="C64" s="31">
        <f>'1.a melléklet'!C66+'2.a melléklet'!C66</f>
        <v>0</v>
      </c>
      <c r="D64" s="31"/>
      <c r="E64" s="31"/>
      <c r="F64" s="31">
        <f t="shared" si="0"/>
        <v>0</v>
      </c>
    </row>
    <row r="65" spans="1:6" ht="15">
      <c r="A65" s="44" t="s">
        <v>341</v>
      </c>
      <c r="B65" s="32" t="s">
        <v>137</v>
      </c>
      <c r="C65" s="31">
        <f>'1.a melléklet'!C67+'2.a melléklet'!C67</f>
        <v>89230646</v>
      </c>
      <c r="D65" s="31"/>
      <c r="E65" s="31"/>
      <c r="F65" s="31">
        <f t="shared" si="0"/>
        <v>89230646</v>
      </c>
    </row>
    <row r="66" spans="1:6" ht="15">
      <c r="A66" s="44" t="s">
        <v>367</v>
      </c>
      <c r="B66" s="32" t="s">
        <v>138</v>
      </c>
      <c r="C66" s="31">
        <f>'1.a melléklet'!C68+'2.a melléklet'!C68</f>
        <v>0</v>
      </c>
      <c r="D66" s="31"/>
      <c r="E66" s="31"/>
      <c r="F66" s="31">
        <f t="shared" si="0"/>
        <v>0</v>
      </c>
    </row>
    <row r="67" spans="1:6" ht="15">
      <c r="A67" s="44" t="s">
        <v>368</v>
      </c>
      <c r="B67" s="32" t="s">
        <v>139</v>
      </c>
      <c r="C67" s="31">
        <f>'1.a melléklet'!C69+'2.a melléklet'!C69</f>
        <v>0</v>
      </c>
      <c r="D67" s="31">
        <v>500000</v>
      </c>
      <c r="E67" s="31"/>
      <c r="F67" s="31">
        <f t="shared" si="0"/>
        <v>500000</v>
      </c>
    </row>
    <row r="68" spans="1:6" ht="15">
      <c r="A68" s="44" t="s">
        <v>140</v>
      </c>
      <c r="B68" s="32" t="s">
        <v>141</v>
      </c>
      <c r="C68" s="31">
        <f>'1.a melléklet'!C70+'2.a melléklet'!C70</f>
        <v>0</v>
      </c>
      <c r="D68" s="31"/>
      <c r="E68" s="31"/>
      <c r="F68" s="31">
        <f t="shared" si="0"/>
        <v>0</v>
      </c>
    </row>
    <row r="69" spans="1:6" ht="15">
      <c r="A69" s="45" t="s">
        <v>142</v>
      </c>
      <c r="B69" s="32" t="s">
        <v>143</v>
      </c>
      <c r="C69" s="31">
        <f>'1.a melléklet'!C71+'2.a melléklet'!C71</f>
        <v>0</v>
      </c>
      <c r="D69" s="31"/>
      <c r="E69" s="31"/>
      <c r="F69" s="31">
        <f t="shared" si="0"/>
        <v>0</v>
      </c>
    </row>
    <row r="70" spans="1:6" ht="15">
      <c r="A70" s="44" t="s">
        <v>369</v>
      </c>
      <c r="B70" s="32" t="s">
        <v>145</v>
      </c>
      <c r="C70" s="31">
        <f>'1.a melléklet'!C72+'2.a melléklet'!C72</f>
        <v>0</v>
      </c>
      <c r="D70" s="31"/>
      <c r="E70" s="31"/>
      <c r="F70" s="31">
        <f t="shared" si="0"/>
        <v>0</v>
      </c>
    </row>
    <row r="71" spans="1:6" ht="15">
      <c r="A71" s="45" t="s">
        <v>19</v>
      </c>
      <c r="B71" s="32" t="s">
        <v>146</v>
      </c>
      <c r="C71" s="31">
        <f>'1.a melléklet'!C73+'2.a melléklet'!C73</f>
        <v>0</v>
      </c>
      <c r="D71" s="31"/>
      <c r="E71" s="31"/>
      <c r="F71" s="31">
        <f aca="true" t="shared" si="1" ref="F71:F121">C71+D71+E71</f>
        <v>0</v>
      </c>
    </row>
    <row r="72" spans="1:6" ht="15">
      <c r="A72" s="45" t="s">
        <v>20</v>
      </c>
      <c r="B72" s="32" t="s">
        <v>146</v>
      </c>
      <c r="C72" s="31">
        <f>'1.a melléklet'!C74+'2.a melléklet'!C74</f>
        <v>0</v>
      </c>
      <c r="D72" s="31"/>
      <c r="E72" s="31"/>
      <c r="F72" s="31">
        <f t="shared" si="1"/>
        <v>0</v>
      </c>
    </row>
    <row r="73" spans="1:6" ht="15">
      <c r="A73" s="43" t="s">
        <v>342</v>
      </c>
      <c r="B73" s="36" t="s">
        <v>147</v>
      </c>
      <c r="C73" s="37">
        <f>C65+C67</f>
        <v>89230646</v>
      </c>
      <c r="D73" s="37">
        <f>SUM(D60:D72)</f>
        <v>500000</v>
      </c>
      <c r="E73" s="37"/>
      <c r="F73" s="37">
        <f t="shared" si="1"/>
        <v>89730646</v>
      </c>
    </row>
    <row r="74" spans="1:6" ht="15">
      <c r="A74" s="69" t="s">
        <v>9</v>
      </c>
      <c r="B74" s="70"/>
      <c r="C74" s="71">
        <f>C73+C59+C50+C25+C24</f>
        <v>308151971</v>
      </c>
      <c r="D74" s="71">
        <f>D73+D59+D50+D25+D24</f>
        <v>500000</v>
      </c>
      <c r="E74" s="71">
        <f>E73+E59+E50+E25+E24</f>
        <v>0</v>
      </c>
      <c r="F74" s="71">
        <f>F73+F59+F50+F25+F24</f>
        <v>308651971</v>
      </c>
    </row>
    <row r="75" spans="1:6" ht="15">
      <c r="A75" s="46" t="s">
        <v>148</v>
      </c>
      <c r="B75" s="32" t="s">
        <v>149</v>
      </c>
      <c r="C75" s="31">
        <f>'1.a melléklet'!C77+'2.a melléklet'!C77</f>
        <v>0</v>
      </c>
      <c r="D75" s="31"/>
      <c r="E75" s="31"/>
      <c r="F75" s="31">
        <f t="shared" si="1"/>
        <v>0</v>
      </c>
    </row>
    <row r="76" spans="1:6" ht="15">
      <c r="A76" s="46" t="s">
        <v>370</v>
      </c>
      <c r="B76" s="32" t="s">
        <v>150</v>
      </c>
      <c r="C76" s="31">
        <f>'1.a melléklet'!C78+'2.a melléklet'!C78</f>
        <v>0</v>
      </c>
      <c r="D76" s="31"/>
      <c r="E76" s="31"/>
      <c r="F76" s="31">
        <f t="shared" si="1"/>
        <v>0</v>
      </c>
    </row>
    <row r="77" spans="1:6" ht="15">
      <c r="A77" s="46" t="s">
        <v>151</v>
      </c>
      <c r="B77" s="32" t="s">
        <v>152</v>
      </c>
      <c r="C77" s="31">
        <f>'1.a melléklet'!C79+'2.a melléklet'!C79</f>
        <v>0</v>
      </c>
      <c r="D77" s="31"/>
      <c r="E77" s="31"/>
      <c r="F77" s="31">
        <f t="shared" si="1"/>
        <v>0</v>
      </c>
    </row>
    <row r="78" spans="1:6" ht="15">
      <c r="A78" s="46" t="s">
        <v>153</v>
      </c>
      <c r="B78" s="32" t="s">
        <v>154</v>
      </c>
      <c r="C78" s="31">
        <f>'1.a melléklet'!C80+'2.a melléklet'!C80</f>
        <v>2809623</v>
      </c>
      <c r="D78" s="31"/>
      <c r="E78" s="31"/>
      <c r="F78" s="31">
        <f t="shared" si="1"/>
        <v>2809623</v>
      </c>
    </row>
    <row r="79" spans="1:6" ht="15">
      <c r="A79" s="38" t="s">
        <v>155</v>
      </c>
      <c r="B79" s="32" t="s">
        <v>156</v>
      </c>
      <c r="C79" s="31">
        <f>'1.a melléklet'!C81+'2.a melléklet'!C81</f>
        <v>0</v>
      </c>
      <c r="D79" s="31"/>
      <c r="E79" s="31"/>
      <c r="F79" s="31">
        <f t="shared" si="1"/>
        <v>0</v>
      </c>
    </row>
    <row r="80" spans="1:6" ht="15">
      <c r="A80" s="38" t="s">
        <v>157</v>
      </c>
      <c r="B80" s="32" t="s">
        <v>158</v>
      </c>
      <c r="C80" s="31">
        <f>'1.a melléklet'!C82+'2.a melléklet'!C82</f>
        <v>0</v>
      </c>
      <c r="D80" s="31"/>
      <c r="E80" s="31"/>
      <c r="F80" s="31">
        <f t="shared" si="1"/>
        <v>0</v>
      </c>
    </row>
    <row r="81" spans="1:6" ht="15">
      <c r="A81" s="38" t="s">
        <v>159</v>
      </c>
      <c r="B81" s="32" t="s">
        <v>160</v>
      </c>
      <c r="C81" s="31">
        <f>'1.a melléklet'!C83+'2.a melléklet'!C83</f>
        <v>194691</v>
      </c>
      <c r="D81" s="31"/>
      <c r="E81" s="31"/>
      <c r="F81" s="31">
        <f t="shared" si="1"/>
        <v>194691</v>
      </c>
    </row>
    <row r="82" spans="1:6" ht="15">
      <c r="A82" s="47" t="s">
        <v>343</v>
      </c>
      <c r="B82" s="36" t="s">
        <v>161</v>
      </c>
      <c r="C82" s="37">
        <f>SUM(C75:C81)</f>
        <v>3004314</v>
      </c>
      <c r="D82" s="37"/>
      <c r="E82" s="37"/>
      <c r="F82" s="37">
        <f t="shared" si="1"/>
        <v>3004314</v>
      </c>
    </row>
    <row r="83" spans="1:6" ht="15">
      <c r="A83" s="41" t="s">
        <v>162</v>
      </c>
      <c r="B83" s="32" t="s">
        <v>163</v>
      </c>
      <c r="C83" s="31">
        <f>'1.a melléklet'!C85+'2.a melléklet'!C85</f>
        <v>110139256</v>
      </c>
      <c r="D83" s="31"/>
      <c r="E83" s="31"/>
      <c r="F83" s="31">
        <f t="shared" si="1"/>
        <v>110139256</v>
      </c>
    </row>
    <row r="84" spans="1:6" ht="15">
      <c r="A84" s="41" t="s">
        <v>164</v>
      </c>
      <c r="B84" s="32" t="s">
        <v>165</v>
      </c>
      <c r="C84" s="31">
        <f>'1.a melléklet'!C86+'2.a melléklet'!C86</f>
        <v>0</v>
      </c>
      <c r="D84" s="31"/>
      <c r="E84" s="31"/>
      <c r="F84" s="31">
        <f t="shared" si="1"/>
        <v>0</v>
      </c>
    </row>
    <row r="85" spans="1:6" ht="15">
      <c r="A85" s="41" t="s">
        <v>166</v>
      </c>
      <c r="B85" s="32" t="s">
        <v>167</v>
      </c>
      <c r="C85" s="31">
        <f>'1.a melléklet'!C87+'2.a melléklet'!C87</f>
        <v>0</v>
      </c>
      <c r="D85" s="31"/>
      <c r="E85" s="31"/>
      <c r="F85" s="31">
        <f t="shared" si="1"/>
        <v>0</v>
      </c>
    </row>
    <row r="86" spans="1:6" ht="15">
      <c r="A86" s="41" t="s">
        <v>168</v>
      </c>
      <c r="B86" s="32" t="s">
        <v>169</v>
      </c>
      <c r="C86" s="31">
        <f>'1.a melléklet'!C88+'2.a melléklet'!C88</f>
        <v>29007789</v>
      </c>
      <c r="D86" s="31"/>
      <c r="E86" s="31"/>
      <c r="F86" s="31">
        <f t="shared" si="1"/>
        <v>29007789</v>
      </c>
    </row>
    <row r="87" spans="1:6" ht="15">
      <c r="A87" s="43" t="s">
        <v>344</v>
      </c>
      <c r="B87" s="36" t="s">
        <v>170</v>
      </c>
      <c r="C87" s="37">
        <f>SUM(C83:C86)</f>
        <v>139147045</v>
      </c>
      <c r="D87" s="37"/>
      <c r="E87" s="37"/>
      <c r="F87" s="37">
        <f t="shared" si="1"/>
        <v>139147045</v>
      </c>
    </row>
    <row r="88" spans="1:6" ht="15">
      <c r="A88" s="41" t="s">
        <v>171</v>
      </c>
      <c r="B88" s="32" t="s">
        <v>172</v>
      </c>
      <c r="C88" s="31"/>
      <c r="D88" s="31"/>
      <c r="E88" s="31"/>
      <c r="F88" s="31">
        <f t="shared" si="1"/>
        <v>0</v>
      </c>
    </row>
    <row r="89" spans="1:6" ht="15">
      <c r="A89" s="41" t="s">
        <v>371</v>
      </c>
      <c r="B89" s="32" t="s">
        <v>173</v>
      </c>
      <c r="C89" s="31"/>
      <c r="D89" s="31"/>
      <c r="E89" s="31"/>
      <c r="F89" s="31">
        <f t="shared" si="1"/>
        <v>0</v>
      </c>
    </row>
    <row r="90" spans="1:6" ht="15">
      <c r="A90" s="41" t="s">
        <v>372</v>
      </c>
      <c r="B90" s="32" t="s">
        <v>174</v>
      </c>
      <c r="C90" s="31"/>
      <c r="D90" s="31"/>
      <c r="E90" s="31"/>
      <c r="F90" s="31">
        <f t="shared" si="1"/>
        <v>0</v>
      </c>
    </row>
    <row r="91" spans="1:6" ht="15">
      <c r="A91" s="41" t="s">
        <v>373</v>
      </c>
      <c r="B91" s="32" t="s">
        <v>175</v>
      </c>
      <c r="C91" s="31"/>
      <c r="D91" s="31"/>
      <c r="E91" s="31"/>
      <c r="F91" s="31">
        <f t="shared" si="1"/>
        <v>0</v>
      </c>
    </row>
    <row r="92" spans="1:6" ht="15">
      <c r="A92" s="41" t="s">
        <v>374</v>
      </c>
      <c r="B92" s="32" t="s">
        <v>176</v>
      </c>
      <c r="C92" s="31"/>
      <c r="D92" s="31"/>
      <c r="E92" s="31"/>
      <c r="F92" s="31">
        <f t="shared" si="1"/>
        <v>0</v>
      </c>
    </row>
    <row r="93" spans="1:6" ht="15">
      <c r="A93" s="41" t="s">
        <v>375</v>
      </c>
      <c r="B93" s="32" t="s">
        <v>177</v>
      </c>
      <c r="C93" s="31"/>
      <c r="D93" s="31"/>
      <c r="E93" s="31"/>
      <c r="F93" s="31">
        <f t="shared" si="1"/>
        <v>0</v>
      </c>
    </row>
    <row r="94" spans="1:6" ht="15">
      <c r="A94" s="41" t="s">
        <v>178</v>
      </c>
      <c r="B94" s="32" t="s">
        <v>179</v>
      </c>
      <c r="C94" s="31"/>
      <c r="D94" s="31"/>
      <c r="E94" s="31"/>
      <c r="F94" s="31">
        <f t="shared" si="1"/>
        <v>0</v>
      </c>
    </row>
    <row r="95" spans="1:6" ht="15">
      <c r="A95" s="41" t="s">
        <v>376</v>
      </c>
      <c r="B95" s="32" t="s">
        <v>180</v>
      </c>
      <c r="C95" s="31"/>
      <c r="D95" s="31"/>
      <c r="E95" s="31"/>
      <c r="F95" s="31">
        <f t="shared" si="1"/>
        <v>0</v>
      </c>
    </row>
    <row r="96" spans="1:6" ht="15">
      <c r="A96" s="43" t="s">
        <v>345</v>
      </c>
      <c r="B96" s="36" t="s">
        <v>181</v>
      </c>
      <c r="C96" s="31"/>
      <c r="D96" s="31"/>
      <c r="E96" s="31"/>
      <c r="F96" s="31">
        <f t="shared" si="1"/>
        <v>0</v>
      </c>
    </row>
    <row r="97" spans="1:6" ht="15">
      <c r="A97" s="69" t="s">
        <v>438</v>
      </c>
      <c r="B97" s="70"/>
      <c r="C97" s="122">
        <f>'1.a melléklet'!C99+'2.a melléklet'!C99</f>
        <v>141911889</v>
      </c>
      <c r="D97" s="71">
        <f>D96+D87+D82</f>
        <v>0</v>
      </c>
      <c r="E97" s="71">
        <f>E96+E87+E82</f>
        <v>0</v>
      </c>
      <c r="F97" s="71">
        <f>F96+F87+F82</f>
        <v>142151359</v>
      </c>
    </row>
    <row r="98" spans="1:6" ht="15">
      <c r="A98" s="18" t="s">
        <v>384</v>
      </c>
      <c r="B98" s="19" t="s">
        <v>182</v>
      </c>
      <c r="C98" s="37">
        <f>'1.a melléklet'!C100+'2.a melléklet'!C100</f>
        <v>452370602</v>
      </c>
      <c r="D98" s="37">
        <f>'1.a melléklet'!D100+'2.a melléklet'!D100</f>
        <v>500000</v>
      </c>
      <c r="E98" s="37"/>
      <c r="F98" s="37">
        <f>'1.a melléklet'!F100+'2.a melléklet'!F100</f>
        <v>452870602</v>
      </c>
    </row>
    <row r="99" spans="1:25" ht="15">
      <c r="A99" s="41" t="s">
        <v>377</v>
      </c>
      <c r="B99" s="34" t="s">
        <v>183</v>
      </c>
      <c r="C99" s="31">
        <f>'1.a melléklet'!C101+'2.a melléklet'!C101</f>
        <v>0</v>
      </c>
      <c r="D99" s="48"/>
      <c r="E99" s="48"/>
      <c r="F99" s="31">
        <f t="shared" si="1"/>
        <v>0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50"/>
      <c r="Y99" s="50"/>
    </row>
    <row r="100" spans="1:25" ht="15">
      <c r="A100" s="41" t="s">
        <v>184</v>
      </c>
      <c r="B100" s="34" t="s">
        <v>185</v>
      </c>
      <c r="C100" s="31">
        <f>'1.a melléklet'!C102+'2.a melléklet'!C102</f>
        <v>0</v>
      </c>
      <c r="D100" s="48"/>
      <c r="E100" s="48"/>
      <c r="F100" s="31">
        <f t="shared" si="1"/>
        <v>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50"/>
      <c r="Y100" s="50"/>
    </row>
    <row r="101" spans="1:25" ht="15">
      <c r="A101" s="41" t="s">
        <v>378</v>
      </c>
      <c r="B101" s="34" t="s">
        <v>186</v>
      </c>
      <c r="C101" s="31">
        <f>'1.a melléklet'!C103+'2.a melléklet'!C103</f>
        <v>0</v>
      </c>
      <c r="D101" s="48"/>
      <c r="E101" s="48"/>
      <c r="F101" s="31">
        <f t="shared" si="1"/>
        <v>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50"/>
      <c r="Y101" s="50"/>
    </row>
    <row r="102" spans="1:25" ht="15">
      <c r="A102" s="43" t="s">
        <v>346</v>
      </c>
      <c r="B102" s="39" t="s">
        <v>187</v>
      </c>
      <c r="C102" s="51">
        <f>SUM(C99:C101)</f>
        <v>0</v>
      </c>
      <c r="D102" s="51"/>
      <c r="E102" s="51"/>
      <c r="F102" s="31">
        <f t="shared" si="1"/>
        <v>0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0"/>
      <c r="Y102" s="50"/>
    </row>
    <row r="103" spans="1:25" ht="15">
      <c r="A103" s="53" t="s">
        <v>379</v>
      </c>
      <c r="B103" s="34" t="s">
        <v>188</v>
      </c>
      <c r="C103" s="31">
        <f>'1.a melléklet'!C105+'2.a melléklet'!C105</f>
        <v>0</v>
      </c>
      <c r="D103" s="54"/>
      <c r="E103" s="54"/>
      <c r="F103" s="31">
        <f t="shared" si="1"/>
        <v>0</v>
      </c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0"/>
      <c r="Y103" s="50"/>
    </row>
    <row r="104" spans="1:25" ht="15">
      <c r="A104" s="53" t="s">
        <v>349</v>
      </c>
      <c r="B104" s="34" t="s">
        <v>189</v>
      </c>
      <c r="C104" s="31">
        <f>'1.a melléklet'!C106+'2.a melléklet'!C106</f>
        <v>0</v>
      </c>
      <c r="D104" s="54"/>
      <c r="E104" s="54"/>
      <c r="F104" s="31">
        <f t="shared" si="1"/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0"/>
      <c r="Y104" s="50"/>
    </row>
    <row r="105" spans="1:25" ht="15">
      <c r="A105" s="41" t="s">
        <v>190</v>
      </c>
      <c r="B105" s="34" t="s">
        <v>191</v>
      </c>
      <c r="C105" s="31">
        <f>'1.a melléklet'!C107+'2.a melléklet'!C107</f>
        <v>0</v>
      </c>
      <c r="D105" s="56"/>
      <c r="E105" s="56"/>
      <c r="F105" s="31">
        <f t="shared" si="1"/>
        <v>0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50"/>
      <c r="Y105" s="50"/>
    </row>
    <row r="106" spans="1:25" ht="15">
      <c r="A106" s="41" t="s">
        <v>380</v>
      </c>
      <c r="B106" s="34" t="s">
        <v>192</v>
      </c>
      <c r="C106" s="31">
        <f>'1.a melléklet'!C108+'2.a melléklet'!C108</f>
        <v>0</v>
      </c>
      <c r="D106" s="56"/>
      <c r="E106" s="56"/>
      <c r="F106" s="31">
        <f t="shared" si="1"/>
        <v>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50"/>
      <c r="Y106" s="50"/>
    </row>
    <row r="107" spans="1:25" ht="15">
      <c r="A107" s="57" t="s">
        <v>347</v>
      </c>
      <c r="B107" s="39" t="s">
        <v>193</v>
      </c>
      <c r="C107" s="58">
        <f>SUM(C103:C106)</f>
        <v>0</v>
      </c>
      <c r="D107" s="58"/>
      <c r="E107" s="58"/>
      <c r="F107" s="31">
        <f t="shared" si="1"/>
        <v>0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0"/>
      <c r="Y107" s="50"/>
    </row>
    <row r="108" spans="1:25" ht="15">
      <c r="A108" s="53" t="s">
        <v>194</v>
      </c>
      <c r="B108" s="34" t="s">
        <v>195</v>
      </c>
      <c r="C108" s="31">
        <f>'1.a melléklet'!C110+'2.a melléklet'!C110</f>
        <v>0</v>
      </c>
      <c r="D108" s="54"/>
      <c r="E108" s="54"/>
      <c r="F108" s="31">
        <f t="shared" si="1"/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0"/>
      <c r="Y108" s="50"/>
    </row>
    <row r="109" spans="1:25" ht="15">
      <c r="A109" s="53" t="s">
        <v>196</v>
      </c>
      <c r="B109" s="34" t="s">
        <v>197</v>
      </c>
      <c r="C109" s="31">
        <f>'1.a melléklet'!C111+'2.a melléklet'!C111</f>
        <v>5517642</v>
      </c>
      <c r="D109" s="54"/>
      <c r="E109" s="54"/>
      <c r="F109" s="31">
        <f t="shared" si="1"/>
        <v>5517642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0"/>
      <c r="Y109" s="50"/>
    </row>
    <row r="110" spans="1:25" ht="15">
      <c r="A110" s="57" t="s">
        <v>198</v>
      </c>
      <c r="B110" s="39" t="s">
        <v>199</v>
      </c>
      <c r="C110" s="31">
        <f>'1.a melléklet'!C112+'2.a melléklet'!C112</f>
        <v>71998983</v>
      </c>
      <c r="D110" s="54"/>
      <c r="E110" s="54"/>
      <c r="F110" s="31">
        <f t="shared" si="1"/>
        <v>71998983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0"/>
      <c r="Y110" s="50"/>
    </row>
    <row r="111" spans="1:25" ht="15">
      <c r="A111" s="53" t="s">
        <v>200</v>
      </c>
      <c r="B111" s="34" t="s">
        <v>201</v>
      </c>
      <c r="C111" s="31">
        <f>'1.a melléklet'!C113+'2.a melléklet'!C113</f>
        <v>0</v>
      </c>
      <c r="D111" s="54"/>
      <c r="E111" s="54"/>
      <c r="F111" s="31">
        <f t="shared" si="1"/>
        <v>0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0"/>
      <c r="Y111" s="50"/>
    </row>
    <row r="112" spans="1:25" ht="15">
      <c r="A112" s="53" t="s">
        <v>202</v>
      </c>
      <c r="B112" s="34" t="s">
        <v>203</v>
      </c>
      <c r="C112" s="31">
        <f>'1.a melléklet'!C114+'2.a melléklet'!C114</f>
        <v>0</v>
      </c>
      <c r="D112" s="54"/>
      <c r="E112" s="54"/>
      <c r="F112" s="31">
        <f t="shared" si="1"/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0"/>
      <c r="Y112" s="50"/>
    </row>
    <row r="113" spans="1:25" ht="15">
      <c r="A113" s="53" t="s">
        <v>204</v>
      </c>
      <c r="B113" s="34" t="s">
        <v>205</v>
      </c>
      <c r="C113" s="31">
        <f>'1.a melléklet'!C115+'2.a melléklet'!C115</f>
        <v>0</v>
      </c>
      <c r="D113" s="54"/>
      <c r="E113" s="54"/>
      <c r="F113" s="31">
        <f t="shared" si="1"/>
        <v>0</v>
      </c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0"/>
      <c r="Y113" s="50"/>
    </row>
    <row r="114" spans="1:25" ht="15">
      <c r="A114" s="57" t="s">
        <v>348</v>
      </c>
      <c r="B114" s="39" t="s">
        <v>206</v>
      </c>
      <c r="C114" s="31">
        <f>'1.a melléklet'!C116+'2.a melléklet'!C116</f>
        <v>77516625</v>
      </c>
      <c r="D114" s="58"/>
      <c r="E114" s="58"/>
      <c r="F114" s="31">
        <f t="shared" si="1"/>
        <v>77516625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0"/>
      <c r="Y114" s="50"/>
    </row>
    <row r="115" spans="1:25" ht="15">
      <c r="A115" s="53" t="s">
        <v>207</v>
      </c>
      <c r="B115" s="34" t="s">
        <v>208</v>
      </c>
      <c r="C115" s="31">
        <f>'1.a melléklet'!C117+'2.a melléklet'!C117</f>
        <v>0</v>
      </c>
      <c r="D115" s="54"/>
      <c r="E115" s="54"/>
      <c r="F115" s="31">
        <f t="shared" si="1"/>
        <v>0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0"/>
      <c r="Y115" s="50"/>
    </row>
    <row r="116" spans="1:25" ht="15">
      <c r="A116" s="41" t="s">
        <v>209</v>
      </c>
      <c r="B116" s="34" t="s">
        <v>210</v>
      </c>
      <c r="C116" s="31">
        <f>'1.a melléklet'!C118+'2.a melléklet'!C118</f>
        <v>0</v>
      </c>
      <c r="D116" s="56"/>
      <c r="E116" s="56"/>
      <c r="F116" s="31">
        <f t="shared" si="1"/>
        <v>0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50"/>
      <c r="Y116" s="50"/>
    </row>
    <row r="117" spans="1:25" ht="15">
      <c r="A117" s="53" t="s">
        <v>381</v>
      </c>
      <c r="B117" s="34" t="s">
        <v>211</v>
      </c>
      <c r="C117" s="31">
        <f>'1.a melléklet'!C119+'2.a melléklet'!C119</f>
        <v>0</v>
      </c>
      <c r="D117" s="54"/>
      <c r="E117" s="54"/>
      <c r="F117" s="31">
        <f t="shared" si="1"/>
        <v>0</v>
      </c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0"/>
      <c r="Y117" s="50"/>
    </row>
    <row r="118" spans="1:25" ht="15">
      <c r="A118" s="53" t="s">
        <v>350</v>
      </c>
      <c r="B118" s="34" t="s">
        <v>212</v>
      </c>
      <c r="C118" s="31">
        <f>'1.a melléklet'!C120+'2.a melléklet'!C120</f>
        <v>0</v>
      </c>
      <c r="D118" s="54"/>
      <c r="E118" s="54"/>
      <c r="F118" s="31">
        <f t="shared" si="1"/>
        <v>0</v>
      </c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0"/>
      <c r="Y118" s="50"/>
    </row>
    <row r="119" spans="1:25" ht="15">
      <c r="A119" s="57" t="s">
        <v>351</v>
      </c>
      <c r="B119" s="39" t="s">
        <v>213</v>
      </c>
      <c r="C119" s="58">
        <f>SUM(C115:C118)</f>
        <v>0</v>
      </c>
      <c r="D119" s="58"/>
      <c r="E119" s="58"/>
      <c r="F119" s="31">
        <f t="shared" si="1"/>
        <v>0</v>
      </c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0"/>
      <c r="Y119" s="50"/>
    </row>
    <row r="120" spans="1:25" ht="15">
      <c r="A120" s="41" t="s">
        <v>214</v>
      </c>
      <c r="B120" s="34" t="s">
        <v>215</v>
      </c>
      <c r="C120" s="31">
        <f>'1.a melléklet'!C122+'2.a melléklet'!C122</f>
        <v>0</v>
      </c>
      <c r="D120" s="56"/>
      <c r="E120" s="56"/>
      <c r="F120" s="31">
        <f t="shared" si="1"/>
        <v>0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50"/>
      <c r="Y120" s="50"/>
    </row>
    <row r="121" spans="1:25" ht="15">
      <c r="A121" s="20" t="s">
        <v>385</v>
      </c>
      <c r="B121" s="21" t="s">
        <v>216</v>
      </c>
      <c r="C121" s="58">
        <f>SUM(C114+C119)</f>
        <v>77516625</v>
      </c>
      <c r="D121" s="58"/>
      <c r="E121" s="58"/>
      <c r="F121" s="31">
        <f t="shared" si="1"/>
        <v>77516625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0"/>
      <c r="Y121" s="50"/>
    </row>
    <row r="122" spans="1:25" ht="15">
      <c r="A122" s="22" t="s">
        <v>439</v>
      </c>
      <c r="B122" s="23"/>
      <c r="C122" s="37">
        <f>'1.a melléklet'!C124+'2.a melléklet'!C124</f>
        <v>529887227</v>
      </c>
      <c r="D122" s="37">
        <f>'1.a melléklet'!D124+'2.a melléklet'!D124</f>
        <v>500000</v>
      </c>
      <c r="E122" s="61">
        <f>E121+E98</f>
        <v>0</v>
      </c>
      <c r="F122" s="37">
        <f>'1.a melléklet'!F124+'2.a melléklet'!F124</f>
        <v>530387227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2:25" ht="15">
      <c r="B123" s="50"/>
      <c r="C123" s="60"/>
      <c r="D123" s="60"/>
      <c r="E123" s="60"/>
      <c r="F123" s="6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2:25" ht="15">
      <c r="B124" s="50"/>
      <c r="C124" s="60"/>
      <c r="D124" s="60"/>
      <c r="E124" s="60"/>
      <c r="F124" s="6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2:25" ht="15">
      <c r="B125" s="50"/>
      <c r="C125" s="60"/>
      <c r="D125" s="60"/>
      <c r="E125" s="60"/>
      <c r="F125" s="6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2:25" ht="15">
      <c r="B126" s="50"/>
      <c r="C126" s="60"/>
      <c r="D126" s="60"/>
      <c r="E126" s="60"/>
      <c r="F126" s="6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2:25" ht="15">
      <c r="B127" s="50"/>
      <c r="C127" s="60"/>
      <c r="D127" s="60"/>
      <c r="E127" s="60"/>
      <c r="F127" s="6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2:25" ht="15">
      <c r="B128" s="50"/>
      <c r="C128" s="60"/>
      <c r="D128" s="60"/>
      <c r="E128" s="60"/>
      <c r="F128" s="6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2:25" ht="15">
      <c r="B129" s="50"/>
      <c r="C129" s="60"/>
      <c r="D129" s="60"/>
      <c r="E129" s="60"/>
      <c r="F129" s="6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2:25" ht="15">
      <c r="B130" s="50"/>
      <c r="C130" s="60"/>
      <c r="D130" s="60"/>
      <c r="E130" s="60"/>
      <c r="F130" s="6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2:25" ht="15">
      <c r="B131" s="50"/>
      <c r="C131" s="60"/>
      <c r="D131" s="60"/>
      <c r="E131" s="60"/>
      <c r="F131" s="6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2:25" ht="15">
      <c r="B132" s="50"/>
      <c r="C132" s="60"/>
      <c r="D132" s="60"/>
      <c r="E132" s="60"/>
      <c r="F132" s="6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2:25" ht="15">
      <c r="B133" s="50"/>
      <c r="C133" s="60"/>
      <c r="D133" s="60"/>
      <c r="E133" s="60"/>
      <c r="F133" s="6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2:25" ht="15">
      <c r="B134" s="50"/>
      <c r="C134" s="60"/>
      <c r="D134" s="60"/>
      <c r="E134" s="60"/>
      <c r="F134" s="6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2:25" ht="15">
      <c r="B135" s="50"/>
      <c r="C135" s="60"/>
      <c r="D135" s="60"/>
      <c r="E135" s="60"/>
      <c r="F135" s="6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2:25" ht="15">
      <c r="B136" s="50"/>
      <c r="C136" s="60"/>
      <c r="D136" s="60"/>
      <c r="E136" s="60"/>
      <c r="F136" s="6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2:25" ht="15">
      <c r="B137" s="50"/>
      <c r="C137" s="60"/>
      <c r="D137" s="60"/>
      <c r="E137" s="60"/>
      <c r="F137" s="6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2:25" ht="15">
      <c r="B138" s="50"/>
      <c r="C138" s="60"/>
      <c r="D138" s="60"/>
      <c r="E138" s="60"/>
      <c r="F138" s="6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2:25" ht="15">
      <c r="B139" s="50"/>
      <c r="C139" s="60"/>
      <c r="D139" s="60"/>
      <c r="E139" s="60"/>
      <c r="F139" s="6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2:25" ht="15">
      <c r="B140" s="50"/>
      <c r="C140" s="60"/>
      <c r="D140" s="60"/>
      <c r="E140" s="60"/>
      <c r="F140" s="6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2:25" ht="15">
      <c r="B141" s="50"/>
      <c r="C141" s="60"/>
      <c r="D141" s="60"/>
      <c r="E141" s="60"/>
      <c r="F141" s="6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2:25" ht="15">
      <c r="B142" s="50"/>
      <c r="C142" s="60"/>
      <c r="D142" s="60"/>
      <c r="E142" s="60"/>
      <c r="F142" s="6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2:25" ht="15">
      <c r="B143" s="50"/>
      <c r="C143" s="60"/>
      <c r="D143" s="60"/>
      <c r="E143" s="60"/>
      <c r="F143" s="6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2:25" ht="15">
      <c r="B144" s="50"/>
      <c r="C144" s="60"/>
      <c r="D144" s="60"/>
      <c r="E144" s="60"/>
      <c r="F144" s="6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2:25" ht="15">
      <c r="B145" s="50"/>
      <c r="C145" s="60"/>
      <c r="D145" s="60"/>
      <c r="E145" s="60"/>
      <c r="F145" s="6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2:25" ht="15">
      <c r="B146" s="50"/>
      <c r="C146" s="60"/>
      <c r="D146" s="60"/>
      <c r="E146" s="60"/>
      <c r="F146" s="6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2:25" ht="15">
      <c r="B147" s="50"/>
      <c r="C147" s="60"/>
      <c r="D147" s="60"/>
      <c r="E147" s="60"/>
      <c r="F147" s="6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2:25" ht="15">
      <c r="B148" s="50"/>
      <c r="C148" s="60"/>
      <c r="D148" s="60"/>
      <c r="E148" s="60"/>
      <c r="F148" s="6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2:25" ht="15">
      <c r="B149" s="50"/>
      <c r="C149" s="60"/>
      <c r="D149" s="60"/>
      <c r="E149" s="60"/>
      <c r="F149" s="6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2:25" ht="15">
      <c r="B150" s="50"/>
      <c r="C150" s="60"/>
      <c r="D150" s="60"/>
      <c r="E150" s="60"/>
      <c r="F150" s="6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2:25" ht="15">
      <c r="B151" s="50"/>
      <c r="C151" s="60"/>
      <c r="D151" s="60"/>
      <c r="E151" s="60"/>
      <c r="F151" s="6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2:25" ht="15">
      <c r="B152" s="50"/>
      <c r="C152" s="60"/>
      <c r="D152" s="60"/>
      <c r="E152" s="60"/>
      <c r="F152" s="6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2:25" ht="15">
      <c r="B153" s="50"/>
      <c r="C153" s="60"/>
      <c r="D153" s="60"/>
      <c r="E153" s="60"/>
      <c r="F153" s="6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2:25" ht="15">
      <c r="B154" s="50"/>
      <c r="C154" s="60"/>
      <c r="D154" s="60"/>
      <c r="E154" s="60"/>
      <c r="F154" s="6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2:25" ht="15">
      <c r="B155" s="50"/>
      <c r="C155" s="60"/>
      <c r="D155" s="60"/>
      <c r="E155" s="60"/>
      <c r="F155" s="6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2:25" ht="15">
      <c r="B156" s="50"/>
      <c r="C156" s="60"/>
      <c r="D156" s="60"/>
      <c r="E156" s="60"/>
      <c r="F156" s="6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2:25" ht="15">
      <c r="B157" s="50"/>
      <c r="C157" s="60"/>
      <c r="D157" s="60"/>
      <c r="E157" s="60"/>
      <c r="F157" s="6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2:25" ht="15">
      <c r="B158" s="50"/>
      <c r="C158" s="60"/>
      <c r="D158" s="60"/>
      <c r="E158" s="60"/>
      <c r="F158" s="6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2:25" ht="15">
      <c r="B159" s="50"/>
      <c r="C159" s="60"/>
      <c r="D159" s="60"/>
      <c r="E159" s="60"/>
      <c r="F159" s="6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2:25" ht="15">
      <c r="B160" s="50"/>
      <c r="C160" s="60"/>
      <c r="D160" s="60"/>
      <c r="E160" s="60"/>
      <c r="F160" s="6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2:25" ht="15">
      <c r="B161" s="50"/>
      <c r="C161" s="60"/>
      <c r="D161" s="60"/>
      <c r="E161" s="60"/>
      <c r="F161" s="6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2:25" ht="15">
      <c r="B162" s="50"/>
      <c r="C162" s="60"/>
      <c r="D162" s="60"/>
      <c r="E162" s="60"/>
      <c r="F162" s="6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2:25" ht="15">
      <c r="B163" s="50"/>
      <c r="C163" s="60"/>
      <c r="D163" s="60"/>
      <c r="E163" s="60"/>
      <c r="F163" s="6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2:25" ht="15">
      <c r="B164" s="50"/>
      <c r="C164" s="60"/>
      <c r="D164" s="60"/>
      <c r="E164" s="60"/>
      <c r="F164" s="6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2:25" ht="15">
      <c r="B165" s="50"/>
      <c r="C165" s="60"/>
      <c r="D165" s="60"/>
      <c r="E165" s="60"/>
      <c r="F165" s="6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2:25" ht="15">
      <c r="B166" s="50"/>
      <c r="C166" s="60"/>
      <c r="D166" s="60"/>
      <c r="E166" s="60"/>
      <c r="F166" s="6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2:25" ht="15">
      <c r="B167" s="50"/>
      <c r="C167" s="60"/>
      <c r="D167" s="60"/>
      <c r="E167" s="60"/>
      <c r="F167" s="6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2:25" ht="15">
      <c r="B168" s="50"/>
      <c r="C168" s="60"/>
      <c r="D168" s="60"/>
      <c r="E168" s="60"/>
      <c r="F168" s="6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2:25" ht="15">
      <c r="B169" s="50"/>
      <c r="C169" s="60"/>
      <c r="D169" s="60"/>
      <c r="E169" s="60"/>
      <c r="F169" s="6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2:25" ht="15">
      <c r="B170" s="50"/>
      <c r="C170" s="60"/>
      <c r="D170" s="60"/>
      <c r="E170" s="60"/>
      <c r="F170" s="6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2:25" ht="15">
      <c r="B171" s="50"/>
      <c r="C171" s="60"/>
      <c r="D171" s="60"/>
      <c r="E171" s="60"/>
      <c r="F171" s="6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headerFooter>
    <oddHeader>&amp;R&amp;"-,Dőlt"
3.a melléklet a 8/2019.(V.31.) önkormányzati rendelethez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2.57421875" style="24" customWidth="1"/>
    <col min="2" max="2" width="9.140625" style="24" customWidth="1"/>
    <col min="3" max="3" width="16.421875" style="26" customWidth="1"/>
    <col min="4" max="4" width="16.00390625" style="26" customWidth="1"/>
    <col min="5" max="5" width="16.7109375" style="26" customWidth="1"/>
    <col min="6" max="6" width="19.421875" style="26" customWidth="1"/>
    <col min="7" max="16384" width="9.140625" style="24" customWidth="1"/>
  </cols>
  <sheetData>
    <row r="1" spans="1:6" ht="27" customHeight="1">
      <c r="A1" s="182" t="s">
        <v>449</v>
      </c>
      <c r="B1" s="188"/>
      <c r="C1" s="188"/>
      <c r="D1" s="188"/>
      <c r="E1" s="188"/>
      <c r="F1" s="189"/>
    </row>
    <row r="2" spans="1:6" ht="23.25" customHeight="1">
      <c r="A2" s="185" t="s">
        <v>435</v>
      </c>
      <c r="B2" s="188"/>
      <c r="C2" s="188"/>
      <c r="D2" s="188"/>
      <c r="E2" s="188"/>
      <c r="F2" s="189"/>
    </row>
    <row r="3" ht="15.75">
      <c r="A3" s="25"/>
    </row>
    <row r="4" spans="1:6" ht="15">
      <c r="A4" s="73" t="s">
        <v>443</v>
      </c>
      <c r="F4" s="26" t="s">
        <v>434</v>
      </c>
    </row>
    <row r="5" spans="1:6" ht="46.5">
      <c r="A5" s="27" t="s">
        <v>44</v>
      </c>
      <c r="B5" s="28" t="s">
        <v>43</v>
      </c>
      <c r="C5" s="29" t="s">
        <v>10</v>
      </c>
      <c r="D5" s="29" t="s">
        <v>11</v>
      </c>
      <c r="E5" s="29" t="s">
        <v>12</v>
      </c>
      <c r="F5" s="29" t="s">
        <v>40</v>
      </c>
    </row>
    <row r="6" spans="1:6" ht="15" customHeight="1">
      <c r="A6" s="33" t="s">
        <v>217</v>
      </c>
      <c r="B6" s="38" t="s">
        <v>218</v>
      </c>
      <c r="C6" s="67">
        <f>'1.b melléklet'!C8+'2.b melléklet'!C6</f>
        <v>73869038</v>
      </c>
      <c r="D6" s="67"/>
      <c r="E6" s="67"/>
      <c r="F6" s="67">
        <f>'1.b melléklet'!F8+'2.b melléklet'!F6</f>
        <v>73869038</v>
      </c>
    </row>
    <row r="7" spans="1:6" ht="15" customHeight="1">
      <c r="A7" s="34" t="s">
        <v>219</v>
      </c>
      <c r="B7" s="38" t="s">
        <v>220</v>
      </c>
      <c r="C7" s="67">
        <f>'1.b melléklet'!C9+'2.b melléklet'!C7</f>
        <v>42529116</v>
      </c>
      <c r="D7" s="67"/>
      <c r="E7" s="67"/>
      <c r="F7" s="67">
        <f>'1.b melléklet'!F9+'2.b melléklet'!F7</f>
        <v>42529116</v>
      </c>
    </row>
    <row r="8" spans="1:6" ht="15" customHeight="1">
      <c r="A8" s="34" t="s">
        <v>221</v>
      </c>
      <c r="B8" s="38" t="s">
        <v>222</v>
      </c>
      <c r="C8" s="67">
        <f>'1.b melléklet'!C10+'2.b melléklet'!C8</f>
        <v>33628161</v>
      </c>
      <c r="D8" s="67"/>
      <c r="E8" s="67"/>
      <c r="F8" s="67">
        <f>'1.b melléklet'!F10+'2.b melléklet'!F8</f>
        <v>33628161</v>
      </c>
    </row>
    <row r="9" spans="1:6" ht="15" customHeight="1">
      <c r="A9" s="34" t="s">
        <v>223</v>
      </c>
      <c r="B9" s="38" t="s">
        <v>224</v>
      </c>
      <c r="C9" s="67">
        <f>'1.b melléklet'!C11+'2.b melléklet'!C9</f>
        <v>1800000</v>
      </c>
      <c r="D9" s="67"/>
      <c r="E9" s="67"/>
      <c r="F9" s="67">
        <f>'1.b melléklet'!F11+'2.b melléklet'!F9</f>
        <v>1800000</v>
      </c>
    </row>
    <row r="10" spans="1:6" ht="15" customHeight="1">
      <c r="A10" s="34" t="s">
        <v>225</v>
      </c>
      <c r="B10" s="38" t="s">
        <v>226</v>
      </c>
      <c r="C10" s="67">
        <f>'1.b melléklet'!C12+'2.b melléklet'!C10</f>
        <v>9752000</v>
      </c>
      <c r="D10" s="67"/>
      <c r="E10" s="67"/>
      <c r="F10" s="67">
        <f>'1.b melléklet'!F12+'2.b melléklet'!F10</f>
        <v>9752000</v>
      </c>
    </row>
    <row r="11" spans="1:6" ht="15" customHeight="1">
      <c r="A11" s="34" t="s">
        <v>227</v>
      </c>
      <c r="B11" s="38" t="s">
        <v>228</v>
      </c>
      <c r="C11" s="67">
        <f>'1.b melléklet'!C13+'2.b melléklet'!C11</f>
        <v>332866</v>
      </c>
      <c r="D11" s="67"/>
      <c r="E11" s="67"/>
      <c r="F11" s="67">
        <f>'1.b melléklet'!F13+'2.b melléklet'!F11</f>
        <v>332866</v>
      </c>
    </row>
    <row r="12" spans="1:6" ht="15" customHeight="1">
      <c r="A12" s="39" t="s">
        <v>424</v>
      </c>
      <c r="B12" s="47" t="s">
        <v>229</v>
      </c>
      <c r="C12" s="67">
        <f>SUM(C6:C11)</f>
        <v>161911181</v>
      </c>
      <c r="D12" s="67"/>
      <c r="E12" s="67"/>
      <c r="F12" s="67">
        <f aca="true" t="shared" si="0" ref="F12:F70">C12+D12+E12</f>
        <v>161911181</v>
      </c>
    </row>
    <row r="13" spans="1:6" ht="15" customHeight="1">
      <c r="A13" s="34" t="s">
        <v>230</v>
      </c>
      <c r="B13" s="38" t="s">
        <v>231</v>
      </c>
      <c r="C13" s="67">
        <f>'1.b melléklet'!C15+'2.b melléklet'!C13</f>
        <v>0</v>
      </c>
      <c r="D13" s="67"/>
      <c r="E13" s="67"/>
      <c r="F13" s="67">
        <f>'1.b melléklet'!F15+'2.b melléklet'!F13</f>
        <v>0</v>
      </c>
    </row>
    <row r="14" spans="1:6" ht="15" customHeight="1">
      <c r="A14" s="34" t="s">
        <v>232</v>
      </c>
      <c r="B14" s="38" t="s">
        <v>233</v>
      </c>
      <c r="C14" s="67">
        <f>'1.b melléklet'!C16+'2.b melléklet'!C14</f>
        <v>0</v>
      </c>
      <c r="D14" s="67"/>
      <c r="E14" s="67"/>
      <c r="F14" s="67">
        <f>'1.b melléklet'!F16+'2.b melléklet'!F14</f>
        <v>0</v>
      </c>
    </row>
    <row r="15" spans="1:6" ht="15" customHeight="1">
      <c r="A15" s="34" t="s">
        <v>386</v>
      </c>
      <c r="B15" s="38" t="s">
        <v>234</v>
      </c>
      <c r="C15" s="67">
        <f>'1.b melléklet'!C17+'2.b melléklet'!C15</f>
        <v>0</v>
      </c>
      <c r="D15" s="67"/>
      <c r="E15" s="67"/>
      <c r="F15" s="67">
        <f>'1.b melléklet'!F17+'2.b melléklet'!F15</f>
        <v>0</v>
      </c>
    </row>
    <row r="16" spans="1:6" ht="15" customHeight="1">
      <c r="A16" s="34" t="s">
        <v>387</v>
      </c>
      <c r="B16" s="38" t="s">
        <v>235</v>
      </c>
      <c r="C16" s="67">
        <f>'1.b melléklet'!C18+'2.b melléklet'!C16</f>
        <v>0</v>
      </c>
      <c r="D16" s="67"/>
      <c r="E16" s="67"/>
      <c r="F16" s="67">
        <f>'1.b melléklet'!F18+'2.b melléklet'!F16</f>
        <v>0</v>
      </c>
    </row>
    <row r="17" spans="1:6" ht="15" customHeight="1">
      <c r="A17" s="34" t="s">
        <v>388</v>
      </c>
      <c r="B17" s="38" t="s">
        <v>236</v>
      </c>
      <c r="C17" s="67">
        <f>'1.b melléklet'!C19+'2.b melléklet'!C17</f>
        <v>60385239</v>
      </c>
      <c r="D17" s="67"/>
      <c r="E17" s="67"/>
      <c r="F17" s="67">
        <f>'1.b melléklet'!F19+'2.b melléklet'!F17</f>
        <v>60385239</v>
      </c>
    </row>
    <row r="18" spans="1:6" ht="15" customHeight="1">
      <c r="A18" s="39" t="s">
        <v>425</v>
      </c>
      <c r="B18" s="47" t="s">
        <v>237</v>
      </c>
      <c r="C18" s="68">
        <f>'1.b melléklet'!C20+'2.b melléklet'!C18</f>
        <v>222296420</v>
      </c>
      <c r="D18" s="68"/>
      <c r="E18" s="68"/>
      <c r="F18" s="68">
        <f t="shared" si="0"/>
        <v>222296420</v>
      </c>
    </row>
    <row r="19" spans="1:6" ht="15" customHeight="1">
      <c r="A19" s="34" t="s">
        <v>238</v>
      </c>
      <c r="B19" s="38" t="s">
        <v>239</v>
      </c>
      <c r="C19" s="67">
        <f>'1.b melléklet'!C21+'2.b melléklet'!C19</f>
        <v>0</v>
      </c>
      <c r="D19" s="67"/>
      <c r="E19" s="67"/>
      <c r="F19" s="67">
        <f>'1.b melléklet'!F21+'2.b melléklet'!F19</f>
        <v>0</v>
      </c>
    </row>
    <row r="20" spans="1:6" ht="15" customHeight="1">
      <c r="A20" s="34" t="s">
        <v>240</v>
      </c>
      <c r="B20" s="38" t="s">
        <v>241</v>
      </c>
      <c r="C20" s="67">
        <f>'1.b melléklet'!C22+'2.b melléklet'!C20</f>
        <v>0</v>
      </c>
      <c r="D20" s="67"/>
      <c r="E20" s="67"/>
      <c r="F20" s="67">
        <f>'1.b melléklet'!F22+'2.b melléklet'!F20</f>
        <v>0</v>
      </c>
    </row>
    <row r="21" spans="1:6" ht="15" customHeight="1">
      <c r="A21" s="34" t="s">
        <v>389</v>
      </c>
      <c r="B21" s="38" t="s">
        <v>242</v>
      </c>
      <c r="C21" s="67">
        <f>'1.b melléklet'!C23+'2.b melléklet'!C21</f>
        <v>0</v>
      </c>
      <c r="D21" s="67"/>
      <c r="E21" s="67"/>
      <c r="F21" s="67">
        <f>'1.b melléklet'!F23+'2.b melléklet'!F21</f>
        <v>0</v>
      </c>
    </row>
    <row r="22" spans="1:6" ht="15" customHeight="1">
      <c r="A22" s="34" t="s">
        <v>390</v>
      </c>
      <c r="B22" s="38" t="s">
        <v>243</v>
      </c>
      <c r="C22" s="67">
        <f>'1.b melléklet'!C24+'2.b melléklet'!C22</f>
        <v>0</v>
      </c>
      <c r="D22" s="67"/>
      <c r="E22" s="67"/>
      <c r="F22" s="67">
        <f>'1.b melléklet'!F24+'2.b melléklet'!F22</f>
        <v>0</v>
      </c>
    </row>
    <row r="23" spans="1:6" ht="15" customHeight="1">
      <c r="A23" s="34" t="s">
        <v>391</v>
      </c>
      <c r="B23" s="38" t="s">
        <v>244</v>
      </c>
      <c r="C23" s="67">
        <f>'1.b melléklet'!C25+'2.b melléklet'!C23</f>
        <v>0</v>
      </c>
      <c r="D23" s="67"/>
      <c r="E23" s="67"/>
      <c r="F23" s="67">
        <f>'1.b melléklet'!F25+'2.b melléklet'!F23</f>
        <v>0</v>
      </c>
    </row>
    <row r="24" spans="1:6" ht="15" customHeight="1">
      <c r="A24" s="39" t="s">
        <v>426</v>
      </c>
      <c r="B24" s="47" t="s">
        <v>245</v>
      </c>
      <c r="C24" s="67"/>
      <c r="D24" s="67"/>
      <c r="E24" s="67"/>
      <c r="F24" s="67">
        <f t="shared" si="0"/>
        <v>0</v>
      </c>
    </row>
    <row r="25" spans="1:6" ht="15" customHeight="1">
      <c r="A25" s="34" t="s">
        <v>392</v>
      </c>
      <c r="B25" s="38" t="s">
        <v>246</v>
      </c>
      <c r="C25" s="67">
        <f>'1.b melléklet'!C27+'2.b melléklet'!C25</f>
        <v>0</v>
      </c>
      <c r="D25" s="67"/>
      <c r="E25" s="67"/>
      <c r="F25" s="67">
        <f>'1.b melléklet'!F27+'2.b melléklet'!F25</f>
        <v>0</v>
      </c>
    </row>
    <row r="26" spans="1:6" ht="15" customHeight="1">
      <c r="A26" s="34" t="s">
        <v>393</v>
      </c>
      <c r="B26" s="38" t="s">
        <v>247</v>
      </c>
      <c r="C26" s="67">
        <f>'1.b melléklet'!C28+'2.b melléklet'!C26</f>
        <v>0</v>
      </c>
      <c r="D26" s="67"/>
      <c r="E26" s="67"/>
      <c r="F26" s="67">
        <f>'1.b melléklet'!F28+'2.b melléklet'!F26</f>
        <v>0</v>
      </c>
    </row>
    <row r="27" spans="1:6" ht="15" customHeight="1">
      <c r="A27" s="39" t="s">
        <v>427</v>
      </c>
      <c r="B27" s="47" t="s">
        <v>248</v>
      </c>
      <c r="C27" s="67"/>
      <c r="D27" s="67"/>
      <c r="E27" s="67"/>
      <c r="F27" s="67">
        <f t="shared" si="0"/>
        <v>0</v>
      </c>
    </row>
    <row r="28" spans="1:6" ht="15" customHeight="1">
      <c r="A28" s="34" t="s">
        <v>394</v>
      </c>
      <c r="B28" s="38" t="s">
        <v>249</v>
      </c>
      <c r="C28" s="67">
        <f>'1.b melléklet'!C30+'2.b melléklet'!C28</f>
        <v>0</v>
      </c>
      <c r="D28" s="67"/>
      <c r="E28" s="67"/>
      <c r="F28" s="67">
        <f>'1.b melléklet'!F30+'2.b melléklet'!F28</f>
        <v>0</v>
      </c>
    </row>
    <row r="29" spans="1:6" ht="15" customHeight="1">
      <c r="A29" s="34" t="s">
        <v>395</v>
      </c>
      <c r="B29" s="38" t="s">
        <v>250</v>
      </c>
      <c r="C29" s="67">
        <f>'1.b melléklet'!C31+'2.b melléklet'!C29</f>
        <v>0</v>
      </c>
      <c r="D29" s="67"/>
      <c r="E29" s="67"/>
      <c r="F29" s="67">
        <f>'1.b melléklet'!F31+'2.b melléklet'!F29</f>
        <v>0</v>
      </c>
    </row>
    <row r="30" spans="1:6" ht="15" customHeight="1">
      <c r="A30" s="34" t="s">
        <v>396</v>
      </c>
      <c r="B30" s="38" t="s">
        <v>251</v>
      </c>
      <c r="C30" s="67">
        <f>'1.b melléklet'!C32+'2.b melléklet'!C30</f>
        <v>0</v>
      </c>
      <c r="D30" s="67"/>
      <c r="E30" s="67"/>
      <c r="F30" s="67">
        <f>'1.b melléklet'!F32+'2.b melléklet'!F30</f>
        <v>0</v>
      </c>
    </row>
    <row r="31" spans="1:6" ht="15" customHeight="1">
      <c r="A31" s="34" t="s">
        <v>397</v>
      </c>
      <c r="B31" s="38" t="s">
        <v>252</v>
      </c>
      <c r="C31" s="67">
        <f>'1.b melléklet'!C33+'2.b melléklet'!C31</f>
        <v>16400000</v>
      </c>
      <c r="D31" s="67"/>
      <c r="E31" s="67"/>
      <c r="F31" s="67">
        <f>'1.b melléklet'!F33+'2.b melléklet'!F31</f>
        <v>16400000</v>
      </c>
    </row>
    <row r="32" spans="1:6" ht="15" customHeight="1">
      <c r="A32" s="34" t="s">
        <v>398</v>
      </c>
      <c r="B32" s="38" t="s">
        <v>253</v>
      </c>
      <c r="C32" s="67">
        <f>'1.b melléklet'!C34+'2.b melléklet'!C32</f>
        <v>0</v>
      </c>
      <c r="D32" s="67"/>
      <c r="E32" s="67"/>
      <c r="F32" s="67">
        <f>'1.b melléklet'!F34+'2.b melléklet'!F32</f>
        <v>0</v>
      </c>
    </row>
    <row r="33" spans="1:6" ht="15" customHeight="1">
      <c r="A33" s="34" t="s">
        <v>254</v>
      </c>
      <c r="B33" s="38" t="s">
        <v>255</v>
      </c>
      <c r="C33" s="67">
        <f>'1.b melléklet'!C35+'2.b melléklet'!C33</f>
        <v>0</v>
      </c>
      <c r="D33" s="67"/>
      <c r="E33" s="67"/>
      <c r="F33" s="67">
        <f>'1.b melléklet'!F35+'2.b melléklet'!F33</f>
        <v>0</v>
      </c>
    </row>
    <row r="34" spans="1:6" ht="15" customHeight="1">
      <c r="A34" s="34" t="s">
        <v>399</v>
      </c>
      <c r="B34" s="38" t="s">
        <v>256</v>
      </c>
      <c r="C34" s="67">
        <f>'1.b melléklet'!C36+'2.b melléklet'!C34</f>
        <v>5000000</v>
      </c>
      <c r="D34" s="67"/>
      <c r="E34" s="67"/>
      <c r="F34" s="67">
        <f>'1.b melléklet'!F36+'2.b melléklet'!F34</f>
        <v>5000000</v>
      </c>
    </row>
    <row r="35" spans="1:6" ht="15" customHeight="1">
      <c r="A35" s="34" t="s">
        <v>400</v>
      </c>
      <c r="B35" s="38" t="s">
        <v>257</v>
      </c>
      <c r="C35" s="67">
        <f>'1.b melléklet'!C37+'2.b melléklet'!C35</f>
        <v>540000</v>
      </c>
      <c r="D35" s="67"/>
      <c r="E35" s="67"/>
      <c r="F35" s="67">
        <f>'1.b melléklet'!F37+'2.b melléklet'!F35</f>
        <v>540000</v>
      </c>
    </row>
    <row r="36" spans="1:6" ht="15" customHeight="1">
      <c r="A36" s="39" t="s">
        <v>428</v>
      </c>
      <c r="B36" s="47" t="s">
        <v>258</v>
      </c>
      <c r="C36" s="67">
        <f>SUM(C31:C35)</f>
        <v>21940000</v>
      </c>
      <c r="D36" s="67"/>
      <c r="E36" s="67"/>
      <c r="F36" s="67">
        <f t="shared" si="0"/>
        <v>21940000</v>
      </c>
    </row>
    <row r="37" spans="1:6" ht="15" customHeight="1">
      <c r="A37" s="34" t="s">
        <v>401</v>
      </c>
      <c r="B37" s="38" t="s">
        <v>259</v>
      </c>
      <c r="C37" s="67">
        <f>'1.b melléklet'!C39+'2.b melléklet'!C37</f>
        <v>716000</v>
      </c>
      <c r="D37" s="67"/>
      <c r="E37" s="67"/>
      <c r="F37" s="67">
        <f t="shared" si="0"/>
        <v>716000</v>
      </c>
    </row>
    <row r="38" spans="1:6" ht="15" customHeight="1">
      <c r="A38" s="39" t="s">
        <v>429</v>
      </c>
      <c r="B38" s="47" t="s">
        <v>260</v>
      </c>
      <c r="C38" s="68">
        <f>SUM(C36:C37)</f>
        <v>22656000</v>
      </c>
      <c r="D38" s="68"/>
      <c r="E38" s="68"/>
      <c r="F38" s="68">
        <f t="shared" si="0"/>
        <v>22656000</v>
      </c>
    </row>
    <row r="39" spans="1:6" ht="15" customHeight="1">
      <c r="A39" s="41" t="s">
        <v>261</v>
      </c>
      <c r="B39" s="38" t="s">
        <v>262</v>
      </c>
      <c r="C39" s="67">
        <f>'1.b melléklet'!C41+'2.b melléklet'!C39</f>
        <v>0</v>
      </c>
      <c r="D39" s="67">
        <f>'1.b melléklet'!D41+'2.b melléklet'!D39</f>
        <v>0</v>
      </c>
      <c r="E39" s="67"/>
      <c r="F39" s="67">
        <f t="shared" si="0"/>
        <v>0</v>
      </c>
    </row>
    <row r="40" spans="1:6" ht="15" customHeight="1">
      <c r="A40" s="41" t="s">
        <v>402</v>
      </c>
      <c r="B40" s="38" t="s">
        <v>263</v>
      </c>
      <c r="C40" s="67">
        <f>'1.b melléklet'!C42+'2.b melléklet'!C40</f>
        <v>7031905</v>
      </c>
      <c r="D40" s="67">
        <f>'1.b melléklet'!D42+'2.b melléklet'!D40</f>
        <v>0</v>
      </c>
      <c r="E40" s="67"/>
      <c r="F40" s="67">
        <f t="shared" si="0"/>
        <v>7031905</v>
      </c>
    </row>
    <row r="41" spans="1:6" ht="15" customHeight="1">
      <c r="A41" s="41" t="s">
        <v>403</v>
      </c>
      <c r="B41" s="38" t="s">
        <v>264</v>
      </c>
      <c r="C41" s="67">
        <f>'1.b melléklet'!C43+'2.b melléklet'!C41</f>
        <v>0</v>
      </c>
      <c r="D41" s="67">
        <f>'1.b melléklet'!D43+'2.b melléklet'!D41</f>
        <v>0</v>
      </c>
      <c r="E41" s="67"/>
      <c r="F41" s="67">
        <f t="shared" si="0"/>
        <v>0</v>
      </c>
    </row>
    <row r="42" spans="1:6" ht="15" customHeight="1">
      <c r="A42" s="41" t="s">
        <v>404</v>
      </c>
      <c r="B42" s="38" t="s">
        <v>265</v>
      </c>
      <c r="C42" s="67">
        <f>'1.b melléklet'!C44+'2.b melléklet'!C42</f>
        <v>0</v>
      </c>
      <c r="D42" s="67">
        <f>'1.b melléklet'!D44+'2.b melléklet'!D42</f>
        <v>6466283</v>
      </c>
      <c r="E42" s="67"/>
      <c r="F42" s="67">
        <f t="shared" si="0"/>
        <v>6466283</v>
      </c>
    </row>
    <row r="43" spans="1:6" ht="15" customHeight="1">
      <c r="A43" s="41" t="s">
        <v>266</v>
      </c>
      <c r="B43" s="38" t="s">
        <v>267</v>
      </c>
      <c r="C43" s="67">
        <f>'1.b melléklet'!C45+'2.b melléklet'!C43</f>
        <v>0</v>
      </c>
      <c r="D43" s="67">
        <f>'1.b melléklet'!D45+'2.b melléklet'!D43</f>
        <v>0</v>
      </c>
      <c r="E43" s="67"/>
      <c r="F43" s="67">
        <f t="shared" si="0"/>
        <v>0</v>
      </c>
    </row>
    <row r="44" spans="1:6" ht="15" customHeight="1">
      <c r="A44" s="41" t="s">
        <v>268</v>
      </c>
      <c r="B44" s="38" t="s">
        <v>269</v>
      </c>
      <c r="C44" s="67">
        <f>'1.b melléklet'!C46+'2.b melléklet'!C44</f>
        <v>0</v>
      </c>
      <c r="D44" s="67">
        <f>'1.b melléklet'!D46+'2.b melléklet'!D44</f>
        <v>0</v>
      </c>
      <c r="E44" s="67"/>
      <c r="F44" s="67">
        <f t="shared" si="0"/>
        <v>0</v>
      </c>
    </row>
    <row r="45" spans="1:6" ht="15" customHeight="1">
      <c r="A45" s="41" t="s">
        <v>270</v>
      </c>
      <c r="B45" s="38" t="s">
        <v>271</v>
      </c>
      <c r="C45" s="67">
        <f>'1.b melléklet'!C47+'2.b melléklet'!C45</f>
        <v>0</v>
      </c>
      <c r="D45" s="67">
        <f>'1.b melléklet'!D47+'2.b melléklet'!D45</f>
        <v>0</v>
      </c>
      <c r="E45" s="67"/>
      <c r="F45" s="67">
        <f t="shared" si="0"/>
        <v>0</v>
      </c>
    </row>
    <row r="46" spans="1:6" ht="15" customHeight="1">
      <c r="A46" s="41" t="s">
        <v>405</v>
      </c>
      <c r="B46" s="38" t="s">
        <v>272</v>
      </c>
      <c r="C46" s="67">
        <f>'1.b melléklet'!C48+'2.b melléklet'!C46</f>
        <v>0</v>
      </c>
      <c r="D46" s="67">
        <f>'1.b melléklet'!D48+'2.b melléklet'!D46</f>
        <v>0</v>
      </c>
      <c r="E46" s="67"/>
      <c r="F46" s="67">
        <f t="shared" si="0"/>
        <v>0</v>
      </c>
    </row>
    <row r="47" spans="1:6" ht="15" customHeight="1">
      <c r="A47" s="41" t="s">
        <v>406</v>
      </c>
      <c r="B47" s="38" t="s">
        <v>273</v>
      </c>
      <c r="C47" s="67">
        <f>'1.b melléklet'!C49+'2.b melléklet'!C47</f>
        <v>0</v>
      </c>
      <c r="D47" s="67">
        <f>'1.b melléklet'!D49+'2.b melléklet'!D47</f>
        <v>0</v>
      </c>
      <c r="E47" s="67"/>
      <c r="F47" s="67">
        <f t="shared" si="0"/>
        <v>0</v>
      </c>
    </row>
    <row r="48" spans="1:6" ht="15" customHeight="1">
      <c r="A48" s="41" t="s">
        <v>437</v>
      </c>
      <c r="B48" s="38" t="s">
        <v>274</v>
      </c>
      <c r="C48" s="67"/>
      <c r="D48" s="67">
        <f>'1.b melléklet'!D50+'2.b melléklet'!D48</f>
        <v>0</v>
      </c>
      <c r="E48" s="67"/>
      <c r="F48" s="67"/>
    </row>
    <row r="49" spans="1:6" ht="15" customHeight="1">
      <c r="A49" s="41" t="s">
        <v>407</v>
      </c>
      <c r="B49" s="38" t="s">
        <v>436</v>
      </c>
      <c r="C49" s="67">
        <f>'1.b melléklet'!C51+'2.b melléklet'!C49</f>
        <v>0</v>
      </c>
      <c r="D49" s="67">
        <f>'1.b melléklet'!D51+'2.b melléklet'!D49</f>
        <v>0</v>
      </c>
      <c r="E49" s="67"/>
      <c r="F49" s="67">
        <f t="shared" si="0"/>
        <v>0</v>
      </c>
    </row>
    <row r="50" spans="1:6" ht="15" customHeight="1">
      <c r="A50" s="43" t="s">
        <v>430</v>
      </c>
      <c r="B50" s="47" t="s">
        <v>275</v>
      </c>
      <c r="C50" s="68">
        <f>C39+C40+C41+C42+C43+C44+C45+C46+C47+C48+C49</f>
        <v>7031905</v>
      </c>
      <c r="D50" s="68">
        <f>D42</f>
        <v>6466283</v>
      </c>
      <c r="E50" s="68"/>
      <c r="F50" s="68">
        <f t="shared" si="0"/>
        <v>13498188</v>
      </c>
    </row>
    <row r="51" spans="1:6" ht="15" customHeight="1">
      <c r="A51" s="41" t="s">
        <v>408</v>
      </c>
      <c r="B51" s="38" t="s">
        <v>276</v>
      </c>
      <c r="C51" s="67"/>
      <c r="D51" s="67"/>
      <c r="E51" s="67"/>
      <c r="F51" s="67">
        <f t="shared" si="0"/>
        <v>0</v>
      </c>
    </row>
    <row r="52" spans="1:6" ht="15" customHeight="1">
      <c r="A52" s="41" t="s">
        <v>409</v>
      </c>
      <c r="B52" s="38" t="s">
        <v>277</v>
      </c>
      <c r="C52" s="67"/>
      <c r="D52" s="67"/>
      <c r="E52" s="67"/>
      <c r="F52" s="67">
        <f t="shared" si="0"/>
        <v>0</v>
      </c>
    </row>
    <row r="53" spans="1:6" ht="15" customHeight="1">
      <c r="A53" s="41" t="s">
        <v>278</v>
      </c>
      <c r="B53" s="38" t="s">
        <v>279</v>
      </c>
      <c r="C53" s="67"/>
      <c r="D53" s="67"/>
      <c r="E53" s="67"/>
      <c r="F53" s="67">
        <f t="shared" si="0"/>
        <v>0</v>
      </c>
    </row>
    <row r="54" spans="1:6" ht="15" customHeight="1">
      <c r="A54" s="41" t="s">
        <v>410</v>
      </c>
      <c r="B54" s="38" t="s">
        <v>280</v>
      </c>
      <c r="C54" s="67"/>
      <c r="D54" s="67"/>
      <c r="E54" s="67"/>
      <c r="F54" s="67">
        <f t="shared" si="0"/>
        <v>0</v>
      </c>
    </row>
    <row r="55" spans="1:6" ht="15" customHeight="1">
      <c r="A55" s="41" t="s">
        <v>281</v>
      </c>
      <c r="B55" s="38" t="s">
        <v>282</v>
      </c>
      <c r="C55" s="67"/>
      <c r="D55" s="67"/>
      <c r="E55" s="67"/>
      <c r="F55" s="67">
        <f t="shared" si="0"/>
        <v>0</v>
      </c>
    </row>
    <row r="56" spans="1:6" ht="15" customHeight="1">
      <c r="A56" s="39" t="s">
        <v>431</v>
      </c>
      <c r="B56" s="47" t="s">
        <v>283</v>
      </c>
      <c r="C56" s="67"/>
      <c r="D56" s="67"/>
      <c r="E56" s="67"/>
      <c r="F56" s="67">
        <f t="shared" si="0"/>
        <v>0</v>
      </c>
    </row>
    <row r="57" spans="1:6" ht="15" customHeight="1">
      <c r="A57" s="41" t="s">
        <v>284</v>
      </c>
      <c r="B57" s="38" t="s">
        <v>285</v>
      </c>
      <c r="C57" s="67"/>
      <c r="D57" s="67"/>
      <c r="E57" s="67"/>
      <c r="F57" s="67">
        <f t="shared" si="0"/>
        <v>0</v>
      </c>
    </row>
    <row r="58" spans="1:6" ht="15" customHeight="1">
      <c r="A58" s="34" t="s">
        <v>411</v>
      </c>
      <c r="B58" s="38" t="s">
        <v>286</v>
      </c>
      <c r="C58" s="67"/>
      <c r="D58" s="67"/>
      <c r="E58" s="67"/>
      <c r="F58" s="67">
        <f t="shared" si="0"/>
        <v>0</v>
      </c>
    </row>
    <row r="59" spans="1:6" ht="15" customHeight="1">
      <c r="A59" s="41" t="s">
        <v>412</v>
      </c>
      <c r="B59" s="38" t="s">
        <v>287</v>
      </c>
      <c r="C59" s="67"/>
      <c r="D59" s="67"/>
      <c r="E59" s="67"/>
      <c r="F59" s="67">
        <f t="shared" si="0"/>
        <v>0</v>
      </c>
    </row>
    <row r="60" spans="1:6" ht="15" customHeight="1">
      <c r="A60" s="39" t="s">
        <v>432</v>
      </c>
      <c r="B60" s="47" t="s">
        <v>288</v>
      </c>
      <c r="C60" s="67">
        <f>SUM(C57:C59)</f>
        <v>0</v>
      </c>
      <c r="D60" s="67"/>
      <c r="E60" s="67"/>
      <c r="F60" s="67">
        <f t="shared" si="0"/>
        <v>0</v>
      </c>
    </row>
    <row r="61" spans="1:6" ht="15" customHeight="1">
      <c r="A61" s="41" t="s">
        <v>289</v>
      </c>
      <c r="B61" s="38" t="s">
        <v>290</v>
      </c>
      <c r="C61" s="67"/>
      <c r="D61" s="67"/>
      <c r="E61" s="67"/>
      <c r="F61" s="67">
        <f t="shared" si="0"/>
        <v>0</v>
      </c>
    </row>
    <row r="62" spans="1:6" ht="15" customHeight="1">
      <c r="A62" s="34" t="s">
        <v>413</v>
      </c>
      <c r="B62" s="38" t="s">
        <v>291</v>
      </c>
      <c r="C62" s="67"/>
      <c r="D62" s="67"/>
      <c r="E62" s="67"/>
      <c r="F62" s="67">
        <f t="shared" si="0"/>
        <v>0</v>
      </c>
    </row>
    <row r="63" spans="1:6" ht="15" customHeight="1">
      <c r="A63" s="41" t="s">
        <v>414</v>
      </c>
      <c r="B63" s="38" t="s">
        <v>292</v>
      </c>
      <c r="C63" s="67"/>
      <c r="D63" s="67"/>
      <c r="E63" s="67"/>
      <c r="F63" s="67">
        <f t="shared" si="0"/>
        <v>0</v>
      </c>
    </row>
    <row r="64" spans="1:6" ht="15" customHeight="1">
      <c r="A64" s="39" t="s">
        <v>1</v>
      </c>
      <c r="B64" s="47" t="s">
        <v>293</v>
      </c>
      <c r="C64" s="67">
        <f>SUM(C63)</f>
        <v>0</v>
      </c>
      <c r="D64" s="67"/>
      <c r="E64" s="67"/>
      <c r="F64" s="67">
        <f t="shared" si="0"/>
        <v>0</v>
      </c>
    </row>
    <row r="65" spans="1:6" ht="15">
      <c r="A65" s="62" t="s">
        <v>0</v>
      </c>
      <c r="B65" s="18" t="s">
        <v>294</v>
      </c>
      <c r="C65" s="68">
        <f>'1.b melléklet'!C67+'2.b melléklet'!C65</f>
        <v>241998601</v>
      </c>
      <c r="D65" s="68">
        <f>'1.b melléklet'!D67+'2.b melléklet'!D65</f>
        <v>6466283</v>
      </c>
      <c r="E65" s="68">
        <f>'1.b melléklet'!E67+'2.b melléklet'!E65</f>
        <v>0</v>
      </c>
      <c r="F65" s="68">
        <f>'1.b melléklet'!F67+'2.b melléklet'!F65</f>
        <v>248464884</v>
      </c>
    </row>
    <row r="66" spans="1:6" ht="15">
      <c r="A66" s="63" t="s">
        <v>17</v>
      </c>
      <c r="B66" s="64"/>
      <c r="C66" s="68">
        <f>'1.b melléklet'!C68+'2.b melléklet'!C66</f>
        <v>251984325</v>
      </c>
      <c r="D66" s="68">
        <f>'1.b melléklet'!D68+'2.b melléklet'!D66</f>
        <v>6466283</v>
      </c>
      <c r="E66" s="68">
        <f>'1.b melléklet'!E68+'2.b melléklet'!E66</f>
        <v>0</v>
      </c>
      <c r="F66" s="68">
        <f>'1.b melléklet'!F68+'2.b melléklet'!F66</f>
        <v>258450608</v>
      </c>
    </row>
    <row r="67" spans="1:6" ht="15">
      <c r="A67" s="63" t="s">
        <v>18</v>
      </c>
      <c r="B67" s="64"/>
      <c r="C67" s="67">
        <f>C24+C56+C64</f>
        <v>0</v>
      </c>
      <c r="D67" s="67">
        <f>D24+D56+D64</f>
        <v>0</v>
      </c>
      <c r="E67" s="67">
        <f>E24+E56+E64</f>
        <v>0</v>
      </c>
      <c r="F67" s="67">
        <f>F24+F56+F64</f>
        <v>0</v>
      </c>
    </row>
    <row r="68" spans="1:6" ht="15">
      <c r="A68" s="53" t="s">
        <v>416</v>
      </c>
      <c r="B68" s="34" t="s">
        <v>295</v>
      </c>
      <c r="C68" s="67">
        <f>'1.b melléklet'!C70+'2.b melléklet'!C68</f>
        <v>30000000</v>
      </c>
      <c r="D68" s="67"/>
      <c r="E68" s="67"/>
      <c r="F68" s="67">
        <f t="shared" si="0"/>
        <v>30000000</v>
      </c>
    </row>
    <row r="69" spans="1:6" ht="15">
      <c r="A69" s="41" t="s">
        <v>296</v>
      </c>
      <c r="B69" s="34" t="s">
        <v>297</v>
      </c>
      <c r="C69" s="67">
        <f>'1.b melléklet'!C71+'2.b melléklet'!C69</f>
        <v>0</v>
      </c>
      <c r="D69" s="67"/>
      <c r="E69" s="67"/>
      <c r="F69" s="67">
        <f t="shared" si="0"/>
        <v>0</v>
      </c>
    </row>
    <row r="70" spans="1:6" ht="15">
      <c r="A70" s="53" t="s">
        <v>417</v>
      </c>
      <c r="B70" s="34" t="s">
        <v>298</v>
      </c>
      <c r="C70" s="67">
        <f>'1.b melléklet'!C72+'2.b melléklet'!C70</f>
        <v>0</v>
      </c>
      <c r="D70" s="67"/>
      <c r="E70" s="67"/>
      <c r="F70" s="67">
        <f t="shared" si="0"/>
        <v>0</v>
      </c>
    </row>
    <row r="71" spans="1:6" ht="15">
      <c r="A71" s="43" t="s">
        <v>2</v>
      </c>
      <c r="B71" s="39" t="s">
        <v>299</v>
      </c>
      <c r="C71" s="68">
        <f>C68+C69+C70</f>
        <v>30000000</v>
      </c>
      <c r="D71" s="68"/>
      <c r="E71" s="68"/>
      <c r="F71" s="68">
        <f aca="true" t="shared" si="1" ref="F71:F93">C71+D71+E71</f>
        <v>30000000</v>
      </c>
    </row>
    <row r="72" spans="1:6" ht="15">
      <c r="A72" s="41" t="s">
        <v>418</v>
      </c>
      <c r="B72" s="34" t="s">
        <v>300</v>
      </c>
      <c r="C72" s="67">
        <f>'1.b melléklet'!C74+'2.b melléklet'!C72</f>
        <v>0</v>
      </c>
      <c r="D72" s="67"/>
      <c r="E72" s="67"/>
      <c r="F72" s="67">
        <f t="shared" si="1"/>
        <v>0</v>
      </c>
    </row>
    <row r="73" spans="1:6" ht="15">
      <c r="A73" s="53" t="s">
        <v>301</v>
      </c>
      <c r="B73" s="34" t="s">
        <v>302</v>
      </c>
      <c r="C73" s="67">
        <f>'1.b melléklet'!C75+'2.b melléklet'!C73</f>
        <v>0</v>
      </c>
      <c r="D73" s="67"/>
      <c r="E73" s="67"/>
      <c r="F73" s="67">
        <f t="shared" si="1"/>
        <v>0</v>
      </c>
    </row>
    <row r="74" spans="1:6" ht="15">
      <c r="A74" s="41" t="s">
        <v>419</v>
      </c>
      <c r="B74" s="34" t="s">
        <v>303</v>
      </c>
      <c r="C74" s="67">
        <f>'1.b melléklet'!C76+'2.b melléklet'!C74</f>
        <v>0</v>
      </c>
      <c r="D74" s="67"/>
      <c r="E74" s="67"/>
      <c r="F74" s="67">
        <f t="shared" si="1"/>
        <v>0</v>
      </c>
    </row>
    <row r="75" spans="1:6" ht="15">
      <c r="A75" s="53" t="s">
        <v>304</v>
      </c>
      <c r="B75" s="34" t="s">
        <v>305</v>
      </c>
      <c r="C75" s="67">
        <f>'1.b melléklet'!C77+'2.b melléklet'!C75</f>
        <v>0</v>
      </c>
      <c r="D75" s="67"/>
      <c r="E75" s="67"/>
      <c r="F75" s="67">
        <f t="shared" si="1"/>
        <v>0</v>
      </c>
    </row>
    <row r="76" spans="1:6" ht="15">
      <c r="A76" s="57" t="s">
        <v>3</v>
      </c>
      <c r="B76" s="39" t="s">
        <v>306</v>
      </c>
      <c r="C76" s="67"/>
      <c r="D76" s="67"/>
      <c r="E76" s="67"/>
      <c r="F76" s="67">
        <f t="shared" si="1"/>
        <v>0</v>
      </c>
    </row>
    <row r="77" spans="1:6" ht="15">
      <c r="A77" s="34" t="s">
        <v>15</v>
      </c>
      <c r="B77" s="34" t="s">
        <v>307</v>
      </c>
      <c r="C77" s="67">
        <f>'1.b melléklet'!C79+'2.b melléklet'!C77</f>
        <v>32047794</v>
      </c>
      <c r="D77" s="67"/>
      <c r="E77" s="67"/>
      <c r="F77" s="67">
        <f t="shared" si="1"/>
        <v>32047794</v>
      </c>
    </row>
    <row r="78" spans="1:6" ht="15">
      <c r="A78" s="34" t="s">
        <v>16</v>
      </c>
      <c r="B78" s="34" t="s">
        <v>307</v>
      </c>
      <c r="C78" s="67">
        <f>'1.b melléklet'!C80+'2.b melléklet'!C78</f>
        <v>137889842</v>
      </c>
      <c r="D78" s="67"/>
      <c r="E78" s="67"/>
      <c r="F78" s="67">
        <f t="shared" si="1"/>
        <v>137889842</v>
      </c>
    </row>
    <row r="79" spans="1:6" ht="15">
      <c r="A79" s="34" t="s">
        <v>13</v>
      </c>
      <c r="B79" s="34" t="s">
        <v>308</v>
      </c>
      <c r="C79" s="67">
        <f>'1.b melléklet'!C81+'2.b melléklet'!C79</f>
        <v>0</v>
      </c>
      <c r="D79" s="67"/>
      <c r="E79" s="67"/>
      <c r="F79" s="67">
        <f t="shared" si="1"/>
        <v>0</v>
      </c>
    </row>
    <row r="80" spans="1:6" ht="15">
      <c r="A80" s="34" t="s">
        <v>14</v>
      </c>
      <c r="B80" s="34" t="s">
        <v>308</v>
      </c>
      <c r="C80" s="67">
        <f>'1.b melléklet'!C82+'2.b melléklet'!C80</f>
        <v>0</v>
      </c>
      <c r="D80" s="67"/>
      <c r="E80" s="67"/>
      <c r="F80" s="67">
        <f t="shared" si="1"/>
        <v>0</v>
      </c>
    </row>
    <row r="81" spans="1:6" ht="15">
      <c r="A81" s="39" t="s">
        <v>4</v>
      </c>
      <c r="B81" s="39" t="s">
        <v>309</v>
      </c>
      <c r="C81" s="68">
        <f>'1.b melléklet'!C83+'2.b melléklet'!C81</f>
        <v>169091839</v>
      </c>
      <c r="D81" s="68"/>
      <c r="E81" s="68"/>
      <c r="F81" s="68">
        <f t="shared" si="1"/>
        <v>169091839</v>
      </c>
    </row>
    <row r="82" spans="1:6" ht="15">
      <c r="A82" s="53" t="s">
        <v>310</v>
      </c>
      <c r="B82" s="34" t="s">
        <v>311</v>
      </c>
      <c r="C82" s="67">
        <f>'1.b melléklet'!C84+'2.b melléklet'!C82</f>
        <v>845797</v>
      </c>
      <c r="D82" s="67">
        <f>'1.b melléklet'!D84+'2.b melléklet'!D82</f>
        <v>0</v>
      </c>
      <c r="E82" s="67">
        <f>'1.b melléklet'!E84+'2.b melléklet'!E82</f>
        <v>0</v>
      </c>
      <c r="F82" s="67">
        <f>'1.b melléklet'!F84+'2.b melléklet'!F82</f>
        <v>845797</v>
      </c>
    </row>
    <row r="83" spans="1:6" ht="15">
      <c r="A83" s="53" t="s">
        <v>312</v>
      </c>
      <c r="B83" s="34" t="s">
        <v>313</v>
      </c>
      <c r="C83" s="67">
        <f>'1.b melléklet'!C85+'2.b melléklet'!C83</f>
        <v>0</v>
      </c>
      <c r="D83" s="67">
        <f>'1.b melléklet'!D85+'2.b melléklet'!D83</f>
        <v>0</v>
      </c>
      <c r="E83" s="67">
        <f>'1.b melléklet'!E85+'2.b melléklet'!E83</f>
        <v>0</v>
      </c>
      <c r="F83" s="67">
        <f>'1.b melléklet'!F85+'2.b melléklet'!F83</f>
        <v>0</v>
      </c>
    </row>
    <row r="84" spans="1:6" ht="15">
      <c r="A84" s="53" t="s">
        <v>314</v>
      </c>
      <c r="B84" s="34" t="s">
        <v>315</v>
      </c>
      <c r="C84" s="67">
        <f>'1.b melléklet'!C86+'2.b melléklet'!C84</f>
        <v>0</v>
      </c>
      <c r="D84" s="67">
        <f>'1.b melléklet'!D86+'2.b melléklet'!D84</f>
        <v>0</v>
      </c>
      <c r="E84" s="67">
        <f>'1.b melléklet'!E86+'2.b melléklet'!E84</f>
        <v>0</v>
      </c>
      <c r="F84" s="67">
        <f>'1.b melléklet'!F86+'2.b melléklet'!F84</f>
        <v>0</v>
      </c>
    </row>
    <row r="85" spans="1:6" ht="15">
      <c r="A85" s="53" t="s">
        <v>316</v>
      </c>
      <c r="B85" s="34" t="s">
        <v>317</v>
      </c>
      <c r="C85" s="67">
        <f>'1.b melléklet'!C87+'2.b melléklet'!C85</f>
        <v>71998983</v>
      </c>
      <c r="D85" s="67">
        <f>'1.b melléklet'!D87+'2.b melléklet'!D85</f>
        <v>0</v>
      </c>
      <c r="E85" s="67">
        <f>'1.b melléklet'!E87+'2.b melléklet'!E85</f>
        <v>0</v>
      </c>
      <c r="F85" s="67">
        <f>'1.b melléklet'!F87+'2.b melléklet'!F85</f>
        <v>71998983</v>
      </c>
    </row>
    <row r="86" spans="1:6" ht="15">
      <c r="A86" s="41" t="s">
        <v>420</v>
      </c>
      <c r="B86" s="34" t="s">
        <v>318</v>
      </c>
      <c r="C86" s="67">
        <f>'1.b melléklet'!C88+'2.b melléklet'!C86</f>
        <v>0</v>
      </c>
      <c r="D86" s="67">
        <f>'1.b melléklet'!D88+'2.b melléklet'!D86</f>
        <v>0</v>
      </c>
      <c r="E86" s="67">
        <f>'1.b melléklet'!E88+'2.b melléklet'!E86</f>
        <v>0</v>
      </c>
      <c r="F86" s="67">
        <f>'1.b melléklet'!F88+'2.b melléklet'!F86</f>
        <v>0</v>
      </c>
    </row>
    <row r="87" spans="1:6" ht="15">
      <c r="A87" s="43" t="s">
        <v>5</v>
      </c>
      <c r="B87" s="39" t="s">
        <v>319</v>
      </c>
      <c r="C87" s="68">
        <f>'1.b melléklet'!C89+'2.b melléklet'!C88</f>
        <v>72844780</v>
      </c>
      <c r="D87" s="68">
        <f>'1.b melléklet'!D89+'2.b melléklet'!D87</f>
        <v>0</v>
      </c>
      <c r="E87" s="68">
        <f>'1.b melléklet'!E89+'2.b melléklet'!E87</f>
        <v>0</v>
      </c>
      <c r="F87" s="68">
        <f>'1.b melléklet'!F89+'2.b melléklet'!F88</f>
        <v>72844780</v>
      </c>
    </row>
    <row r="88" spans="1:6" ht="15">
      <c r="A88" s="41" t="s">
        <v>320</v>
      </c>
      <c r="B88" s="34" t="s">
        <v>321</v>
      </c>
      <c r="C88" s="67"/>
      <c r="D88" s="67">
        <f>'1.b melléklet'!D90+'2.b melléklet'!D88</f>
        <v>0</v>
      </c>
      <c r="E88" s="67">
        <f>'1.b melléklet'!E90+'2.b melléklet'!E88</f>
        <v>0</v>
      </c>
      <c r="F88" s="67"/>
    </row>
    <row r="89" spans="1:6" ht="15">
      <c r="A89" s="41" t="s">
        <v>322</v>
      </c>
      <c r="B89" s="34" t="s">
        <v>323</v>
      </c>
      <c r="C89" s="67">
        <f>'1.b melléklet'!C91+'2.b melléklet'!C89</f>
        <v>0</v>
      </c>
      <c r="D89" s="67"/>
      <c r="E89" s="67"/>
      <c r="F89" s="67">
        <f t="shared" si="1"/>
        <v>0</v>
      </c>
    </row>
    <row r="90" spans="1:6" ht="15">
      <c r="A90" s="53" t="s">
        <v>324</v>
      </c>
      <c r="B90" s="34" t="s">
        <v>325</v>
      </c>
      <c r="C90" s="67">
        <f>'1.b melléklet'!C92+'2.b melléklet'!C90</f>
        <v>0</v>
      </c>
      <c r="D90" s="67"/>
      <c r="E90" s="67"/>
      <c r="F90" s="67">
        <f t="shared" si="1"/>
        <v>0</v>
      </c>
    </row>
    <row r="91" spans="1:6" ht="15">
      <c r="A91" s="53" t="s">
        <v>421</v>
      </c>
      <c r="B91" s="34" t="s">
        <v>326</v>
      </c>
      <c r="C91" s="67">
        <f>'1.b melléklet'!C93+'2.b melléklet'!C91</f>
        <v>0</v>
      </c>
      <c r="D91" s="67"/>
      <c r="E91" s="67"/>
      <c r="F91" s="67">
        <f t="shared" si="1"/>
        <v>0</v>
      </c>
    </row>
    <row r="92" spans="1:6" ht="15">
      <c r="A92" s="57" t="s">
        <v>6</v>
      </c>
      <c r="B92" s="39" t="s">
        <v>327</v>
      </c>
      <c r="C92" s="67"/>
      <c r="D92" s="67"/>
      <c r="E92" s="67"/>
      <c r="F92" s="67">
        <f t="shared" si="1"/>
        <v>0</v>
      </c>
    </row>
    <row r="93" spans="1:6" ht="15">
      <c r="A93" s="43" t="s">
        <v>328</v>
      </c>
      <c r="B93" s="39" t="s">
        <v>329</v>
      </c>
      <c r="C93" s="67"/>
      <c r="D93" s="67"/>
      <c r="E93" s="67"/>
      <c r="F93" s="67">
        <f t="shared" si="1"/>
        <v>0</v>
      </c>
    </row>
    <row r="94" spans="1:6" ht="15">
      <c r="A94" s="20" t="s">
        <v>7</v>
      </c>
      <c r="B94" s="21" t="s">
        <v>330</v>
      </c>
      <c r="C94" s="68">
        <f>'1.b melléklet'!C96+'2.b melléklet'!C94</f>
        <v>199091839</v>
      </c>
      <c r="D94" s="68">
        <f>'1.b melléklet'!D96+'2.b melléklet'!D94</f>
        <v>0</v>
      </c>
      <c r="E94" s="68">
        <f>'1.b melléklet'!E96+'2.b melléklet'!E94</f>
        <v>0</v>
      </c>
      <c r="F94" s="68">
        <f>'1.b melléklet'!F96+'2.b melléklet'!F94</f>
        <v>199091839</v>
      </c>
    </row>
    <row r="95" spans="1:6" ht="15">
      <c r="A95" s="22" t="s">
        <v>423</v>
      </c>
      <c r="B95" s="23"/>
      <c r="C95" s="68">
        <f>'2.b melléklet'!C96+'1.b melléklet'!C97</f>
        <v>523920944</v>
      </c>
      <c r="D95" s="68">
        <f>'1.b melléklet'!D97+'2.b melléklet'!D95</f>
        <v>6466283</v>
      </c>
      <c r="E95" s="68">
        <f>'1.b melléklet'!E97+'2.b melléklet'!E95</f>
        <v>0</v>
      </c>
      <c r="F95" s="68">
        <f>'2.b melléklet'!F96+'1.b melléklet'!F97</f>
        <v>530387227</v>
      </c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Header>&amp;R&amp;"-,Dőlt"3b. melléklet a 8/2019.(V.31.) önkormányzati rendelethez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Layout" workbookViewId="0" topLeftCell="A1">
      <selection activeCell="D17" sqref="D1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4.7109375" style="0" customWidth="1"/>
    <col min="4" max="4" width="19.57421875" style="0" customWidth="1"/>
  </cols>
  <sheetData>
    <row r="1" spans="1:4" ht="23.25" customHeight="1">
      <c r="A1" s="190" t="s">
        <v>448</v>
      </c>
      <c r="B1" s="190"/>
      <c r="C1" s="190"/>
      <c r="D1" s="190"/>
    </row>
    <row r="2" spans="1:4" ht="25.5" customHeight="1">
      <c r="A2" s="191" t="s">
        <v>41</v>
      </c>
      <c r="B2" s="191"/>
      <c r="C2" s="191"/>
      <c r="D2" s="191"/>
    </row>
    <row r="3" spans="1:4" ht="21.75" customHeight="1">
      <c r="A3" s="11"/>
      <c r="B3" s="8"/>
      <c r="C3" s="8"/>
      <c r="D3" s="8"/>
    </row>
    <row r="4" spans="1:4" ht="20.25" customHeight="1">
      <c r="A4" s="3"/>
      <c r="D4" t="s">
        <v>434</v>
      </c>
    </row>
    <row r="5" spans="1:4" ht="27">
      <c r="A5" s="7" t="s">
        <v>21</v>
      </c>
      <c r="B5" s="2" t="s">
        <v>45</v>
      </c>
      <c r="C5" s="12" t="s">
        <v>22</v>
      </c>
      <c r="D5" s="10" t="s">
        <v>40</v>
      </c>
    </row>
    <row r="6" spans="1:4" ht="26.25" customHeight="1">
      <c r="A6" s="9" t="s">
        <v>38</v>
      </c>
      <c r="B6" s="4" t="s">
        <v>199</v>
      </c>
      <c r="C6" s="83">
        <v>71998983</v>
      </c>
      <c r="D6" s="83">
        <f>SUM(C6:C6)</f>
        <v>71998983</v>
      </c>
    </row>
    <row r="7" spans="1:4" ht="26.25" customHeight="1">
      <c r="A7" s="9" t="s">
        <v>39</v>
      </c>
      <c r="B7" s="4" t="s">
        <v>199</v>
      </c>
      <c r="C7" s="83"/>
      <c r="D7" s="83"/>
    </row>
    <row r="8" spans="1:4" ht="22.5" customHeight="1">
      <c r="A8" s="7" t="s">
        <v>42</v>
      </c>
      <c r="B8" s="7"/>
      <c r="C8" s="83">
        <f>SUM(C6:C7)</f>
        <v>71998983</v>
      </c>
      <c r="D8" s="83">
        <f>SUM(C8:C8)</f>
        <v>71998983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Header>&amp;R&amp;"-,Dőlt"4. melléklet a 8/2019.(V.31.)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29"/>
  <sheetViews>
    <sheetView workbookViewId="0" topLeftCell="A1">
      <selection activeCell="A2" sqref="A2:O2"/>
    </sheetView>
  </sheetViews>
  <sheetFormatPr defaultColWidth="9.140625" defaultRowHeight="15"/>
  <cols>
    <col min="1" max="1" width="91.140625" style="13" customWidth="1"/>
    <col min="2" max="2" width="9.140625" style="13" customWidth="1"/>
    <col min="3" max="3" width="20.00390625" style="13" bestFit="1" customWidth="1"/>
    <col min="4" max="5" width="18.57421875" style="13" customWidth="1"/>
    <col min="6" max="6" width="19.140625" style="13" customWidth="1"/>
    <col min="7" max="7" width="22.00390625" style="13" customWidth="1"/>
    <col min="8" max="8" width="19.28125" style="13" customWidth="1"/>
    <col min="9" max="9" width="20.140625" style="13" customWidth="1"/>
    <col min="10" max="10" width="18.421875" style="13" customWidth="1"/>
    <col min="11" max="11" width="22.57421875" style="13" customWidth="1"/>
    <col min="12" max="12" width="19.57421875" style="13" customWidth="1"/>
    <col min="13" max="13" width="20.8515625" style="13" customWidth="1"/>
    <col min="14" max="14" width="20.421875" style="13" customWidth="1"/>
    <col min="15" max="15" width="23.28125" style="13" customWidth="1"/>
    <col min="16" max="16" width="22.7109375" style="123" bestFit="1" customWidth="1"/>
    <col min="17" max="17" width="19.00390625" style="13" bestFit="1" customWidth="1"/>
    <col min="18" max="16384" width="9.140625" style="13" customWidth="1"/>
  </cols>
  <sheetData>
    <row r="1" spans="1:6" ht="14.25">
      <c r="A1" s="177"/>
      <c r="B1" s="178"/>
      <c r="C1" s="178"/>
      <c r="D1" s="178"/>
      <c r="E1" s="178"/>
      <c r="F1" s="178"/>
    </row>
    <row r="2" spans="1:16" s="132" customFormat="1" ht="14.25">
      <c r="A2" s="195" t="s">
        <v>509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23"/>
    </row>
    <row r="3" spans="1:15" ht="28.5" customHeight="1">
      <c r="A3" s="192" t="s">
        <v>448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26.25" customHeight="1">
      <c r="A4" s="194" t="s">
        <v>444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ht="14.25">
      <c r="M5" s="132"/>
    </row>
    <row r="6" ht="14.25">
      <c r="A6" s="84" t="s">
        <v>23</v>
      </c>
    </row>
    <row r="7" spans="1:17" ht="26.25">
      <c r="A7" s="87" t="s">
        <v>44</v>
      </c>
      <c r="B7" s="88" t="s">
        <v>45</v>
      </c>
      <c r="C7" s="14" t="s">
        <v>26</v>
      </c>
      <c r="D7" s="14" t="s">
        <v>27</v>
      </c>
      <c r="E7" s="14" t="s">
        <v>28</v>
      </c>
      <c r="F7" s="14" t="s">
        <v>29</v>
      </c>
      <c r="G7" s="14" t="s">
        <v>30</v>
      </c>
      <c r="H7" s="14" t="s">
        <v>31</v>
      </c>
      <c r="I7" s="14" t="s">
        <v>32</v>
      </c>
      <c r="J7" s="14" t="s">
        <v>33</v>
      </c>
      <c r="K7" s="14" t="s">
        <v>34</v>
      </c>
      <c r="L7" s="14" t="s">
        <v>35</v>
      </c>
      <c r="M7" s="14" t="s">
        <v>36</v>
      </c>
      <c r="N7" s="14" t="s">
        <v>37</v>
      </c>
      <c r="O7" s="86" t="s">
        <v>25</v>
      </c>
      <c r="P7" s="124"/>
      <c r="Q7" s="84"/>
    </row>
    <row r="8" spans="1:17" ht="14.25">
      <c r="A8" s="89" t="s">
        <v>46</v>
      </c>
      <c r="B8" s="89" t="s">
        <v>47</v>
      </c>
      <c r="C8" s="14">
        <f aca="true" t="shared" si="0" ref="C8:C20">$O8/12</f>
        <v>1829098.6666666667</v>
      </c>
      <c r="D8" s="14">
        <f aca="true" t="shared" si="1" ref="D8:N20">$O8/12</f>
        <v>1829098.6666666667</v>
      </c>
      <c r="E8" s="14">
        <f t="shared" si="1"/>
        <v>1829098.6666666667</v>
      </c>
      <c r="F8" s="14">
        <f t="shared" si="1"/>
        <v>1829098.6666666667</v>
      </c>
      <c r="G8" s="14">
        <f t="shared" si="1"/>
        <v>1829098.6666666667</v>
      </c>
      <c r="H8" s="14">
        <f t="shared" si="1"/>
        <v>1829098.6666666667</v>
      </c>
      <c r="I8" s="14">
        <f t="shared" si="1"/>
        <v>1829098.6666666667</v>
      </c>
      <c r="J8" s="14">
        <f t="shared" si="1"/>
        <v>1829098.6666666667</v>
      </c>
      <c r="K8" s="14">
        <f t="shared" si="1"/>
        <v>1829098.6666666667</v>
      </c>
      <c r="L8" s="14">
        <f t="shared" si="1"/>
        <v>1829098.6666666667</v>
      </c>
      <c r="M8" s="14">
        <f t="shared" si="1"/>
        <v>1829098.6666666667</v>
      </c>
      <c r="N8" s="14">
        <f t="shared" si="1"/>
        <v>1829098.6666666667</v>
      </c>
      <c r="O8" s="14">
        <f>'1.a melléklet'!F8</f>
        <v>21949184</v>
      </c>
      <c r="P8" s="124"/>
      <c r="Q8" s="84"/>
    </row>
    <row r="9" spans="1:17" ht="14.25">
      <c r="A9" s="89" t="s">
        <v>48</v>
      </c>
      <c r="B9" s="89" t="s">
        <v>49</v>
      </c>
      <c r="C9" s="14">
        <f t="shared" si="0"/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>'1.a melléklet'!F9</f>
        <v>0</v>
      </c>
      <c r="P9" s="124"/>
      <c r="Q9" s="84"/>
    </row>
    <row r="10" spans="1:17" ht="14.25">
      <c r="A10" s="89" t="s">
        <v>50</v>
      </c>
      <c r="B10" s="89" t="s">
        <v>51</v>
      </c>
      <c r="C10" s="14">
        <f t="shared" si="0"/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>'1.a melléklet'!F10</f>
        <v>0</v>
      </c>
      <c r="P10" s="124"/>
      <c r="Q10" s="84"/>
    </row>
    <row r="11" spans="1:17" ht="14.25">
      <c r="A11" s="90" t="s">
        <v>52</v>
      </c>
      <c r="B11" s="89" t="s">
        <v>53</v>
      </c>
      <c r="C11" s="14">
        <f t="shared" si="0"/>
        <v>0</v>
      </c>
      <c r="D11" s="14">
        <f t="shared" si="1"/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>'1.a melléklet'!F11</f>
        <v>0</v>
      </c>
      <c r="P11" s="124"/>
      <c r="Q11" s="84"/>
    </row>
    <row r="12" spans="1:17" ht="14.25">
      <c r="A12" s="90" t="s">
        <v>54</v>
      </c>
      <c r="B12" s="89" t="s">
        <v>55</v>
      </c>
      <c r="C12" s="14">
        <f t="shared" si="0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>'1.a melléklet'!F12</f>
        <v>0</v>
      </c>
      <c r="P12" s="124"/>
      <c r="Q12" s="84"/>
    </row>
    <row r="13" spans="1:17" ht="14.25">
      <c r="A13" s="90" t="s">
        <v>56</v>
      </c>
      <c r="B13" s="89" t="s">
        <v>57</v>
      </c>
      <c r="C13" s="14">
        <f t="shared" si="0"/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>'1.a melléklet'!F13</f>
        <v>0</v>
      </c>
      <c r="P13" s="124"/>
      <c r="Q13" s="84"/>
    </row>
    <row r="14" spans="1:17" ht="14.25">
      <c r="A14" s="90" t="s">
        <v>58</v>
      </c>
      <c r="B14" s="89" t="s">
        <v>59</v>
      </c>
      <c r="C14" s="14">
        <f t="shared" si="0"/>
        <v>68295.83333333333</v>
      </c>
      <c r="D14" s="14">
        <f t="shared" si="1"/>
        <v>68295.83333333333</v>
      </c>
      <c r="E14" s="14">
        <f t="shared" si="1"/>
        <v>68295.83333333333</v>
      </c>
      <c r="F14" s="14">
        <f t="shared" si="1"/>
        <v>68295.83333333333</v>
      </c>
      <c r="G14" s="14">
        <f t="shared" si="1"/>
        <v>68295.83333333333</v>
      </c>
      <c r="H14" s="14">
        <f t="shared" si="1"/>
        <v>68295.83333333333</v>
      </c>
      <c r="I14" s="14">
        <f t="shared" si="1"/>
        <v>68295.83333333333</v>
      </c>
      <c r="J14" s="14">
        <f t="shared" si="1"/>
        <v>68295.83333333333</v>
      </c>
      <c r="K14" s="14">
        <f t="shared" si="1"/>
        <v>68295.83333333333</v>
      </c>
      <c r="L14" s="14">
        <f t="shared" si="1"/>
        <v>68295.83333333333</v>
      </c>
      <c r="M14" s="14">
        <f t="shared" si="1"/>
        <v>68295.83333333333</v>
      </c>
      <c r="N14" s="14">
        <v>68294</v>
      </c>
      <c r="O14" s="14">
        <f>'1.a melléklet'!F14</f>
        <v>819550</v>
      </c>
      <c r="P14" s="125"/>
      <c r="Q14" s="84"/>
    </row>
    <row r="15" spans="1:17" ht="14.25">
      <c r="A15" s="90" t="s">
        <v>60</v>
      </c>
      <c r="B15" s="89" t="s">
        <v>61</v>
      </c>
      <c r="C15" s="14">
        <f t="shared" si="0"/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>'1.a melléklet'!F15</f>
        <v>0</v>
      </c>
      <c r="P15" s="124"/>
      <c r="Q15" s="84"/>
    </row>
    <row r="16" spans="1:17" ht="14.25">
      <c r="A16" s="91" t="s">
        <v>62</v>
      </c>
      <c r="B16" s="89" t="s">
        <v>63</v>
      </c>
      <c r="C16" s="14">
        <f t="shared" si="0"/>
        <v>21000</v>
      </c>
      <c r="D16" s="14">
        <f t="shared" si="1"/>
        <v>21000</v>
      </c>
      <c r="E16" s="14">
        <f t="shared" si="1"/>
        <v>21000</v>
      </c>
      <c r="F16" s="14">
        <f t="shared" si="1"/>
        <v>21000</v>
      </c>
      <c r="G16" s="14">
        <f t="shared" si="1"/>
        <v>21000</v>
      </c>
      <c r="H16" s="14">
        <f t="shared" si="1"/>
        <v>21000</v>
      </c>
      <c r="I16" s="14">
        <f t="shared" si="1"/>
        <v>21000</v>
      </c>
      <c r="J16" s="14">
        <f t="shared" si="1"/>
        <v>21000</v>
      </c>
      <c r="K16" s="14">
        <f t="shared" si="1"/>
        <v>21000</v>
      </c>
      <c r="L16" s="14">
        <f t="shared" si="1"/>
        <v>21000</v>
      </c>
      <c r="M16" s="14">
        <f t="shared" si="1"/>
        <v>21000</v>
      </c>
      <c r="N16" s="14">
        <f t="shared" si="1"/>
        <v>21000</v>
      </c>
      <c r="O16" s="14">
        <f>'1.a melléklet'!F16</f>
        <v>252000</v>
      </c>
      <c r="P16" s="124"/>
      <c r="Q16" s="84"/>
    </row>
    <row r="17" spans="1:17" ht="14.25">
      <c r="A17" s="91" t="s">
        <v>64</v>
      </c>
      <c r="B17" s="89" t="s">
        <v>65</v>
      </c>
      <c r="C17" s="14">
        <f t="shared" si="0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>'1.a melléklet'!F17</f>
        <v>0</v>
      </c>
      <c r="P17" s="124"/>
      <c r="Q17" s="84"/>
    </row>
    <row r="18" spans="1:17" ht="14.25">
      <c r="A18" s="91" t="s">
        <v>66</v>
      </c>
      <c r="B18" s="89" t="s">
        <v>67</v>
      </c>
      <c r="C18" s="14">
        <f t="shared" si="0"/>
        <v>0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>'1.a melléklet'!F18</f>
        <v>0</v>
      </c>
      <c r="P18" s="124"/>
      <c r="Q18" s="84"/>
    </row>
    <row r="19" spans="1:17" ht="14.25">
      <c r="A19" s="91" t="s">
        <v>68</v>
      </c>
      <c r="B19" s="89" t="s">
        <v>69</v>
      </c>
      <c r="C19" s="14">
        <f t="shared" si="0"/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14">
        <f>'1.a melléklet'!F19</f>
        <v>0</v>
      </c>
      <c r="P19" s="124"/>
      <c r="Q19" s="84"/>
    </row>
    <row r="20" spans="1:17" ht="14.25">
      <c r="A20" s="91" t="s">
        <v>352</v>
      </c>
      <c r="B20" s="89" t="s">
        <v>70</v>
      </c>
      <c r="C20" s="14">
        <f t="shared" si="0"/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>
        <f t="shared" si="1"/>
        <v>0</v>
      </c>
      <c r="O20" s="14">
        <f>'1.a melléklet'!F20</f>
        <v>0</v>
      </c>
      <c r="P20" s="124"/>
      <c r="Q20" s="84"/>
    </row>
    <row r="21" spans="1:17" ht="14.25">
      <c r="A21" s="90" t="s">
        <v>331</v>
      </c>
      <c r="B21" s="89" t="s">
        <v>71</v>
      </c>
      <c r="C21" s="14">
        <f aca="true" t="shared" si="2" ref="C21:N21">SUM(C8:C20)</f>
        <v>1918394.5</v>
      </c>
      <c r="D21" s="14">
        <f t="shared" si="2"/>
        <v>1918394.5</v>
      </c>
      <c r="E21" s="14">
        <f t="shared" si="2"/>
        <v>1918394.5</v>
      </c>
      <c r="F21" s="14">
        <f t="shared" si="2"/>
        <v>1918394.5</v>
      </c>
      <c r="G21" s="14">
        <f t="shared" si="2"/>
        <v>1918394.5</v>
      </c>
      <c r="H21" s="14">
        <f t="shared" si="2"/>
        <v>1918394.5</v>
      </c>
      <c r="I21" s="14">
        <f t="shared" si="2"/>
        <v>1918394.5</v>
      </c>
      <c r="J21" s="14">
        <f t="shared" si="2"/>
        <v>1918394.5</v>
      </c>
      <c r="K21" s="14">
        <f t="shared" si="2"/>
        <v>1918394.5</v>
      </c>
      <c r="L21" s="14">
        <f t="shared" si="2"/>
        <v>1918394.5</v>
      </c>
      <c r="M21" s="14">
        <f t="shared" si="2"/>
        <v>1918394.5</v>
      </c>
      <c r="N21" s="14">
        <f t="shared" si="2"/>
        <v>1918392.6666666667</v>
      </c>
      <c r="O21" s="14">
        <f>SUM(O8:O20)</f>
        <v>23020734</v>
      </c>
      <c r="P21" s="124"/>
      <c r="Q21" s="84"/>
    </row>
    <row r="22" spans="1:17" ht="14.25">
      <c r="A22" s="91" t="s">
        <v>72</v>
      </c>
      <c r="B22" s="89" t="s">
        <v>73</v>
      </c>
      <c r="C22" s="14">
        <f>$O22/12</f>
        <v>590155</v>
      </c>
      <c r="D22" s="14">
        <f aca="true" t="shared" si="3" ref="D22:N22">$O22/12</f>
        <v>590155</v>
      </c>
      <c r="E22" s="14">
        <f t="shared" si="3"/>
        <v>590155</v>
      </c>
      <c r="F22" s="14">
        <f t="shared" si="3"/>
        <v>590155</v>
      </c>
      <c r="G22" s="14">
        <f t="shared" si="3"/>
        <v>590155</v>
      </c>
      <c r="H22" s="14">
        <f t="shared" si="3"/>
        <v>590155</v>
      </c>
      <c r="I22" s="14">
        <f t="shared" si="3"/>
        <v>590155</v>
      </c>
      <c r="J22" s="14">
        <f t="shared" si="3"/>
        <v>590155</v>
      </c>
      <c r="K22" s="14">
        <f t="shared" si="3"/>
        <v>590155</v>
      </c>
      <c r="L22" s="14">
        <f t="shared" si="3"/>
        <v>590155</v>
      </c>
      <c r="M22" s="14">
        <f t="shared" si="3"/>
        <v>590155</v>
      </c>
      <c r="N22" s="14">
        <f t="shared" si="3"/>
        <v>590155</v>
      </c>
      <c r="O22" s="14">
        <f>'1.a melléklet'!F22</f>
        <v>7081860</v>
      </c>
      <c r="P22" s="124"/>
      <c r="Q22" s="84"/>
    </row>
    <row r="23" spans="1:17" ht="14.25">
      <c r="A23" s="91" t="s">
        <v>74</v>
      </c>
      <c r="B23" s="89" t="s">
        <v>75</v>
      </c>
      <c r="C23" s="14">
        <f aca="true" t="shared" si="4" ref="C23:N24">$O23/12</f>
        <v>120633.33333333333</v>
      </c>
      <c r="D23" s="14">
        <f t="shared" si="4"/>
        <v>120633.33333333333</v>
      </c>
      <c r="E23" s="14">
        <f t="shared" si="4"/>
        <v>120633.33333333333</v>
      </c>
      <c r="F23" s="14">
        <f t="shared" si="4"/>
        <v>120633.33333333333</v>
      </c>
      <c r="G23" s="14">
        <f t="shared" si="4"/>
        <v>120633.33333333333</v>
      </c>
      <c r="H23" s="14">
        <f t="shared" si="4"/>
        <v>120633.33333333333</v>
      </c>
      <c r="I23" s="14">
        <f t="shared" si="4"/>
        <v>120633.33333333333</v>
      </c>
      <c r="J23" s="14">
        <f t="shared" si="4"/>
        <v>120633.33333333333</v>
      </c>
      <c r="K23" s="14">
        <f t="shared" si="4"/>
        <v>120633.33333333333</v>
      </c>
      <c r="L23" s="14">
        <f t="shared" si="4"/>
        <v>120633.33333333333</v>
      </c>
      <c r="M23" s="14">
        <f t="shared" si="4"/>
        <v>120633.33333333333</v>
      </c>
      <c r="N23" s="14">
        <v>120637</v>
      </c>
      <c r="O23" s="14">
        <f>'1.a melléklet'!F23</f>
        <v>1447600</v>
      </c>
      <c r="P23" s="124"/>
      <c r="Q23" s="84"/>
    </row>
    <row r="24" spans="1:17" ht="14.25">
      <c r="A24" s="94" t="s">
        <v>76</v>
      </c>
      <c r="B24" s="89" t="s">
        <v>77</v>
      </c>
      <c r="C24" s="14">
        <f t="shared" si="4"/>
        <v>0</v>
      </c>
      <c r="D24" s="14">
        <f t="shared" si="4"/>
        <v>0</v>
      </c>
      <c r="E24" s="14">
        <f t="shared" si="4"/>
        <v>0</v>
      </c>
      <c r="F24" s="14">
        <f t="shared" si="4"/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f t="shared" si="4"/>
        <v>0</v>
      </c>
      <c r="M24" s="14">
        <f t="shared" si="4"/>
        <v>0</v>
      </c>
      <c r="N24" s="14">
        <f t="shared" si="4"/>
        <v>0</v>
      </c>
      <c r="O24" s="14">
        <f>'1.a melléklet'!F24</f>
        <v>0</v>
      </c>
      <c r="P24" s="124"/>
      <c r="Q24" s="84"/>
    </row>
    <row r="25" spans="1:17" ht="14.25">
      <c r="A25" s="95" t="s">
        <v>332</v>
      </c>
      <c r="B25" s="93" t="s">
        <v>78</v>
      </c>
      <c r="C25" s="14">
        <f>SUM(C22:C24)</f>
        <v>710788.3333333334</v>
      </c>
      <c r="D25" s="14">
        <f aca="true" t="shared" si="5" ref="D25:N25">SUM(D22:D24)</f>
        <v>710788.3333333334</v>
      </c>
      <c r="E25" s="14">
        <f t="shared" si="5"/>
        <v>710788.3333333334</v>
      </c>
      <c r="F25" s="14">
        <f t="shared" si="5"/>
        <v>710788.3333333334</v>
      </c>
      <c r="G25" s="14">
        <f t="shared" si="5"/>
        <v>710788.3333333334</v>
      </c>
      <c r="H25" s="14">
        <f t="shared" si="5"/>
        <v>710788.3333333334</v>
      </c>
      <c r="I25" s="14">
        <f t="shared" si="5"/>
        <v>710788.3333333334</v>
      </c>
      <c r="J25" s="14">
        <f t="shared" si="5"/>
        <v>710788.3333333334</v>
      </c>
      <c r="K25" s="14">
        <f t="shared" si="5"/>
        <v>710788.3333333334</v>
      </c>
      <c r="L25" s="14">
        <f t="shared" si="5"/>
        <v>710788.3333333334</v>
      </c>
      <c r="M25" s="14">
        <f t="shared" si="5"/>
        <v>710788.3333333334</v>
      </c>
      <c r="N25" s="14">
        <f t="shared" si="5"/>
        <v>710792</v>
      </c>
      <c r="O25" s="14">
        <f>SUM(O22:O24)</f>
        <v>8529460</v>
      </c>
      <c r="P25" s="124"/>
      <c r="Q25" s="84"/>
    </row>
    <row r="26" spans="1:17" s="128" customFormat="1" ht="14.25">
      <c r="A26" s="96" t="s">
        <v>382</v>
      </c>
      <c r="B26" s="97" t="s">
        <v>79</v>
      </c>
      <c r="C26" s="16">
        <f aca="true" t="shared" si="6" ref="C26:N26">SUM(C21+C25)</f>
        <v>2629182.8333333335</v>
      </c>
      <c r="D26" s="16">
        <f t="shared" si="6"/>
        <v>2629182.8333333335</v>
      </c>
      <c r="E26" s="16">
        <f t="shared" si="6"/>
        <v>2629182.8333333335</v>
      </c>
      <c r="F26" s="16">
        <f t="shared" si="6"/>
        <v>2629182.8333333335</v>
      </c>
      <c r="G26" s="16">
        <f t="shared" si="6"/>
        <v>2629182.8333333335</v>
      </c>
      <c r="H26" s="16">
        <f t="shared" si="6"/>
        <v>2629182.8333333335</v>
      </c>
      <c r="I26" s="16">
        <f t="shared" si="6"/>
        <v>2629182.8333333335</v>
      </c>
      <c r="J26" s="16">
        <f t="shared" si="6"/>
        <v>2629182.8333333335</v>
      </c>
      <c r="K26" s="16">
        <f t="shared" si="6"/>
        <v>2629182.8333333335</v>
      </c>
      <c r="L26" s="16">
        <f t="shared" si="6"/>
        <v>2629182.8333333335</v>
      </c>
      <c r="M26" s="16">
        <f t="shared" si="6"/>
        <v>2629182.8333333335</v>
      </c>
      <c r="N26" s="16">
        <f t="shared" si="6"/>
        <v>2629184.666666667</v>
      </c>
      <c r="O26" s="16">
        <f>O21+O25</f>
        <v>31550194</v>
      </c>
      <c r="P26" s="126"/>
      <c r="Q26" s="127"/>
    </row>
    <row r="27" spans="1:17" s="128" customFormat="1" ht="14.25">
      <c r="A27" s="98" t="s">
        <v>353</v>
      </c>
      <c r="B27" s="97" t="s">
        <v>80</v>
      </c>
      <c r="C27" s="16">
        <f>$O27/12</f>
        <v>512979.4166666667</v>
      </c>
      <c r="D27" s="16">
        <f>$O27/12</f>
        <v>512979.4166666667</v>
      </c>
      <c r="E27" s="16">
        <f aca="true" t="shared" si="7" ref="E27:M27">$O27/12</f>
        <v>512979.4166666667</v>
      </c>
      <c r="F27" s="16">
        <f t="shared" si="7"/>
        <v>512979.4166666667</v>
      </c>
      <c r="G27" s="16">
        <f t="shared" si="7"/>
        <v>512979.4166666667</v>
      </c>
      <c r="H27" s="16">
        <f t="shared" si="7"/>
        <v>512979.4166666667</v>
      </c>
      <c r="I27" s="16">
        <f t="shared" si="7"/>
        <v>512979.4166666667</v>
      </c>
      <c r="J27" s="16">
        <f t="shared" si="7"/>
        <v>512979.4166666667</v>
      </c>
      <c r="K27" s="16">
        <f t="shared" si="7"/>
        <v>512979.4166666667</v>
      </c>
      <c r="L27" s="16">
        <f t="shared" si="7"/>
        <v>512979.4166666667</v>
      </c>
      <c r="M27" s="16">
        <f t="shared" si="7"/>
        <v>512979.4166666667</v>
      </c>
      <c r="N27" s="16">
        <v>512974</v>
      </c>
      <c r="O27" s="16">
        <f>'1.a melléklet'!F27</f>
        <v>6155753</v>
      </c>
      <c r="P27" s="126"/>
      <c r="Q27" s="127"/>
    </row>
    <row r="28" spans="1:17" ht="14.25">
      <c r="A28" s="91" t="s">
        <v>81</v>
      </c>
      <c r="B28" s="89" t="s">
        <v>82</v>
      </c>
      <c r="C28" s="14">
        <f aca="true" t="shared" si="8" ref="C28:N30">$O28/12</f>
        <v>73916.66666666667</v>
      </c>
      <c r="D28" s="14">
        <f t="shared" si="8"/>
        <v>73916.66666666667</v>
      </c>
      <c r="E28" s="14">
        <f t="shared" si="8"/>
        <v>73916.66666666667</v>
      </c>
      <c r="F28" s="14">
        <f t="shared" si="8"/>
        <v>73916.66666666667</v>
      </c>
      <c r="G28" s="14">
        <f t="shared" si="8"/>
        <v>73916.66666666667</v>
      </c>
      <c r="H28" s="14">
        <f t="shared" si="8"/>
        <v>73916.66666666667</v>
      </c>
      <c r="I28" s="14">
        <f t="shared" si="8"/>
        <v>73916.66666666667</v>
      </c>
      <c r="J28" s="14">
        <f t="shared" si="8"/>
        <v>73916.66666666667</v>
      </c>
      <c r="K28" s="14">
        <f t="shared" si="8"/>
        <v>73916.66666666667</v>
      </c>
      <c r="L28" s="14">
        <f t="shared" si="8"/>
        <v>73916.66666666667</v>
      </c>
      <c r="M28" s="14">
        <f t="shared" si="8"/>
        <v>73916.66666666667</v>
      </c>
      <c r="N28" s="14">
        <f>$O28/12-4</f>
        <v>73912.66666666667</v>
      </c>
      <c r="O28" s="14">
        <f>'1.a melléklet'!F28</f>
        <v>887000</v>
      </c>
      <c r="P28" s="124"/>
      <c r="Q28" s="84"/>
    </row>
    <row r="29" spans="1:17" ht="14.25">
      <c r="A29" s="91" t="s">
        <v>83</v>
      </c>
      <c r="B29" s="89" t="s">
        <v>84</v>
      </c>
      <c r="C29" s="14">
        <f t="shared" si="8"/>
        <v>516666.6666666667</v>
      </c>
      <c r="D29" s="14">
        <f t="shared" si="8"/>
        <v>516666.6666666667</v>
      </c>
      <c r="E29" s="14">
        <f t="shared" si="8"/>
        <v>516666.6666666667</v>
      </c>
      <c r="F29" s="14">
        <f t="shared" si="8"/>
        <v>516666.6666666667</v>
      </c>
      <c r="G29" s="14">
        <f t="shared" si="8"/>
        <v>516666.6666666667</v>
      </c>
      <c r="H29" s="14">
        <f t="shared" si="8"/>
        <v>516666.6666666667</v>
      </c>
      <c r="I29" s="14">
        <f t="shared" si="8"/>
        <v>516666.6666666667</v>
      </c>
      <c r="J29" s="14">
        <f t="shared" si="8"/>
        <v>516666.6666666667</v>
      </c>
      <c r="K29" s="14">
        <f t="shared" si="8"/>
        <v>516666.6666666667</v>
      </c>
      <c r="L29" s="14">
        <f t="shared" si="8"/>
        <v>516666.6666666667</v>
      </c>
      <c r="M29" s="14">
        <f t="shared" si="8"/>
        <v>516666.6666666667</v>
      </c>
      <c r="N29" s="14">
        <f>$O29/12-4</f>
        <v>516662.6666666667</v>
      </c>
      <c r="O29" s="14">
        <f>'1.a melléklet'!F29</f>
        <v>6200000</v>
      </c>
      <c r="P29" s="124"/>
      <c r="Q29" s="84"/>
    </row>
    <row r="30" spans="1:17" ht="14.25">
      <c r="A30" s="91" t="s">
        <v>85</v>
      </c>
      <c r="B30" s="89" t="s">
        <v>86</v>
      </c>
      <c r="C30" s="14">
        <f t="shared" si="8"/>
        <v>0</v>
      </c>
      <c r="D30" s="14">
        <f t="shared" si="8"/>
        <v>0</v>
      </c>
      <c r="E30" s="14">
        <f t="shared" si="8"/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>'1.a melléklet'!F30</f>
        <v>0</v>
      </c>
      <c r="P30" s="124"/>
      <c r="Q30" s="84"/>
    </row>
    <row r="31" spans="1:17" ht="14.25">
      <c r="A31" s="95" t="s">
        <v>333</v>
      </c>
      <c r="B31" s="93" t="s">
        <v>87</v>
      </c>
      <c r="C31" s="14">
        <f>73917+516667</f>
        <v>590584</v>
      </c>
      <c r="D31" s="14">
        <f>73917+516667</f>
        <v>590584</v>
      </c>
      <c r="E31" s="14">
        <f aca="true" t="shared" si="9" ref="E31:M31">73917+516667</f>
        <v>590584</v>
      </c>
      <c r="F31" s="14">
        <f t="shared" si="9"/>
        <v>590584</v>
      </c>
      <c r="G31" s="14">
        <f t="shared" si="9"/>
        <v>590584</v>
      </c>
      <c r="H31" s="14">
        <f t="shared" si="9"/>
        <v>590584</v>
      </c>
      <c r="I31" s="14">
        <f t="shared" si="9"/>
        <v>590584</v>
      </c>
      <c r="J31" s="14">
        <f t="shared" si="9"/>
        <v>590584</v>
      </c>
      <c r="K31" s="14">
        <f t="shared" si="9"/>
        <v>590584</v>
      </c>
      <c r="L31" s="14">
        <f t="shared" si="9"/>
        <v>590584</v>
      </c>
      <c r="M31" s="14">
        <f t="shared" si="9"/>
        <v>590584</v>
      </c>
      <c r="N31" s="14">
        <f>73913+516663</f>
        <v>590576</v>
      </c>
      <c r="O31" s="129">
        <f>O28+O29+O30</f>
        <v>7087000</v>
      </c>
      <c r="P31" s="124"/>
      <c r="Q31" s="84"/>
    </row>
    <row r="32" spans="1:17" ht="14.25">
      <c r="A32" s="91" t="s">
        <v>88</v>
      </c>
      <c r="B32" s="89" t="s">
        <v>89</v>
      </c>
      <c r="C32" s="14">
        <f>$O32/12</f>
        <v>120250</v>
      </c>
      <c r="D32" s="14">
        <f aca="true" t="shared" si="10" ref="D32:N32">$O32/12</f>
        <v>120250</v>
      </c>
      <c r="E32" s="14">
        <f t="shared" si="10"/>
        <v>120250</v>
      </c>
      <c r="F32" s="14">
        <f t="shared" si="10"/>
        <v>120250</v>
      </c>
      <c r="G32" s="14">
        <f t="shared" si="10"/>
        <v>120250</v>
      </c>
      <c r="H32" s="14">
        <f t="shared" si="10"/>
        <v>120250</v>
      </c>
      <c r="I32" s="14">
        <f t="shared" si="10"/>
        <v>120250</v>
      </c>
      <c r="J32" s="14">
        <f t="shared" si="10"/>
        <v>120250</v>
      </c>
      <c r="K32" s="14">
        <f t="shared" si="10"/>
        <v>120250</v>
      </c>
      <c r="L32" s="14">
        <f t="shared" si="10"/>
        <v>120250</v>
      </c>
      <c r="M32" s="14">
        <f t="shared" si="10"/>
        <v>120250</v>
      </c>
      <c r="N32" s="14">
        <f t="shared" si="10"/>
        <v>120250</v>
      </c>
      <c r="O32" s="14">
        <f>'1.a melléklet'!F32</f>
        <v>1443000</v>
      </c>
      <c r="P32" s="124"/>
      <c r="Q32" s="84"/>
    </row>
    <row r="33" spans="1:17" ht="14.25">
      <c r="A33" s="91" t="s">
        <v>90</v>
      </c>
      <c r="B33" s="89" t="s">
        <v>91</v>
      </c>
      <c r="C33" s="14">
        <f>$O33/12</f>
        <v>56666.666666666664</v>
      </c>
      <c r="D33" s="14">
        <f aca="true" t="shared" si="11" ref="D33:M33">$O33/12</f>
        <v>56666.666666666664</v>
      </c>
      <c r="E33" s="14">
        <f t="shared" si="11"/>
        <v>56666.666666666664</v>
      </c>
      <c r="F33" s="14">
        <f t="shared" si="11"/>
        <v>56666.666666666664</v>
      </c>
      <c r="G33" s="14">
        <f t="shared" si="11"/>
        <v>56666.666666666664</v>
      </c>
      <c r="H33" s="14">
        <f t="shared" si="11"/>
        <v>56666.666666666664</v>
      </c>
      <c r="I33" s="14">
        <f t="shared" si="11"/>
        <v>56666.666666666664</v>
      </c>
      <c r="J33" s="14">
        <f t="shared" si="11"/>
        <v>56666.666666666664</v>
      </c>
      <c r="K33" s="14">
        <f t="shared" si="11"/>
        <v>56666.666666666664</v>
      </c>
      <c r="L33" s="14">
        <f t="shared" si="11"/>
        <v>56666.666666666664</v>
      </c>
      <c r="M33" s="14">
        <f t="shared" si="11"/>
        <v>56666.666666666664</v>
      </c>
      <c r="N33" s="14">
        <f>$O33/12-4</f>
        <v>56662.666666666664</v>
      </c>
      <c r="O33" s="14">
        <f>'1.a melléklet'!F33</f>
        <v>680000</v>
      </c>
      <c r="P33" s="124"/>
      <c r="Q33" s="84"/>
    </row>
    <row r="34" spans="1:17" ht="14.25">
      <c r="A34" s="95" t="s">
        <v>383</v>
      </c>
      <c r="B34" s="93" t="s">
        <v>92</v>
      </c>
      <c r="C34" s="14">
        <f aca="true" t="shared" si="12" ref="C34:O34">SUM(C32:C33)</f>
        <v>176916.66666666666</v>
      </c>
      <c r="D34" s="14">
        <f t="shared" si="12"/>
        <v>176916.66666666666</v>
      </c>
      <c r="E34" s="14">
        <f t="shared" si="12"/>
        <v>176916.66666666666</v>
      </c>
      <c r="F34" s="14">
        <f t="shared" si="12"/>
        <v>176916.66666666666</v>
      </c>
      <c r="G34" s="14">
        <f t="shared" si="12"/>
        <v>176916.66666666666</v>
      </c>
      <c r="H34" s="14">
        <f t="shared" si="12"/>
        <v>176916.66666666666</v>
      </c>
      <c r="I34" s="14">
        <f t="shared" si="12"/>
        <v>176916.66666666666</v>
      </c>
      <c r="J34" s="14">
        <f t="shared" si="12"/>
        <v>176916.66666666666</v>
      </c>
      <c r="K34" s="14">
        <f t="shared" si="12"/>
        <v>176916.66666666666</v>
      </c>
      <c r="L34" s="14">
        <f t="shared" si="12"/>
        <v>176916.66666666666</v>
      </c>
      <c r="M34" s="14">
        <f t="shared" si="12"/>
        <v>176916.66666666666</v>
      </c>
      <c r="N34" s="14">
        <f t="shared" si="12"/>
        <v>176912.66666666666</v>
      </c>
      <c r="O34" s="129">
        <f t="shared" si="12"/>
        <v>2123000</v>
      </c>
      <c r="P34" s="124"/>
      <c r="Q34" s="84"/>
    </row>
    <row r="35" spans="1:17" ht="14.25">
      <c r="A35" s="91" t="s">
        <v>93</v>
      </c>
      <c r="B35" s="89" t="s">
        <v>94</v>
      </c>
      <c r="C35" s="14">
        <f aca="true" t="shared" si="13" ref="C35:N41">$O35/12</f>
        <v>450416.6666666667</v>
      </c>
      <c r="D35" s="14">
        <f t="shared" si="13"/>
        <v>450416.6666666667</v>
      </c>
      <c r="E35" s="14">
        <f t="shared" si="13"/>
        <v>450416.6666666667</v>
      </c>
      <c r="F35" s="14">
        <f t="shared" si="13"/>
        <v>450416.6666666667</v>
      </c>
      <c r="G35" s="14">
        <f t="shared" si="13"/>
        <v>450416.6666666667</v>
      </c>
      <c r="H35" s="14">
        <f t="shared" si="13"/>
        <v>450416.6666666667</v>
      </c>
      <c r="I35" s="14">
        <f t="shared" si="13"/>
        <v>450416.6666666667</v>
      </c>
      <c r="J35" s="14">
        <f t="shared" si="13"/>
        <v>450416.6666666667</v>
      </c>
      <c r="K35" s="14">
        <f t="shared" si="13"/>
        <v>450416.6666666667</v>
      </c>
      <c r="L35" s="14">
        <f t="shared" si="13"/>
        <v>450416.6666666667</v>
      </c>
      <c r="M35" s="14">
        <f t="shared" si="13"/>
        <v>450416.6666666667</v>
      </c>
      <c r="N35" s="14">
        <f>$O35/12-4</f>
        <v>450412.6666666667</v>
      </c>
      <c r="O35" s="14">
        <f>'1.a melléklet'!F35</f>
        <v>5405000</v>
      </c>
      <c r="P35" s="124"/>
      <c r="Q35" s="84"/>
    </row>
    <row r="36" spans="1:17" ht="14.25">
      <c r="A36" s="91" t="s">
        <v>95</v>
      </c>
      <c r="B36" s="89" t="s">
        <v>96</v>
      </c>
      <c r="C36" s="14">
        <f t="shared" si="13"/>
        <v>118416.66666666667</v>
      </c>
      <c r="D36" s="14">
        <f t="shared" si="13"/>
        <v>118416.66666666667</v>
      </c>
      <c r="E36" s="14">
        <f t="shared" si="13"/>
        <v>118416.66666666667</v>
      </c>
      <c r="F36" s="14">
        <f t="shared" si="13"/>
        <v>118416.66666666667</v>
      </c>
      <c r="G36" s="14">
        <f t="shared" si="13"/>
        <v>118416.66666666667</v>
      </c>
      <c r="H36" s="14">
        <f t="shared" si="13"/>
        <v>118416.66666666667</v>
      </c>
      <c r="I36" s="14">
        <f t="shared" si="13"/>
        <v>118416.66666666667</v>
      </c>
      <c r="J36" s="14">
        <f t="shared" si="13"/>
        <v>118416.66666666667</v>
      </c>
      <c r="K36" s="14">
        <f t="shared" si="13"/>
        <v>118416.66666666667</v>
      </c>
      <c r="L36" s="14">
        <f t="shared" si="13"/>
        <v>118416.66666666667</v>
      </c>
      <c r="M36" s="14">
        <f t="shared" si="13"/>
        <v>118416.66666666667</v>
      </c>
      <c r="N36" s="14">
        <f>$O36/12-4</f>
        <v>118412.66666666667</v>
      </c>
      <c r="O36" s="14">
        <f>'1.a melléklet'!F36</f>
        <v>1421000</v>
      </c>
      <c r="P36" s="124"/>
      <c r="Q36" s="84"/>
    </row>
    <row r="37" spans="1:17" ht="14.25">
      <c r="A37" s="91" t="s">
        <v>354</v>
      </c>
      <c r="B37" s="89" t="s">
        <v>97</v>
      </c>
      <c r="C37" s="14">
        <f t="shared" si="13"/>
        <v>159166.66666666666</v>
      </c>
      <c r="D37" s="14">
        <f t="shared" si="13"/>
        <v>159166.66666666666</v>
      </c>
      <c r="E37" s="14">
        <f t="shared" si="13"/>
        <v>159166.66666666666</v>
      </c>
      <c r="F37" s="14">
        <f t="shared" si="13"/>
        <v>159166.66666666666</v>
      </c>
      <c r="G37" s="14">
        <f t="shared" si="13"/>
        <v>159166.66666666666</v>
      </c>
      <c r="H37" s="14">
        <f t="shared" si="13"/>
        <v>159166.66666666666</v>
      </c>
      <c r="I37" s="14">
        <f t="shared" si="13"/>
        <v>159166.66666666666</v>
      </c>
      <c r="J37" s="14">
        <f t="shared" si="13"/>
        <v>159166.66666666666</v>
      </c>
      <c r="K37" s="14">
        <f t="shared" si="13"/>
        <v>159166.66666666666</v>
      </c>
      <c r="L37" s="14">
        <f t="shared" si="13"/>
        <v>159166.66666666666</v>
      </c>
      <c r="M37" s="14">
        <f t="shared" si="13"/>
        <v>159166.66666666666</v>
      </c>
      <c r="N37" s="14">
        <f t="shared" si="13"/>
        <v>159166.66666666666</v>
      </c>
      <c r="O37" s="14">
        <f>'1.a melléklet'!F37</f>
        <v>1910000</v>
      </c>
      <c r="P37" s="124"/>
      <c r="Q37" s="84"/>
    </row>
    <row r="38" spans="1:17" ht="14.25">
      <c r="A38" s="91" t="s">
        <v>98</v>
      </c>
      <c r="B38" s="89" t="s">
        <v>99</v>
      </c>
      <c r="C38" s="14">
        <f t="shared" si="13"/>
        <v>2130311.4166666665</v>
      </c>
      <c r="D38" s="14">
        <f t="shared" si="13"/>
        <v>2130311.4166666665</v>
      </c>
      <c r="E38" s="14">
        <f t="shared" si="13"/>
        <v>2130311.4166666665</v>
      </c>
      <c r="F38" s="14">
        <f t="shared" si="13"/>
        <v>2130311.4166666665</v>
      </c>
      <c r="G38" s="14">
        <f t="shared" si="13"/>
        <v>2130311.4166666665</v>
      </c>
      <c r="H38" s="14">
        <f t="shared" si="13"/>
        <v>2130311.4166666665</v>
      </c>
      <c r="I38" s="14">
        <f t="shared" si="13"/>
        <v>2130311.4166666665</v>
      </c>
      <c r="J38" s="14">
        <f t="shared" si="13"/>
        <v>2130311.4166666665</v>
      </c>
      <c r="K38" s="14">
        <f t="shared" si="13"/>
        <v>2130311.4166666665</v>
      </c>
      <c r="L38" s="14">
        <f t="shared" si="13"/>
        <v>2130311.4166666665</v>
      </c>
      <c r="M38" s="14">
        <f t="shared" si="13"/>
        <v>2130311.4166666665</v>
      </c>
      <c r="N38" s="14">
        <f>$O38/12-6</f>
        <v>2130305.4166666665</v>
      </c>
      <c r="O38" s="14">
        <f>'1.a melléklet'!F38</f>
        <v>25563737</v>
      </c>
      <c r="P38" s="124"/>
      <c r="Q38" s="84"/>
    </row>
    <row r="39" spans="1:17" ht="14.25">
      <c r="A39" s="99" t="s">
        <v>355</v>
      </c>
      <c r="B39" s="89" t="s">
        <v>100</v>
      </c>
      <c r="C39" s="14">
        <f t="shared" si="13"/>
        <v>0</v>
      </c>
      <c r="D39" s="14">
        <f t="shared" si="13"/>
        <v>0</v>
      </c>
      <c r="E39" s="14">
        <f t="shared" si="13"/>
        <v>0</v>
      </c>
      <c r="F39" s="14">
        <f t="shared" si="13"/>
        <v>0</v>
      </c>
      <c r="G39" s="14">
        <f t="shared" si="13"/>
        <v>0</v>
      </c>
      <c r="H39" s="14">
        <f t="shared" si="13"/>
        <v>0</v>
      </c>
      <c r="I39" s="14">
        <f t="shared" si="13"/>
        <v>0</v>
      </c>
      <c r="J39" s="14">
        <f t="shared" si="13"/>
        <v>0</v>
      </c>
      <c r="K39" s="14">
        <f t="shared" si="13"/>
        <v>0</v>
      </c>
      <c r="L39" s="14">
        <f t="shared" si="13"/>
        <v>0</v>
      </c>
      <c r="M39" s="14">
        <f t="shared" si="13"/>
        <v>0</v>
      </c>
      <c r="N39" s="14">
        <f t="shared" si="13"/>
        <v>0</v>
      </c>
      <c r="O39" s="14">
        <f>'1.a melléklet'!F39</f>
        <v>0</v>
      </c>
      <c r="P39" s="124"/>
      <c r="Q39" s="84"/>
    </row>
    <row r="40" spans="1:17" ht="14.25">
      <c r="A40" s="94" t="s">
        <v>101</v>
      </c>
      <c r="B40" s="89" t="s">
        <v>102</v>
      </c>
      <c r="C40" s="14">
        <f t="shared" si="13"/>
        <v>150000</v>
      </c>
      <c r="D40" s="14">
        <f t="shared" si="13"/>
        <v>150000</v>
      </c>
      <c r="E40" s="14">
        <f t="shared" si="13"/>
        <v>150000</v>
      </c>
      <c r="F40" s="14">
        <f t="shared" si="13"/>
        <v>150000</v>
      </c>
      <c r="G40" s="14">
        <f t="shared" si="13"/>
        <v>150000</v>
      </c>
      <c r="H40" s="14">
        <f t="shared" si="13"/>
        <v>150000</v>
      </c>
      <c r="I40" s="14">
        <f t="shared" si="13"/>
        <v>150000</v>
      </c>
      <c r="J40" s="14">
        <f t="shared" si="13"/>
        <v>150000</v>
      </c>
      <c r="K40" s="14">
        <f t="shared" si="13"/>
        <v>150000</v>
      </c>
      <c r="L40" s="14">
        <f t="shared" si="13"/>
        <v>150000</v>
      </c>
      <c r="M40" s="14">
        <f t="shared" si="13"/>
        <v>150000</v>
      </c>
      <c r="N40" s="14">
        <f t="shared" si="13"/>
        <v>150000</v>
      </c>
      <c r="O40" s="14">
        <f>'1.a melléklet'!F40</f>
        <v>1800000</v>
      </c>
      <c r="P40" s="124"/>
      <c r="Q40" s="84"/>
    </row>
    <row r="41" spans="1:17" ht="14.25">
      <c r="A41" s="91" t="s">
        <v>356</v>
      </c>
      <c r="B41" s="89" t="s">
        <v>103</v>
      </c>
      <c r="C41" s="14">
        <f t="shared" si="13"/>
        <v>553166.6666666666</v>
      </c>
      <c r="D41" s="14">
        <f t="shared" si="13"/>
        <v>553166.6666666666</v>
      </c>
      <c r="E41" s="14">
        <f t="shared" si="13"/>
        <v>553166.6666666666</v>
      </c>
      <c r="F41" s="14">
        <f t="shared" si="13"/>
        <v>553166.6666666666</v>
      </c>
      <c r="G41" s="14">
        <f t="shared" si="13"/>
        <v>553166.6666666666</v>
      </c>
      <c r="H41" s="14">
        <f t="shared" si="13"/>
        <v>553166.6666666666</v>
      </c>
      <c r="I41" s="14">
        <f t="shared" si="13"/>
        <v>553166.6666666666</v>
      </c>
      <c r="J41" s="14">
        <f t="shared" si="13"/>
        <v>553166.6666666666</v>
      </c>
      <c r="K41" s="14">
        <f t="shared" si="13"/>
        <v>553166.6666666666</v>
      </c>
      <c r="L41" s="14">
        <f t="shared" si="13"/>
        <v>553166.6666666666</v>
      </c>
      <c r="M41" s="14">
        <f t="shared" si="13"/>
        <v>553166.6666666666</v>
      </c>
      <c r="N41" s="14">
        <f>$O41/12-4</f>
        <v>553162.6666666666</v>
      </c>
      <c r="O41" s="14">
        <f>'1.a melléklet'!F41</f>
        <v>6638000</v>
      </c>
      <c r="P41" s="124"/>
      <c r="Q41" s="84"/>
    </row>
    <row r="42" spans="1:17" ht="14.25">
      <c r="A42" s="95" t="s">
        <v>334</v>
      </c>
      <c r="B42" s="93" t="s">
        <v>104</v>
      </c>
      <c r="C42" s="14">
        <f aca="true" t="shared" si="14" ref="C42:N42">SUM(C35:C41)</f>
        <v>3561478.083333333</v>
      </c>
      <c r="D42" s="14">
        <f t="shared" si="14"/>
        <v>3561478.083333333</v>
      </c>
      <c r="E42" s="14">
        <f t="shared" si="14"/>
        <v>3561478.083333333</v>
      </c>
      <c r="F42" s="14">
        <f t="shared" si="14"/>
        <v>3561478.083333333</v>
      </c>
      <c r="G42" s="14">
        <f t="shared" si="14"/>
        <v>3561478.083333333</v>
      </c>
      <c r="H42" s="14">
        <f t="shared" si="14"/>
        <v>3561478.083333333</v>
      </c>
      <c r="I42" s="14">
        <f t="shared" si="14"/>
        <v>3561478.083333333</v>
      </c>
      <c r="J42" s="14">
        <f t="shared" si="14"/>
        <v>3561478.083333333</v>
      </c>
      <c r="K42" s="14">
        <f t="shared" si="14"/>
        <v>3561478.083333333</v>
      </c>
      <c r="L42" s="14">
        <f t="shared" si="14"/>
        <v>3561478.083333333</v>
      </c>
      <c r="M42" s="14">
        <f t="shared" si="14"/>
        <v>3561478.083333333</v>
      </c>
      <c r="N42" s="14">
        <f t="shared" si="14"/>
        <v>3561460.083333333</v>
      </c>
      <c r="O42" s="129">
        <f>O35+O36+O37+O38+O39+O40+O41</f>
        <v>42737737</v>
      </c>
      <c r="P42" s="124"/>
      <c r="Q42" s="84"/>
    </row>
    <row r="43" spans="1:17" ht="14.25">
      <c r="A43" s="91" t="s">
        <v>105</v>
      </c>
      <c r="B43" s="89" t="s">
        <v>106</v>
      </c>
      <c r="C43" s="14">
        <f aca="true" t="shared" si="15" ref="C43:N44">$O43/12</f>
        <v>48666.666666666664</v>
      </c>
      <c r="D43" s="14">
        <f t="shared" si="15"/>
        <v>48666.666666666664</v>
      </c>
      <c r="E43" s="14">
        <f t="shared" si="15"/>
        <v>48666.666666666664</v>
      </c>
      <c r="F43" s="14">
        <f t="shared" si="15"/>
        <v>48666.666666666664</v>
      </c>
      <c r="G43" s="14">
        <f t="shared" si="15"/>
        <v>48666.666666666664</v>
      </c>
      <c r="H43" s="14">
        <f t="shared" si="15"/>
        <v>48666.666666666664</v>
      </c>
      <c r="I43" s="14">
        <f t="shared" si="15"/>
        <v>48666.666666666664</v>
      </c>
      <c r="J43" s="14">
        <f t="shared" si="15"/>
        <v>48666.666666666664</v>
      </c>
      <c r="K43" s="14">
        <f t="shared" si="15"/>
        <v>48666.666666666664</v>
      </c>
      <c r="L43" s="14">
        <f t="shared" si="15"/>
        <v>48666.666666666664</v>
      </c>
      <c r="M43" s="14">
        <f t="shared" si="15"/>
        <v>48666.666666666664</v>
      </c>
      <c r="N43" s="14">
        <f t="shared" si="15"/>
        <v>48666.666666666664</v>
      </c>
      <c r="O43" s="14">
        <f>'1.a melléklet'!F43</f>
        <v>584000</v>
      </c>
      <c r="P43" s="124"/>
      <c r="Q43" s="84"/>
    </row>
    <row r="44" spans="1:17" ht="14.25">
      <c r="A44" s="91" t="s">
        <v>107</v>
      </c>
      <c r="B44" s="89" t="s">
        <v>108</v>
      </c>
      <c r="C44" s="14">
        <f t="shared" si="15"/>
        <v>41666.666666666664</v>
      </c>
      <c r="D44" s="14">
        <f t="shared" si="15"/>
        <v>41666.666666666664</v>
      </c>
      <c r="E44" s="14">
        <f t="shared" si="15"/>
        <v>41666.666666666664</v>
      </c>
      <c r="F44" s="14">
        <f t="shared" si="15"/>
        <v>41666.666666666664</v>
      </c>
      <c r="G44" s="14">
        <f t="shared" si="15"/>
        <v>41666.666666666664</v>
      </c>
      <c r="H44" s="14">
        <f t="shared" si="15"/>
        <v>41666.666666666664</v>
      </c>
      <c r="I44" s="14">
        <f t="shared" si="15"/>
        <v>41666.666666666664</v>
      </c>
      <c r="J44" s="14">
        <f t="shared" si="15"/>
        <v>41666.666666666664</v>
      </c>
      <c r="K44" s="14">
        <f t="shared" si="15"/>
        <v>41666.666666666664</v>
      </c>
      <c r="L44" s="14">
        <f t="shared" si="15"/>
        <v>41666.666666666664</v>
      </c>
      <c r="M44" s="14">
        <f t="shared" si="15"/>
        <v>41666.666666666664</v>
      </c>
      <c r="N44" s="14">
        <f t="shared" si="15"/>
        <v>41666.666666666664</v>
      </c>
      <c r="O44" s="14">
        <f>'1.a melléklet'!F44</f>
        <v>500000</v>
      </c>
      <c r="P44" s="124"/>
      <c r="Q44" s="84"/>
    </row>
    <row r="45" spans="1:17" ht="14.25">
      <c r="A45" s="95" t="s">
        <v>335</v>
      </c>
      <c r="B45" s="93" t="s">
        <v>109</v>
      </c>
      <c r="C45" s="14">
        <f aca="true" t="shared" si="16" ref="C45:N45">SUM(C43:C44)</f>
        <v>90333.33333333333</v>
      </c>
      <c r="D45" s="14">
        <f t="shared" si="16"/>
        <v>90333.33333333333</v>
      </c>
      <c r="E45" s="14">
        <f t="shared" si="16"/>
        <v>90333.33333333333</v>
      </c>
      <c r="F45" s="14">
        <f t="shared" si="16"/>
        <v>90333.33333333333</v>
      </c>
      <c r="G45" s="14">
        <f t="shared" si="16"/>
        <v>90333.33333333333</v>
      </c>
      <c r="H45" s="14">
        <f t="shared" si="16"/>
        <v>90333.33333333333</v>
      </c>
      <c r="I45" s="14">
        <f t="shared" si="16"/>
        <v>90333.33333333333</v>
      </c>
      <c r="J45" s="14">
        <f t="shared" si="16"/>
        <v>90333.33333333333</v>
      </c>
      <c r="K45" s="14">
        <f t="shared" si="16"/>
        <v>90333.33333333333</v>
      </c>
      <c r="L45" s="14">
        <f t="shared" si="16"/>
        <v>90333.33333333333</v>
      </c>
      <c r="M45" s="14">
        <f t="shared" si="16"/>
        <v>90333.33333333333</v>
      </c>
      <c r="N45" s="14">
        <f t="shared" si="16"/>
        <v>90333.33333333333</v>
      </c>
      <c r="O45" s="129">
        <f>O43+O44</f>
        <v>1084000</v>
      </c>
      <c r="P45" s="124"/>
      <c r="Q45" s="84"/>
    </row>
    <row r="46" spans="1:17" ht="14.25">
      <c r="A46" s="91" t="s">
        <v>110</v>
      </c>
      <c r="B46" s="89" t="s">
        <v>111</v>
      </c>
      <c r="C46" s="14">
        <f aca="true" t="shared" si="17" ref="C46:N50">$O46/12</f>
        <v>1061793.25</v>
      </c>
      <c r="D46" s="14">
        <f t="shared" si="17"/>
        <v>1061793.25</v>
      </c>
      <c r="E46" s="14">
        <f t="shared" si="17"/>
        <v>1061793.25</v>
      </c>
      <c r="F46" s="14">
        <f t="shared" si="17"/>
        <v>1061793.25</v>
      </c>
      <c r="G46" s="14">
        <f t="shared" si="17"/>
        <v>1061793.25</v>
      </c>
      <c r="H46" s="14">
        <f t="shared" si="17"/>
        <v>1061793.25</v>
      </c>
      <c r="I46" s="14">
        <f t="shared" si="17"/>
        <v>1061793.25</v>
      </c>
      <c r="J46" s="14">
        <f t="shared" si="17"/>
        <v>1061793.25</v>
      </c>
      <c r="K46" s="14">
        <f t="shared" si="17"/>
        <v>1061793.25</v>
      </c>
      <c r="L46" s="14">
        <f t="shared" si="17"/>
        <v>1061793.25</v>
      </c>
      <c r="M46" s="14">
        <f t="shared" si="17"/>
        <v>1061793.25</v>
      </c>
      <c r="N46" s="14">
        <f>$O46/12-3</f>
        <v>1061790.25</v>
      </c>
      <c r="O46" s="14">
        <f>'1.a melléklet'!F46</f>
        <v>12741519</v>
      </c>
      <c r="P46" s="124"/>
      <c r="Q46" s="84"/>
    </row>
    <row r="47" spans="1:17" ht="14.25">
      <c r="A47" s="91" t="s">
        <v>112</v>
      </c>
      <c r="B47" s="89" t="s">
        <v>113</v>
      </c>
      <c r="C47" s="14">
        <f t="shared" si="17"/>
        <v>2305750</v>
      </c>
      <c r="D47" s="14">
        <f t="shared" si="17"/>
        <v>2305750</v>
      </c>
      <c r="E47" s="14">
        <f t="shared" si="17"/>
        <v>2305750</v>
      </c>
      <c r="F47" s="14">
        <f t="shared" si="17"/>
        <v>2305750</v>
      </c>
      <c r="G47" s="14">
        <f t="shared" si="17"/>
        <v>2305750</v>
      </c>
      <c r="H47" s="14">
        <f t="shared" si="17"/>
        <v>2305750</v>
      </c>
      <c r="I47" s="14">
        <f t="shared" si="17"/>
        <v>2305750</v>
      </c>
      <c r="J47" s="14">
        <f t="shared" si="17"/>
        <v>2305750</v>
      </c>
      <c r="K47" s="14">
        <f t="shared" si="17"/>
        <v>2305750</v>
      </c>
      <c r="L47" s="14">
        <f t="shared" si="17"/>
        <v>2305750</v>
      </c>
      <c r="M47" s="14">
        <f t="shared" si="17"/>
        <v>2305750</v>
      </c>
      <c r="N47" s="14">
        <f>$O47/12+4</f>
        <v>2305754</v>
      </c>
      <c r="O47" s="14">
        <f>'1.a melléklet'!F47</f>
        <v>27669000</v>
      </c>
      <c r="P47" s="124"/>
      <c r="Q47" s="84"/>
    </row>
    <row r="48" spans="1:17" ht="14.25">
      <c r="A48" s="91" t="s">
        <v>357</v>
      </c>
      <c r="B48" s="89" t="s">
        <v>114</v>
      </c>
      <c r="C48" s="14">
        <f t="shared" si="17"/>
        <v>0</v>
      </c>
      <c r="D48" s="14">
        <f t="shared" si="17"/>
        <v>0</v>
      </c>
      <c r="E48" s="14">
        <f t="shared" si="17"/>
        <v>0</v>
      </c>
      <c r="F48" s="14">
        <f t="shared" si="17"/>
        <v>0</v>
      </c>
      <c r="G48" s="14">
        <f t="shared" si="17"/>
        <v>0</v>
      </c>
      <c r="H48" s="14">
        <f t="shared" si="17"/>
        <v>0</v>
      </c>
      <c r="I48" s="14">
        <f t="shared" si="17"/>
        <v>0</v>
      </c>
      <c r="J48" s="14">
        <f t="shared" si="17"/>
        <v>0</v>
      </c>
      <c r="K48" s="14">
        <f t="shared" si="17"/>
        <v>0</v>
      </c>
      <c r="L48" s="14">
        <f t="shared" si="17"/>
        <v>0</v>
      </c>
      <c r="M48" s="14">
        <f t="shared" si="17"/>
        <v>0</v>
      </c>
      <c r="N48" s="14">
        <f t="shared" si="17"/>
        <v>0</v>
      </c>
      <c r="O48" s="14">
        <f>'1.a melléklet'!F48</f>
        <v>0</v>
      </c>
      <c r="P48" s="124"/>
      <c r="Q48" s="84"/>
    </row>
    <row r="49" spans="1:17" ht="14.25">
      <c r="A49" s="91" t="s">
        <v>358</v>
      </c>
      <c r="B49" s="89" t="s">
        <v>115</v>
      </c>
      <c r="C49" s="14">
        <f t="shared" si="17"/>
        <v>0</v>
      </c>
      <c r="D49" s="14">
        <f t="shared" si="17"/>
        <v>0</v>
      </c>
      <c r="E49" s="14">
        <f t="shared" si="17"/>
        <v>0</v>
      </c>
      <c r="F49" s="14">
        <f t="shared" si="17"/>
        <v>0</v>
      </c>
      <c r="G49" s="14">
        <f t="shared" si="17"/>
        <v>0</v>
      </c>
      <c r="H49" s="14">
        <f t="shared" si="17"/>
        <v>0</v>
      </c>
      <c r="I49" s="14">
        <f t="shared" si="17"/>
        <v>0</v>
      </c>
      <c r="J49" s="14">
        <f t="shared" si="17"/>
        <v>0</v>
      </c>
      <c r="K49" s="14">
        <f t="shared" si="17"/>
        <v>0</v>
      </c>
      <c r="L49" s="14">
        <f t="shared" si="17"/>
        <v>0</v>
      </c>
      <c r="M49" s="14">
        <f t="shared" si="17"/>
        <v>0</v>
      </c>
      <c r="N49" s="14">
        <f t="shared" si="17"/>
        <v>0</v>
      </c>
      <c r="O49" s="14">
        <f>'1.a melléklet'!F49</f>
        <v>0</v>
      </c>
      <c r="P49" s="124"/>
      <c r="Q49" s="84"/>
    </row>
    <row r="50" spans="1:17" ht="14.25">
      <c r="A50" s="91" t="s">
        <v>116</v>
      </c>
      <c r="B50" s="89" t="s">
        <v>117</v>
      </c>
      <c r="C50" s="14">
        <f t="shared" si="17"/>
        <v>5000</v>
      </c>
      <c r="D50" s="14">
        <f t="shared" si="17"/>
        <v>5000</v>
      </c>
      <c r="E50" s="14">
        <f t="shared" si="17"/>
        <v>5000</v>
      </c>
      <c r="F50" s="14">
        <f t="shared" si="17"/>
        <v>5000</v>
      </c>
      <c r="G50" s="14">
        <f t="shared" si="17"/>
        <v>5000</v>
      </c>
      <c r="H50" s="14">
        <f t="shared" si="17"/>
        <v>5000</v>
      </c>
      <c r="I50" s="14">
        <f t="shared" si="17"/>
        <v>5000</v>
      </c>
      <c r="J50" s="14">
        <f t="shared" si="17"/>
        <v>5000</v>
      </c>
      <c r="K50" s="14">
        <f t="shared" si="17"/>
        <v>5000</v>
      </c>
      <c r="L50" s="14">
        <f t="shared" si="17"/>
        <v>5000</v>
      </c>
      <c r="M50" s="14">
        <f t="shared" si="17"/>
        <v>5000</v>
      </c>
      <c r="N50" s="14">
        <f t="shared" si="17"/>
        <v>5000</v>
      </c>
      <c r="O50" s="14">
        <f>'1.a melléklet'!F50</f>
        <v>60000</v>
      </c>
      <c r="P50" s="124"/>
      <c r="Q50" s="84"/>
    </row>
    <row r="51" spans="1:17" ht="14.25">
      <c r="A51" s="95" t="s">
        <v>336</v>
      </c>
      <c r="B51" s="93" t="s">
        <v>118</v>
      </c>
      <c r="C51" s="14">
        <f aca="true" t="shared" si="18" ref="C51:J51">SUM(C46:C50)</f>
        <v>3372543.25</v>
      </c>
      <c r="D51" s="14">
        <f t="shared" si="18"/>
        <v>3372543.25</v>
      </c>
      <c r="E51" s="14">
        <f t="shared" si="18"/>
        <v>3372543.25</v>
      </c>
      <c r="F51" s="14">
        <f t="shared" si="18"/>
        <v>3372543.25</v>
      </c>
      <c r="G51" s="14">
        <f t="shared" si="18"/>
        <v>3372543.25</v>
      </c>
      <c r="H51" s="14">
        <f t="shared" si="18"/>
        <v>3372543.25</v>
      </c>
      <c r="I51" s="14">
        <f t="shared" si="18"/>
        <v>3372543.25</v>
      </c>
      <c r="J51" s="14">
        <f t="shared" si="18"/>
        <v>3372543.25</v>
      </c>
      <c r="K51" s="14">
        <f>SUM(J46:J50)</f>
        <v>3372543.25</v>
      </c>
      <c r="L51" s="14">
        <f>SUM(L46:L50)</f>
        <v>3372543.25</v>
      </c>
      <c r="M51" s="14">
        <f>SUM(M46:M50)</f>
        <v>3372543.25</v>
      </c>
      <c r="N51" s="14">
        <f>SUM(N46:N50)+6+17</f>
        <v>3372567.25</v>
      </c>
      <c r="O51" s="129">
        <f>SUM(O46:O50)</f>
        <v>40470519</v>
      </c>
      <c r="P51" s="124"/>
      <c r="Q51" s="84"/>
    </row>
    <row r="52" spans="1:17" s="128" customFormat="1" ht="14.25">
      <c r="A52" s="98" t="s">
        <v>337</v>
      </c>
      <c r="B52" s="97" t="s">
        <v>119</v>
      </c>
      <c r="C52" s="16">
        <f>C51+C45+C42+C34+C31</f>
        <v>7791855.333333333</v>
      </c>
      <c r="D52" s="16">
        <f aca="true" t="shared" si="19" ref="D52:N52">SUM(D31+D34+D42+D45+D51)</f>
        <v>7791855.333333333</v>
      </c>
      <c r="E52" s="16">
        <f t="shared" si="19"/>
        <v>7791855.333333333</v>
      </c>
      <c r="F52" s="16">
        <f t="shared" si="19"/>
        <v>7791855.333333333</v>
      </c>
      <c r="G52" s="16">
        <f t="shared" si="19"/>
        <v>7791855.333333333</v>
      </c>
      <c r="H52" s="16">
        <f t="shared" si="19"/>
        <v>7791855.333333333</v>
      </c>
      <c r="I52" s="16">
        <f t="shared" si="19"/>
        <v>7791855.333333333</v>
      </c>
      <c r="J52" s="16">
        <f t="shared" si="19"/>
        <v>7791855.333333333</v>
      </c>
      <c r="K52" s="16">
        <f t="shared" si="19"/>
        <v>7791855.333333333</v>
      </c>
      <c r="L52" s="16">
        <f t="shared" si="19"/>
        <v>7791855.333333333</v>
      </c>
      <c r="M52" s="16">
        <f t="shared" si="19"/>
        <v>7791855.333333333</v>
      </c>
      <c r="N52" s="16">
        <f t="shared" si="19"/>
        <v>7791849.333333333</v>
      </c>
      <c r="O52" s="16">
        <f>O51+O42+O34+O31+O45</f>
        <v>93502256</v>
      </c>
      <c r="P52" s="126"/>
      <c r="Q52" s="127"/>
    </row>
    <row r="53" spans="1:17" ht="14.25">
      <c r="A53" s="15" t="s">
        <v>120</v>
      </c>
      <c r="B53" s="89" t="s">
        <v>121</v>
      </c>
      <c r="C53" s="14"/>
      <c r="D53" s="14">
        <f aca="true" t="shared" si="20" ref="D53:N59">$P53/12</f>
        <v>0</v>
      </c>
      <c r="E53" s="14">
        <f t="shared" si="20"/>
        <v>0</v>
      </c>
      <c r="F53" s="14">
        <f t="shared" si="20"/>
        <v>0</v>
      </c>
      <c r="G53" s="14">
        <f t="shared" si="20"/>
        <v>0</v>
      </c>
      <c r="H53" s="14">
        <f t="shared" si="20"/>
        <v>0</v>
      </c>
      <c r="I53" s="14">
        <f t="shared" si="20"/>
        <v>0</v>
      </c>
      <c r="J53" s="14">
        <f t="shared" si="20"/>
        <v>0</v>
      </c>
      <c r="K53" s="14">
        <f t="shared" si="20"/>
        <v>0</v>
      </c>
      <c r="L53" s="14">
        <f t="shared" si="20"/>
        <v>0</v>
      </c>
      <c r="M53" s="14">
        <f t="shared" si="20"/>
        <v>0</v>
      </c>
      <c r="N53" s="14">
        <f t="shared" si="20"/>
        <v>0</v>
      </c>
      <c r="O53" s="14">
        <f aca="true" t="shared" si="21" ref="O53:O72">SUM(C53:N53)</f>
        <v>0</v>
      </c>
      <c r="P53" s="124"/>
      <c r="Q53" s="84"/>
    </row>
    <row r="54" spans="1:17" ht="14.25">
      <c r="A54" s="15" t="s">
        <v>338</v>
      </c>
      <c r="B54" s="89" t="s">
        <v>122</v>
      </c>
      <c r="C54" s="14"/>
      <c r="D54" s="14">
        <f t="shared" si="20"/>
        <v>0</v>
      </c>
      <c r="E54" s="14">
        <f t="shared" si="20"/>
        <v>0</v>
      </c>
      <c r="F54" s="14">
        <f t="shared" si="20"/>
        <v>0</v>
      </c>
      <c r="G54" s="14">
        <f t="shared" si="20"/>
        <v>0</v>
      </c>
      <c r="H54" s="14">
        <f t="shared" si="20"/>
        <v>0</v>
      </c>
      <c r="I54" s="14">
        <f t="shared" si="20"/>
        <v>0</v>
      </c>
      <c r="J54" s="14">
        <f t="shared" si="20"/>
        <v>0</v>
      </c>
      <c r="K54" s="14">
        <f t="shared" si="20"/>
        <v>0</v>
      </c>
      <c r="L54" s="14">
        <f t="shared" si="20"/>
        <v>0</v>
      </c>
      <c r="M54" s="14">
        <f t="shared" si="20"/>
        <v>0</v>
      </c>
      <c r="N54" s="14">
        <f t="shared" si="20"/>
        <v>0</v>
      </c>
      <c r="O54" s="14">
        <f t="shared" si="21"/>
        <v>0</v>
      </c>
      <c r="P54" s="124"/>
      <c r="Q54" s="84"/>
    </row>
    <row r="55" spans="1:17" ht="14.25">
      <c r="A55" s="100" t="s">
        <v>359</v>
      </c>
      <c r="B55" s="89" t="s">
        <v>123</v>
      </c>
      <c r="C55" s="14"/>
      <c r="D55" s="14">
        <f t="shared" si="20"/>
        <v>0</v>
      </c>
      <c r="E55" s="14">
        <f t="shared" si="20"/>
        <v>0</v>
      </c>
      <c r="F55" s="14">
        <f t="shared" si="20"/>
        <v>0</v>
      </c>
      <c r="G55" s="14">
        <f t="shared" si="20"/>
        <v>0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0</v>
      </c>
      <c r="L55" s="14">
        <f t="shared" si="20"/>
        <v>0</v>
      </c>
      <c r="M55" s="14">
        <f t="shared" si="20"/>
        <v>0</v>
      </c>
      <c r="N55" s="14">
        <f t="shared" si="20"/>
        <v>0</v>
      </c>
      <c r="O55" s="14">
        <f t="shared" si="21"/>
        <v>0</v>
      </c>
      <c r="P55" s="124"/>
      <c r="Q55" s="84"/>
    </row>
    <row r="56" spans="1:17" ht="14.25">
      <c r="A56" s="100" t="s">
        <v>360</v>
      </c>
      <c r="B56" s="89" t="s">
        <v>124</v>
      </c>
      <c r="C56" s="14"/>
      <c r="D56" s="14">
        <f t="shared" si="20"/>
        <v>0</v>
      </c>
      <c r="E56" s="14">
        <f t="shared" si="20"/>
        <v>0</v>
      </c>
      <c r="F56" s="14">
        <f t="shared" si="20"/>
        <v>0</v>
      </c>
      <c r="G56" s="14">
        <f t="shared" si="20"/>
        <v>0</v>
      </c>
      <c r="H56" s="14">
        <f t="shared" si="20"/>
        <v>0</v>
      </c>
      <c r="I56" s="14">
        <f t="shared" si="20"/>
        <v>0</v>
      </c>
      <c r="J56" s="14">
        <f t="shared" si="20"/>
        <v>0</v>
      </c>
      <c r="K56" s="14">
        <f t="shared" si="20"/>
        <v>0</v>
      </c>
      <c r="L56" s="14">
        <f t="shared" si="20"/>
        <v>0</v>
      </c>
      <c r="M56" s="14">
        <f t="shared" si="20"/>
        <v>0</v>
      </c>
      <c r="N56" s="14">
        <f t="shared" si="20"/>
        <v>0</v>
      </c>
      <c r="O56" s="14">
        <f t="shared" si="21"/>
        <v>0</v>
      </c>
      <c r="P56" s="124"/>
      <c r="Q56" s="84"/>
    </row>
    <row r="57" spans="1:17" ht="14.25">
      <c r="A57" s="100" t="s">
        <v>361</v>
      </c>
      <c r="B57" s="89" t="s">
        <v>125</v>
      </c>
      <c r="C57" s="14"/>
      <c r="D57" s="14">
        <f t="shared" si="20"/>
        <v>0</v>
      </c>
      <c r="E57" s="14">
        <f t="shared" si="20"/>
        <v>0</v>
      </c>
      <c r="F57" s="14">
        <f t="shared" si="20"/>
        <v>0</v>
      </c>
      <c r="G57" s="14">
        <f t="shared" si="20"/>
        <v>0</v>
      </c>
      <c r="H57" s="14">
        <f t="shared" si="20"/>
        <v>0</v>
      </c>
      <c r="I57" s="14">
        <f t="shared" si="20"/>
        <v>0</v>
      </c>
      <c r="J57" s="14">
        <f t="shared" si="20"/>
        <v>0</v>
      </c>
      <c r="K57" s="14">
        <f t="shared" si="20"/>
        <v>0</v>
      </c>
      <c r="L57" s="14">
        <f t="shared" si="20"/>
        <v>0</v>
      </c>
      <c r="M57" s="14">
        <f t="shared" si="20"/>
        <v>0</v>
      </c>
      <c r="N57" s="14">
        <f t="shared" si="20"/>
        <v>0</v>
      </c>
      <c r="O57" s="14">
        <f t="shared" si="21"/>
        <v>0</v>
      </c>
      <c r="P57" s="124"/>
      <c r="Q57" s="84"/>
    </row>
    <row r="58" spans="1:17" ht="14.25">
      <c r="A58" s="15" t="s">
        <v>362</v>
      </c>
      <c r="B58" s="89" t="s">
        <v>126</v>
      </c>
      <c r="C58" s="14"/>
      <c r="D58" s="14">
        <f t="shared" si="20"/>
        <v>0</v>
      </c>
      <c r="E58" s="14">
        <f t="shared" si="20"/>
        <v>0</v>
      </c>
      <c r="F58" s="14">
        <f t="shared" si="20"/>
        <v>0</v>
      </c>
      <c r="G58" s="14">
        <f t="shared" si="20"/>
        <v>0</v>
      </c>
      <c r="H58" s="14">
        <f t="shared" si="20"/>
        <v>0</v>
      </c>
      <c r="I58" s="14">
        <f t="shared" si="20"/>
        <v>0</v>
      </c>
      <c r="J58" s="14">
        <f t="shared" si="20"/>
        <v>0</v>
      </c>
      <c r="K58" s="14">
        <f t="shared" si="20"/>
        <v>0</v>
      </c>
      <c r="L58" s="14">
        <f t="shared" si="20"/>
        <v>0</v>
      </c>
      <c r="M58" s="14">
        <f t="shared" si="20"/>
        <v>0</v>
      </c>
      <c r="N58" s="14">
        <f t="shared" si="20"/>
        <v>0</v>
      </c>
      <c r="O58" s="14">
        <f t="shared" si="21"/>
        <v>0</v>
      </c>
      <c r="P58" s="124"/>
      <c r="Q58" s="84"/>
    </row>
    <row r="59" spans="1:17" ht="14.25">
      <c r="A59" s="15" t="s">
        <v>363</v>
      </c>
      <c r="B59" s="89" t="s">
        <v>127</v>
      </c>
      <c r="C59" s="14"/>
      <c r="D59" s="14">
        <f t="shared" si="20"/>
        <v>0</v>
      </c>
      <c r="E59" s="14">
        <f t="shared" si="20"/>
        <v>0</v>
      </c>
      <c r="F59" s="14">
        <f t="shared" si="20"/>
        <v>0</v>
      </c>
      <c r="G59" s="14">
        <f t="shared" si="20"/>
        <v>0</v>
      </c>
      <c r="H59" s="14">
        <f t="shared" si="20"/>
        <v>0</v>
      </c>
      <c r="I59" s="14">
        <f t="shared" si="20"/>
        <v>0</v>
      </c>
      <c r="J59" s="14">
        <f t="shared" si="20"/>
        <v>0</v>
      </c>
      <c r="K59" s="14">
        <f t="shared" si="20"/>
        <v>0</v>
      </c>
      <c r="L59" s="14">
        <f t="shared" si="20"/>
        <v>0</v>
      </c>
      <c r="M59" s="14">
        <f t="shared" si="20"/>
        <v>0</v>
      </c>
      <c r="N59" s="14">
        <f t="shared" si="20"/>
        <v>0</v>
      </c>
      <c r="O59" s="14">
        <f t="shared" si="21"/>
        <v>0</v>
      </c>
      <c r="P59" s="124"/>
      <c r="Q59" s="84"/>
    </row>
    <row r="60" spans="1:17" ht="14.25">
      <c r="A60" s="15" t="s">
        <v>364</v>
      </c>
      <c r="B60" s="89" t="s">
        <v>128</v>
      </c>
      <c r="C60" s="14">
        <f aca="true" t="shared" si="22" ref="C60:M60">$O60/12</f>
        <v>599113.3333333334</v>
      </c>
      <c r="D60" s="14">
        <f t="shared" si="22"/>
        <v>599113.3333333334</v>
      </c>
      <c r="E60" s="14">
        <f t="shared" si="22"/>
        <v>599113.3333333334</v>
      </c>
      <c r="F60" s="14">
        <f t="shared" si="22"/>
        <v>599113.3333333334</v>
      </c>
      <c r="G60" s="14">
        <f t="shared" si="22"/>
        <v>599113.3333333334</v>
      </c>
      <c r="H60" s="14">
        <f t="shared" si="22"/>
        <v>599113.3333333334</v>
      </c>
      <c r="I60" s="14">
        <f t="shared" si="22"/>
        <v>599113.3333333334</v>
      </c>
      <c r="J60" s="14">
        <f t="shared" si="22"/>
        <v>599113.3333333334</v>
      </c>
      <c r="K60" s="14">
        <f t="shared" si="22"/>
        <v>599113.3333333334</v>
      </c>
      <c r="L60" s="14">
        <f t="shared" si="22"/>
        <v>599113.3333333334</v>
      </c>
      <c r="M60" s="14">
        <f t="shared" si="22"/>
        <v>599113.3333333334</v>
      </c>
      <c r="N60" s="14">
        <f>$O60/12+4</f>
        <v>599117.3333333334</v>
      </c>
      <c r="O60" s="14">
        <f>'1.a melléklet'!F60</f>
        <v>7189360</v>
      </c>
      <c r="P60" s="124"/>
      <c r="Q60" s="84"/>
    </row>
    <row r="61" spans="1:17" s="128" customFormat="1" ht="14.25">
      <c r="A61" s="101" t="s">
        <v>339</v>
      </c>
      <c r="B61" s="97" t="s">
        <v>129</v>
      </c>
      <c r="C61" s="16">
        <f aca="true" t="shared" si="23" ref="C61:N61">SUM(C53:C60)</f>
        <v>599113.3333333334</v>
      </c>
      <c r="D61" s="16">
        <f t="shared" si="23"/>
        <v>599113.3333333334</v>
      </c>
      <c r="E61" s="16">
        <f t="shared" si="23"/>
        <v>599113.3333333334</v>
      </c>
      <c r="F61" s="16">
        <f t="shared" si="23"/>
        <v>599113.3333333334</v>
      </c>
      <c r="G61" s="16">
        <f t="shared" si="23"/>
        <v>599113.3333333334</v>
      </c>
      <c r="H61" s="16">
        <f t="shared" si="23"/>
        <v>599113.3333333334</v>
      </c>
      <c r="I61" s="16">
        <f t="shared" si="23"/>
        <v>599113.3333333334</v>
      </c>
      <c r="J61" s="16">
        <f t="shared" si="23"/>
        <v>599113.3333333334</v>
      </c>
      <c r="K61" s="16">
        <f t="shared" si="23"/>
        <v>599113.3333333334</v>
      </c>
      <c r="L61" s="16">
        <f t="shared" si="23"/>
        <v>599113.3333333334</v>
      </c>
      <c r="M61" s="16">
        <f t="shared" si="23"/>
        <v>599113.3333333334</v>
      </c>
      <c r="N61" s="16">
        <f t="shared" si="23"/>
        <v>599117.3333333334</v>
      </c>
      <c r="O61" s="16">
        <f>O60</f>
        <v>7189360</v>
      </c>
      <c r="P61" s="126"/>
      <c r="Q61" s="127"/>
    </row>
    <row r="62" spans="1:17" ht="14.25">
      <c r="A62" s="102" t="s">
        <v>365</v>
      </c>
      <c r="B62" s="89" t="s">
        <v>130</v>
      </c>
      <c r="C62" s="14">
        <f aca="true" t="shared" si="24" ref="C62:N74">$P62/12</f>
        <v>0</v>
      </c>
      <c r="D62" s="14">
        <f t="shared" si="24"/>
        <v>0</v>
      </c>
      <c r="E62" s="14">
        <f t="shared" si="24"/>
        <v>0</v>
      </c>
      <c r="F62" s="14">
        <f t="shared" si="24"/>
        <v>0</v>
      </c>
      <c r="G62" s="14">
        <f t="shared" si="24"/>
        <v>0</v>
      </c>
      <c r="H62" s="14">
        <f t="shared" si="24"/>
        <v>0</v>
      </c>
      <c r="I62" s="14">
        <f t="shared" si="24"/>
        <v>0</v>
      </c>
      <c r="J62" s="14">
        <f t="shared" si="24"/>
        <v>0</v>
      </c>
      <c r="K62" s="14">
        <f t="shared" si="24"/>
        <v>0</v>
      </c>
      <c r="L62" s="14">
        <f t="shared" si="24"/>
        <v>0</v>
      </c>
      <c r="M62" s="14">
        <f t="shared" si="24"/>
        <v>0</v>
      </c>
      <c r="N62" s="14">
        <f t="shared" si="24"/>
        <v>0</v>
      </c>
      <c r="O62" s="14">
        <f t="shared" si="21"/>
        <v>0</v>
      </c>
      <c r="P62" s="124"/>
      <c r="Q62" s="84"/>
    </row>
    <row r="63" spans="1:17" ht="14.25">
      <c r="A63" s="102" t="s">
        <v>131</v>
      </c>
      <c r="B63" s="89" t="s">
        <v>132</v>
      </c>
      <c r="C63" s="14">
        <f t="shared" si="24"/>
        <v>0</v>
      </c>
      <c r="D63" s="14">
        <f t="shared" si="24"/>
        <v>0</v>
      </c>
      <c r="E63" s="14">
        <f t="shared" si="24"/>
        <v>0</v>
      </c>
      <c r="F63" s="14">
        <f t="shared" si="24"/>
        <v>0</v>
      </c>
      <c r="G63" s="14">
        <f t="shared" si="24"/>
        <v>0</v>
      </c>
      <c r="H63" s="14">
        <f t="shared" si="24"/>
        <v>0</v>
      </c>
      <c r="I63" s="14">
        <f t="shared" si="24"/>
        <v>0</v>
      </c>
      <c r="J63" s="14">
        <f t="shared" si="24"/>
        <v>0</v>
      </c>
      <c r="K63" s="14">
        <f t="shared" si="24"/>
        <v>0</v>
      </c>
      <c r="L63" s="14">
        <f t="shared" si="24"/>
        <v>0</v>
      </c>
      <c r="M63" s="14">
        <f t="shared" si="24"/>
        <v>0</v>
      </c>
      <c r="N63" s="14">
        <f t="shared" si="24"/>
        <v>0</v>
      </c>
      <c r="O63" s="14">
        <f t="shared" si="21"/>
        <v>0</v>
      </c>
      <c r="P63" s="124"/>
      <c r="Q63" s="84"/>
    </row>
    <row r="64" spans="1:17" ht="14.25">
      <c r="A64" s="102" t="s">
        <v>133</v>
      </c>
      <c r="B64" s="89" t="s">
        <v>134</v>
      </c>
      <c r="C64" s="14">
        <f t="shared" si="24"/>
        <v>0</v>
      </c>
      <c r="D64" s="14">
        <f t="shared" si="24"/>
        <v>0</v>
      </c>
      <c r="E64" s="14">
        <f t="shared" si="24"/>
        <v>0</v>
      </c>
      <c r="F64" s="14">
        <f t="shared" si="24"/>
        <v>0</v>
      </c>
      <c r="G64" s="14">
        <f t="shared" si="24"/>
        <v>0</v>
      </c>
      <c r="H64" s="14">
        <f t="shared" si="24"/>
        <v>0</v>
      </c>
      <c r="I64" s="14">
        <f t="shared" si="24"/>
        <v>0</v>
      </c>
      <c r="J64" s="14">
        <f t="shared" si="24"/>
        <v>0</v>
      </c>
      <c r="K64" s="14">
        <f t="shared" si="24"/>
        <v>0</v>
      </c>
      <c r="L64" s="14">
        <f t="shared" si="24"/>
        <v>0</v>
      </c>
      <c r="M64" s="14">
        <f t="shared" si="24"/>
        <v>0</v>
      </c>
      <c r="N64" s="14">
        <f t="shared" si="24"/>
        <v>0</v>
      </c>
      <c r="O64" s="14">
        <f t="shared" si="21"/>
        <v>0</v>
      </c>
      <c r="P64" s="124"/>
      <c r="Q64" s="84"/>
    </row>
    <row r="65" spans="1:17" ht="14.25">
      <c r="A65" s="102" t="s">
        <v>340</v>
      </c>
      <c r="B65" s="89" t="s">
        <v>135</v>
      </c>
      <c r="C65" s="14">
        <f t="shared" si="24"/>
        <v>0</v>
      </c>
      <c r="D65" s="14">
        <f t="shared" si="24"/>
        <v>0</v>
      </c>
      <c r="E65" s="14">
        <f t="shared" si="24"/>
        <v>0</v>
      </c>
      <c r="F65" s="14">
        <f t="shared" si="24"/>
        <v>0</v>
      </c>
      <c r="G65" s="14">
        <f t="shared" si="24"/>
        <v>0</v>
      </c>
      <c r="H65" s="14">
        <f t="shared" si="24"/>
        <v>0</v>
      </c>
      <c r="I65" s="14">
        <f t="shared" si="24"/>
        <v>0</v>
      </c>
      <c r="J65" s="14">
        <f t="shared" si="24"/>
        <v>0</v>
      </c>
      <c r="K65" s="14">
        <f t="shared" si="24"/>
        <v>0</v>
      </c>
      <c r="L65" s="14">
        <f t="shared" si="24"/>
        <v>0</v>
      </c>
      <c r="M65" s="14">
        <f t="shared" si="24"/>
        <v>0</v>
      </c>
      <c r="N65" s="14">
        <f t="shared" si="24"/>
        <v>0</v>
      </c>
      <c r="O65" s="14">
        <f t="shared" si="21"/>
        <v>0</v>
      </c>
      <c r="P65" s="124"/>
      <c r="Q65" s="84"/>
    </row>
    <row r="66" spans="1:17" ht="14.25">
      <c r="A66" s="102" t="s">
        <v>366</v>
      </c>
      <c r="B66" s="89" t="s">
        <v>136</v>
      </c>
      <c r="C66" s="14">
        <f t="shared" si="24"/>
        <v>0</v>
      </c>
      <c r="D66" s="14">
        <f t="shared" si="24"/>
        <v>0</v>
      </c>
      <c r="E66" s="14">
        <f t="shared" si="24"/>
        <v>0</v>
      </c>
      <c r="F66" s="14">
        <f t="shared" si="24"/>
        <v>0</v>
      </c>
      <c r="G66" s="14">
        <f t="shared" si="24"/>
        <v>0</v>
      </c>
      <c r="H66" s="14">
        <f t="shared" si="24"/>
        <v>0</v>
      </c>
      <c r="I66" s="14">
        <f t="shared" si="24"/>
        <v>0</v>
      </c>
      <c r="J66" s="14">
        <f t="shared" si="24"/>
        <v>0</v>
      </c>
      <c r="K66" s="14">
        <f t="shared" si="24"/>
        <v>0</v>
      </c>
      <c r="L66" s="14">
        <f t="shared" si="24"/>
        <v>0</v>
      </c>
      <c r="M66" s="14">
        <f t="shared" si="24"/>
        <v>0</v>
      </c>
      <c r="N66" s="14">
        <f t="shared" si="24"/>
        <v>0</v>
      </c>
      <c r="O66" s="14">
        <f t="shared" si="21"/>
        <v>0</v>
      </c>
      <c r="P66" s="124"/>
      <c r="Q66" s="84"/>
    </row>
    <row r="67" spans="1:17" ht="14.25">
      <c r="A67" s="102" t="s">
        <v>341</v>
      </c>
      <c r="B67" s="89" t="s">
        <v>137</v>
      </c>
      <c r="C67" s="14">
        <f>$O67/12</f>
        <v>7435887.166666667</v>
      </c>
      <c r="D67" s="14">
        <f aca="true" t="shared" si="25" ref="D67:M67">$O67/12</f>
        <v>7435887.166666667</v>
      </c>
      <c r="E67" s="14">
        <f t="shared" si="25"/>
        <v>7435887.166666667</v>
      </c>
      <c r="F67" s="14">
        <f t="shared" si="25"/>
        <v>7435887.166666667</v>
      </c>
      <c r="G67" s="14">
        <f>$O67/12+11917179</f>
        <v>19353066.166666668</v>
      </c>
      <c r="H67" s="14">
        <f>$O67/12-3309380</f>
        <v>4126507.166666667</v>
      </c>
      <c r="I67" s="14">
        <f>$O67/12-3309380</f>
        <v>4126507.166666667</v>
      </c>
      <c r="J67" s="14">
        <f>$O67/12-3309380</f>
        <v>4126507.166666667</v>
      </c>
      <c r="K67" s="14">
        <f>$O67/12-1989033</f>
        <v>5446854.166666667</v>
      </c>
      <c r="L67" s="14">
        <f t="shared" si="25"/>
        <v>7435887.166666667</v>
      </c>
      <c r="M67" s="14">
        <f t="shared" si="25"/>
        <v>7435887.166666667</v>
      </c>
      <c r="N67" s="14">
        <f>$O67/12+13-6</f>
        <v>7435894.166666667</v>
      </c>
      <c r="O67" s="14">
        <f>'1.a melléklet'!F67</f>
        <v>89230646</v>
      </c>
      <c r="P67" s="124"/>
      <c r="Q67" s="84"/>
    </row>
    <row r="68" spans="1:17" ht="14.25">
      <c r="A68" s="102" t="s">
        <v>367</v>
      </c>
      <c r="B68" s="89" t="s">
        <v>138</v>
      </c>
      <c r="C68" s="14">
        <f t="shared" si="24"/>
        <v>0</v>
      </c>
      <c r="D68" s="14">
        <f t="shared" si="24"/>
        <v>0</v>
      </c>
      <c r="E68" s="14">
        <f t="shared" si="24"/>
        <v>0</v>
      </c>
      <c r="F68" s="14">
        <f t="shared" si="24"/>
        <v>0</v>
      </c>
      <c r="G68" s="14">
        <f t="shared" si="24"/>
        <v>0</v>
      </c>
      <c r="H68" s="14">
        <f t="shared" si="24"/>
        <v>0</v>
      </c>
      <c r="I68" s="14">
        <f t="shared" si="24"/>
        <v>0</v>
      </c>
      <c r="J68" s="14">
        <f t="shared" si="24"/>
        <v>0</v>
      </c>
      <c r="K68" s="14">
        <f t="shared" si="24"/>
        <v>0</v>
      </c>
      <c r="L68" s="14">
        <f t="shared" si="24"/>
        <v>0</v>
      </c>
      <c r="M68" s="14">
        <f t="shared" si="24"/>
        <v>0</v>
      </c>
      <c r="N68" s="14">
        <f t="shared" si="24"/>
        <v>0</v>
      </c>
      <c r="O68" s="14">
        <f t="shared" si="21"/>
        <v>0</v>
      </c>
      <c r="P68" s="124"/>
      <c r="Q68" s="84"/>
    </row>
    <row r="69" spans="1:17" ht="14.25">
      <c r="A69" s="102" t="s">
        <v>368</v>
      </c>
      <c r="B69" s="89" t="s">
        <v>139</v>
      </c>
      <c r="C69" s="14">
        <f>$O69/12</f>
        <v>41666.666666666664</v>
      </c>
      <c r="D69" s="14">
        <f aca="true" t="shared" si="26" ref="D69:M69">$O69/12</f>
        <v>41666.666666666664</v>
      </c>
      <c r="E69" s="14">
        <f t="shared" si="26"/>
        <v>41666.666666666664</v>
      </c>
      <c r="F69" s="14">
        <f t="shared" si="26"/>
        <v>41666.666666666664</v>
      </c>
      <c r="G69" s="14">
        <f t="shared" si="26"/>
        <v>41666.666666666664</v>
      </c>
      <c r="H69" s="14">
        <f t="shared" si="26"/>
        <v>41666.666666666664</v>
      </c>
      <c r="I69" s="14">
        <f t="shared" si="26"/>
        <v>41666.666666666664</v>
      </c>
      <c r="J69" s="14">
        <f t="shared" si="26"/>
        <v>41666.666666666664</v>
      </c>
      <c r="K69" s="14">
        <f t="shared" si="26"/>
        <v>41666.666666666664</v>
      </c>
      <c r="L69" s="14">
        <f t="shared" si="26"/>
        <v>41666.666666666664</v>
      </c>
      <c r="M69" s="14">
        <f t="shared" si="26"/>
        <v>41666.666666666664</v>
      </c>
      <c r="N69" s="14">
        <f>$O69/12-4</f>
        <v>41662.666666666664</v>
      </c>
      <c r="O69" s="14">
        <f>'1.a melléklet'!F69</f>
        <v>500000</v>
      </c>
      <c r="P69" s="124"/>
      <c r="Q69" s="84"/>
    </row>
    <row r="70" spans="1:17" ht="14.25">
      <c r="A70" s="102" t="s">
        <v>140</v>
      </c>
      <c r="B70" s="89" t="s">
        <v>141</v>
      </c>
      <c r="C70" s="14">
        <f t="shared" si="24"/>
        <v>0</v>
      </c>
      <c r="D70" s="14">
        <f t="shared" si="24"/>
        <v>0</v>
      </c>
      <c r="E70" s="14">
        <f t="shared" si="24"/>
        <v>0</v>
      </c>
      <c r="F70" s="14">
        <f t="shared" si="24"/>
        <v>0</v>
      </c>
      <c r="G70" s="14">
        <f t="shared" si="24"/>
        <v>0</v>
      </c>
      <c r="H70" s="14">
        <f t="shared" si="24"/>
        <v>0</v>
      </c>
      <c r="I70" s="14">
        <f t="shared" si="24"/>
        <v>0</v>
      </c>
      <c r="J70" s="14">
        <f t="shared" si="24"/>
        <v>0</v>
      </c>
      <c r="K70" s="14">
        <f t="shared" si="24"/>
        <v>0</v>
      </c>
      <c r="L70" s="14">
        <f t="shared" si="24"/>
        <v>0</v>
      </c>
      <c r="M70" s="14">
        <f t="shared" si="24"/>
        <v>0</v>
      </c>
      <c r="N70" s="14">
        <f t="shared" si="24"/>
        <v>0</v>
      </c>
      <c r="O70" s="14">
        <f t="shared" si="21"/>
        <v>0</v>
      </c>
      <c r="P70" s="124"/>
      <c r="Q70" s="84"/>
    </row>
    <row r="71" spans="1:17" ht="14.25">
      <c r="A71" s="103" t="s">
        <v>142</v>
      </c>
      <c r="B71" s="89" t="s">
        <v>143</v>
      </c>
      <c r="C71" s="14">
        <f t="shared" si="24"/>
        <v>0</v>
      </c>
      <c r="D71" s="14">
        <f t="shared" si="24"/>
        <v>0</v>
      </c>
      <c r="E71" s="14">
        <f t="shared" si="24"/>
        <v>0</v>
      </c>
      <c r="F71" s="14">
        <f t="shared" si="24"/>
        <v>0</v>
      </c>
      <c r="G71" s="14">
        <f t="shared" si="24"/>
        <v>0</v>
      </c>
      <c r="H71" s="14">
        <f t="shared" si="24"/>
        <v>0</v>
      </c>
      <c r="I71" s="14">
        <f t="shared" si="24"/>
        <v>0</v>
      </c>
      <c r="J71" s="14">
        <f t="shared" si="24"/>
        <v>0</v>
      </c>
      <c r="K71" s="14">
        <f t="shared" si="24"/>
        <v>0</v>
      </c>
      <c r="L71" s="14">
        <f t="shared" si="24"/>
        <v>0</v>
      </c>
      <c r="M71" s="14">
        <f t="shared" si="24"/>
        <v>0</v>
      </c>
      <c r="N71" s="14">
        <f t="shared" si="24"/>
        <v>0</v>
      </c>
      <c r="O71" s="14">
        <f t="shared" si="21"/>
        <v>0</v>
      </c>
      <c r="P71" s="124"/>
      <c r="Q71" s="84"/>
    </row>
    <row r="72" spans="1:17" ht="14.25">
      <c r="A72" s="102" t="s">
        <v>369</v>
      </c>
      <c r="B72" s="89" t="s">
        <v>145</v>
      </c>
      <c r="C72" s="14">
        <f t="shared" si="24"/>
        <v>0</v>
      </c>
      <c r="D72" s="14">
        <f t="shared" si="24"/>
        <v>0</v>
      </c>
      <c r="E72" s="14">
        <f t="shared" si="24"/>
        <v>0</v>
      </c>
      <c r="F72" s="14">
        <f t="shared" si="24"/>
        <v>0</v>
      </c>
      <c r="G72" s="14">
        <f t="shared" si="24"/>
        <v>0</v>
      </c>
      <c r="H72" s="14">
        <f t="shared" si="24"/>
        <v>0</v>
      </c>
      <c r="I72" s="14">
        <f t="shared" si="24"/>
        <v>0</v>
      </c>
      <c r="J72" s="14">
        <f t="shared" si="24"/>
        <v>0</v>
      </c>
      <c r="K72" s="14">
        <f t="shared" si="24"/>
        <v>0</v>
      </c>
      <c r="L72" s="14">
        <f t="shared" si="24"/>
        <v>0</v>
      </c>
      <c r="M72" s="14">
        <f t="shared" si="24"/>
        <v>0</v>
      </c>
      <c r="N72" s="14">
        <f t="shared" si="24"/>
        <v>0</v>
      </c>
      <c r="O72" s="14">
        <f t="shared" si="21"/>
        <v>0</v>
      </c>
      <c r="P72" s="124"/>
      <c r="Q72" s="84"/>
    </row>
    <row r="73" spans="1:17" ht="14.25">
      <c r="A73" s="103" t="s">
        <v>19</v>
      </c>
      <c r="B73" s="89" t="s">
        <v>146</v>
      </c>
      <c r="C73" s="14">
        <f t="shared" si="24"/>
        <v>0</v>
      </c>
      <c r="D73" s="14">
        <f t="shared" si="24"/>
        <v>0</v>
      </c>
      <c r="E73" s="14">
        <f t="shared" si="24"/>
        <v>0</v>
      </c>
      <c r="F73" s="14">
        <f t="shared" si="24"/>
        <v>0</v>
      </c>
      <c r="G73" s="14">
        <f t="shared" si="24"/>
        <v>0</v>
      </c>
      <c r="H73" s="14">
        <f t="shared" si="24"/>
        <v>0</v>
      </c>
      <c r="I73" s="14">
        <f t="shared" si="24"/>
        <v>0</v>
      </c>
      <c r="J73" s="14">
        <f t="shared" si="24"/>
        <v>0</v>
      </c>
      <c r="K73" s="14">
        <f t="shared" si="24"/>
        <v>0</v>
      </c>
      <c r="L73" s="14">
        <f t="shared" si="24"/>
        <v>0</v>
      </c>
      <c r="M73" s="14">
        <f t="shared" si="24"/>
        <v>0</v>
      </c>
      <c r="N73" s="14">
        <f t="shared" si="24"/>
        <v>0</v>
      </c>
      <c r="O73" s="14">
        <f aca="true" t="shared" si="27" ref="O73:O136">SUM(C73:N73)</f>
        <v>0</v>
      </c>
      <c r="P73" s="124"/>
      <c r="Q73" s="84"/>
    </row>
    <row r="74" spans="1:17" ht="14.25">
      <c r="A74" s="103" t="s">
        <v>20</v>
      </c>
      <c r="B74" s="89" t="s">
        <v>146</v>
      </c>
      <c r="C74" s="14">
        <f t="shared" si="24"/>
        <v>0</v>
      </c>
      <c r="D74" s="14">
        <f t="shared" si="24"/>
        <v>0</v>
      </c>
      <c r="E74" s="14">
        <f t="shared" si="24"/>
        <v>0</v>
      </c>
      <c r="F74" s="14">
        <f t="shared" si="24"/>
        <v>0</v>
      </c>
      <c r="G74" s="14">
        <f t="shared" si="24"/>
        <v>0</v>
      </c>
      <c r="H74" s="14">
        <f t="shared" si="24"/>
        <v>0</v>
      </c>
      <c r="I74" s="14">
        <f t="shared" si="24"/>
        <v>0</v>
      </c>
      <c r="J74" s="14">
        <f t="shared" si="24"/>
        <v>0</v>
      </c>
      <c r="K74" s="14">
        <f t="shared" si="24"/>
        <v>0</v>
      </c>
      <c r="L74" s="14">
        <f t="shared" si="24"/>
        <v>0</v>
      </c>
      <c r="M74" s="14">
        <f t="shared" si="24"/>
        <v>0</v>
      </c>
      <c r="N74" s="14">
        <f t="shared" si="24"/>
        <v>0</v>
      </c>
      <c r="O74" s="14">
        <f t="shared" si="27"/>
        <v>0</v>
      </c>
      <c r="P74" s="124"/>
      <c r="Q74" s="84"/>
    </row>
    <row r="75" spans="1:17" s="128" customFormat="1" ht="14.25">
      <c r="A75" s="101" t="s">
        <v>342</v>
      </c>
      <c r="B75" s="97" t="s">
        <v>147</v>
      </c>
      <c r="C75" s="16">
        <f aca="true" t="shared" si="28" ref="C75:O75">SUM(C67:C74)</f>
        <v>7477553.833333334</v>
      </c>
      <c r="D75" s="16">
        <f t="shared" si="28"/>
        <v>7477553.833333334</v>
      </c>
      <c r="E75" s="16">
        <f t="shared" si="28"/>
        <v>7477553.833333334</v>
      </c>
      <c r="F75" s="16">
        <f t="shared" si="28"/>
        <v>7477553.833333334</v>
      </c>
      <c r="G75" s="16">
        <f t="shared" si="28"/>
        <v>19394732.833333336</v>
      </c>
      <c r="H75" s="16">
        <f t="shared" si="28"/>
        <v>4168173.8333333335</v>
      </c>
      <c r="I75" s="16">
        <f t="shared" si="28"/>
        <v>4168173.8333333335</v>
      </c>
      <c r="J75" s="16">
        <f t="shared" si="28"/>
        <v>4168173.8333333335</v>
      </c>
      <c r="K75" s="16">
        <f t="shared" si="28"/>
        <v>5488520.833333334</v>
      </c>
      <c r="L75" s="16">
        <f t="shared" si="28"/>
        <v>7477553.833333334</v>
      </c>
      <c r="M75" s="16">
        <f t="shared" si="28"/>
        <v>7477553.833333334</v>
      </c>
      <c r="N75" s="16">
        <f t="shared" si="28"/>
        <v>7477556.833333334</v>
      </c>
      <c r="O75" s="16">
        <f t="shared" si="28"/>
        <v>89730646</v>
      </c>
      <c r="P75" s="126"/>
      <c r="Q75" s="127"/>
    </row>
    <row r="76" spans="1:17" ht="15">
      <c r="A76" s="104" t="s">
        <v>9</v>
      </c>
      <c r="B76" s="9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f t="shared" si="27"/>
        <v>0</v>
      </c>
      <c r="P76" s="124"/>
      <c r="Q76" s="84"/>
    </row>
    <row r="77" spans="1:17" ht="14.25">
      <c r="A77" s="94" t="s">
        <v>148</v>
      </c>
      <c r="B77" s="89" t="s">
        <v>149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f t="shared" si="27"/>
        <v>0</v>
      </c>
      <c r="P77" s="124"/>
      <c r="Q77" s="84"/>
    </row>
    <row r="78" spans="1:17" ht="14.25">
      <c r="A78" s="94" t="s">
        <v>370</v>
      </c>
      <c r="B78" s="89" t="s">
        <v>150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f t="shared" si="27"/>
        <v>0</v>
      </c>
      <c r="P78" s="124"/>
      <c r="Q78" s="84"/>
    </row>
    <row r="79" spans="1:17" ht="14.25">
      <c r="A79" s="94" t="s">
        <v>151</v>
      </c>
      <c r="B79" s="89" t="s">
        <v>152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>
        <f t="shared" si="27"/>
        <v>0</v>
      </c>
      <c r="P79" s="124"/>
      <c r="Q79" s="84"/>
    </row>
    <row r="80" spans="1:17" ht="14.25">
      <c r="A80" s="94" t="s">
        <v>153</v>
      </c>
      <c r="B80" s="89" t="s">
        <v>154</v>
      </c>
      <c r="C80" s="14"/>
      <c r="D80" s="14"/>
      <c r="E80" s="14"/>
      <c r="F80" s="14">
        <f>1455963</f>
        <v>1455963</v>
      </c>
      <c r="G80" s="14">
        <v>721080</v>
      </c>
      <c r="H80" s="14"/>
      <c r="I80" s="14"/>
      <c r="J80" s="14"/>
      <c r="K80" s="14"/>
      <c r="L80" s="14"/>
      <c r="M80" s="14"/>
      <c r="N80" s="14"/>
      <c r="O80" s="14">
        <f>'1.a melléklet'!F80</f>
        <v>2570153</v>
      </c>
      <c r="P80" s="124"/>
      <c r="Q80" s="84"/>
    </row>
    <row r="81" spans="1:17" ht="14.25">
      <c r="A81" s="94" t="s">
        <v>155</v>
      </c>
      <c r="B81" s="89" t="s">
        <v>156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f t="shared" si="27"/>
        <v>0</v>
      </c>
      <c r="P81" s="124"/>
      <c r="Q81" s="84"/>
    </row>
    <row r="82" spans="1:17" ht="14.25">
      <c r="A82" s="94" t="s">
        <v>157</v>
      </c>
      <c r="B82" s="89" t="s">
        <v>158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>
        <f t="shared" si="27"/>
        <v>0</v>
      </c>
      <c r="P82" s="124"/>
      <c r="Q82" s="84"/>
    </row>
    <row r="83" spans="1:17" ht="14.25">
      <c r="A83" s="94" t="s">
        <v>159</v>
      </c>
      <c r="B83" s="89" t="s">
        <v>160</v>
      </c>
      <c r="C83" s="14"/>
      <c r="D83" s="14"/>
      <c r="E83" s="14"/>
      <c r="F83" s="14">
        <f>393110</f>
        <v>393110</v>
      </c>
      <c r="G83" s="14">
        <v>194691</v>
      </c>
      <c r="H83" s="14"/>
      <c r="I83" s="14"/>
      <c r="J83" s="14"/>
      <c r="K83" s="14"/>
      <c r="L83" s="14"/>
      <c r="M83" s="14"/>
      <c r="N83" s="14"/>
      <c r="O83" s="14">
        <f>'1.a melléklet'!F83</f>
        <v>194691</v>
      </c>
      <c r="P83" s="124"/>
      <c r="Q83" s="84"/>
    </row>
    <row r="84" spans="1:17" s="128" customFormat="1" ht="14.25">
      <c r="A84" s="105" t="s">
        <v>343</v>
      </c>
      <c r="B84" s="97" t="s">
        <v>161</v>
      </c>
      <c r="C84" s="16">
        <f>SUM(C77:C83)</f>
        <v>0</v>
      </c>
      <c r="D84" s="16">
        <f aca="true" t="shared" si="29" ref="D84:N84">SUM(D77:D83)</f>
        <v>0</v>
      </c>
      <c r="E84" s="16">
        <f t="shared" si="29"/>
        <v>0</v>
      </c>
      <c r="F84" s="16">
        <f t="shared" si="29"/>
        <v>1849073</v>
      </c>
      <c r="G84" s="16">
        <f>SUM(G77:G83)</f>
        <v>915771</v>
      </c>
      <c r="H84" s="16">
        <f t="shared" si="29"/>
        <v>0</v>
      </c>
      <c r="I84" s="16">
        <f t="shared" si="29"/>
        <v>0</v>
      </c>
      <c r="J84" s="16">
        <f t="shared" si="29"/>
        <v>0</v>
      </c>
      <c r="K84" s="16">
        <f t="shared" si="29"/>
        <v>0</v>
      </c>
      <c r="L84" s="16">
        <f t="shared" si="29"/>
        <v>0</v>
      </c>
      <c r="M84" s="16">
        <f t="shared" si="29"/>
        <v>0</v>
      </c>
      <c r="N84" s="16">
        <f t="shared" si="29"/>
        <v>0</v>
      </c>
      <c r="O84" s="16">
        <f>SUM(C84:N84)</f>
        <v>2764844</v>
      </c>
      <c r="P84" s="126"/>
      <c r="Q84" s="127"/>
    </row>
    <row r="85" spans="1:17" ht="14.25">
      <c r="A85" s="15" t="s">
        <v>162</v>
      </c>
      <c r="B85" s="89" t="s">
        <v>163</v>
      </c>
      <c r="C85" s="14"/>
      <c r="D85" s="14"/>
      <c r="E85" s="14"/>
      <c r="F85" s="14"/>
      <c r="G85" s="14">
        <v>107436256</v>
      </c>
      <c r="H85" s="14"/>
      <c r="I85" s="14">
        <v>2128000</v>
      </c>
      <c r="J85" s="14"/>
      <c r="K85" s="14"/>
      <c r="L85" s="14"/>
      <c r="M85" s="14"/>
      <c r="N85" s="14"/>
      <c r="O85" s="14">
        <f>'1.a melléklet'!F85</f>
        <v>110139256</v>
      </c>
      <c r="P85" s="124"/>
      <c r="Q85" s="84"/>
    </row>
    <row r="86" spans="1:17" ht="14.25">
      <c r="A86" s="15" t="s">
        <v>164</v>
      </c>
      <c r="B86" s="89" t="s">
        <v>165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>
        <f t="shared" si="27"/>
        <v>0</v>
      </c>
      <c r="P86" s="124"/>
      <c r="Q86" s="84"/>
    </row>
    <row r="87" spans="1:17" ht="14.25">
      <c r="A87" s="15" t="s">
        <v>166</v>
      </c>
      <c r="B87" s="89" t="s">
        <v>167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>
        <f t="shared" si="27"/>
        <v>0</v>
      </c>
      <c r="P87" s="124"/>
      <c r="Q87" s="84"/>
    </row>
    <row r="88" spans="1:17" ht="14.25">
      <c r="A88" s="15" t="s">
        <v>168</v>
      </c>
      <c r="B88" s="89" t="s">
        <v>169</v>
      </c>
      <c r="C88" s="14"/>
      <c r="D88" s="14"/>
      <c r="E88" s="14"/>
      <c r="F88" s="14"/>
      <c r="G88" s="14">
        <v>29007789</v>
      </c>
      <c r="H88" s="14"/>
      <c r="I88" s="14">
        <v>575000</v>
      </c>
      <c r="J88" s="14"/>
      <c r="K88" s="14"/>
      <c r="L88" s="14"/>
      <c r="M88" s="14"/>
      <c r="N88" s="14"/>
      <c r="O88" s="14">
        <f>'1.a melléklet'!F88</f>
        <v>29007789</v>
      </c>
      <c r="P88" s="124"/>
      <c r="Q88" s="84"/>
    </row>
    <row r="89" spans="1:17" s="128" customFormat="1" ht="14.25">
      <c r="A89" s="101" t="s">
        <v>344</v>
      </c>
      <c r="B89" s="97" t="s">
        <v>170</v>
      </c>
      <c r="C89" s="16">
        <f>SUM(C85:C88)</f>
        <v>0</v>
      </c>
      <c r="D89" s="16">
        <f aca="true" t="shared" si="30" ref="D89:N89">SUM(D85:D88)</f>
        <v>0</v>
      </c>
      <c r="E89" s="16">
        <f t="shared" si="30"/>
        <v>0</v>
      </c>
      <c r="F89" s="16">
        <f t="shared" si="30"/>
        <v>0</v>
      </c>
      <c r="G89" s="16">
        <f>SUM(G85:G88)</f>
        <v>136444045</v>
      </c>
      <c r="H89" s="16">
        <f t="shared" si="30"/>
        <v>0</v>
      </c>
      <c r="I89" s="16">
        <f t="shared" si="30"/>
        <v>2703000</v>
      </c>
      <c r="J89" s="16">
        <f t="shared" si="30"/>
        <v>0</v>
      </c>
      <c r="K89" s="16">
        <f>SUM(K85:K88)</f>
        <v>0</v>
      </c>
      <c r="L89" s="16">
        <f t="shared" si="30"/>
        <v>0</v>
      </c>
      <c r="M89" s="16">
        <f>SUM(M85:M88)</f>
        <v>0</v>
      </c>
      <c r="N89" s="16">
        <f t="shared" si="30"/>
        <v>0</v>
      </c>
      <c r="O89" s="16">
        <f>SUM(C89:N89)</f>
        <v>139147045</v>
      </c>
      <c r="P89" s="126"/>
      <c r="Q89" s="127"/>
    </row>
    <row r="90" spans="1:17" ht="26.25">
      <c r="A90" s="15" t="s">
        <v>171</v>
      </c>
      <c r="B90" s="89" t="s">
        <v>172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>
        <f t="shared" si="27"/>
        <v>0</v>
      </c>
      <c r="P90" s="124"/>
      <c r="Q90" s="84"/>
    </row>
    <row r="91" spans="1:17" ht="14.25">
      <c r="A91" s="15" t="s">
        <v>371</v>
      </c>
      <c r="B91" s="89" t="s">
        <v>173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>
        <f t="shared" si="27"/>
        <v>0</v>
      </c>
      <c r="P91" s="124"/>
      <c r="Q91" s="84"/>
    </row>
    <row r="92" spans="1:17" ht="26.25">
      <c r="A92" s="15" t="s">
        <v>372</v>
      </c>
      <c r="B92" s="89" t="s">
        <v>174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>
        <f t="shared" si="27"/>
        <v>0</v>
      </c>
      <c r="P92" s="124"/>
      <c r="Q92" s="84"/>
    </row>
    <row r="93" spans="1:17" ht="14.25">
      <c r="A93" s="15" t="s">
        <v>373</v>
      </c>
      <c r="B93" s="89" t="s">
        <v>175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>
        <f t="shared" si="27"/>
        <v>0</v>
      </c>
      <c r="P93" s="124"/>
      <c r="Q93" s="84"/>
    </row>
    <row r="94" spans="1:17" ht="26.25">
      <c r="A94" s="15" t="s">
        <v>374</v>
      </c>
      <c r="B94" s="89" t="s">
        <v>176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>
        <f t="shared" si="27"/>
        <v>0</v>
      </c>
      <c r="P94" s="124"/>
      <c r="Q94" s="84"/>
    </row>
    <row r="95" spans="1:17" ht="14.25">
      <c r="A95" s="15" t="s">
        <v>375</v>
      </c>
      <c r="B95" s="89" t="s">
        <v>177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>
        <f t="shared" si="27"/>
        <v>0</v>
      </c>
      <c r="P95" s="124"/>
      <c r="Q95" s="84"/>
    </row>
    <row r="96" spans="1:17" ht="14.25">
      <c r="A96" s="15" t="s">
        <v>178</v>
      </c>
      <c r="B96" s="89" t="s">
        <v>179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>
        <f t="shared" si="27"/>
        <v>0</v>
      </c>
      <c r="P96" s="124"/>
      <c r="Q96" s="84"/>
    </row>
    <row r="97" spans="1:17" ht="14.25">
      <c r="A97" s="15" t="s">
        <v>376</v>
      </c>
      <c r="B97" s="89" t="s">
        <v>180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>
        <f t="shared" si="27"/>
        <v>0</v>
      </c>
      <c r="P97" s="124"/>
      <c r="Q97" s="84"/>
    </row>
    <row r="98" spans="1:17" ht="14.25">
      <c r="A98" s="101" t="s">
        <v>345</v>
      </c>
      <c r="B98" s="97" t="s">
        <v>181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>
        <f t="shared" si="27"/>
        <v>0</v>
      </c>
      <c r="P98" s="124"/>
      <c r="Q98" s="84"/>
    </row>
    <row r="99" spans="1:17" ht="15">
      <c r="A99" s="104" t="s">
        <v>8</v>
      </c>
      <c r="B99" s="97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>
        <f t="shared" si="27"/>
        <v>0</v>
      </c>
      <c r="P99" s="124"/>
      <c r="Q99" s="84"/>
    </row>
    <row r="100" spans="1:17" s="128" customFormat="1" ht="15">
      <c r="A100" s="106" t="s">
        <v>384</v>
      </c>
      <c r="B100" s="107" t="s">
        <v>182</v>
      </c>
      <c r="C100" s="16">
        <f>C75+C61+C52+C27+C26</f>
        <v>19010684.75</v>
      </c>
      <c r="D100" s="16">
        <f aca="true" t="shared" si="31" ref="D100:N100">D75+D61+D52+D27+D26</f>
        <v>19010684.75</v>
      </c>
      <c r="E100" s="16">
        <f t="shared" si="31"/>
        <v>19010684.75</v>
      </c>
      <c r="F100" s="16">
        <f t="shared" si="31"/>
        <v>19010684.75</v>
      </c>
      <c r="G100" s="16">
        <f>G75+G61+G52+G27+G26+G89+G84</f>
        <v>168287679.75</v>
      </c>
      <c r="H100" s="16">
        <f t="shared" si="31"/>
        <v>15701304.75</v>
      </c>
      <c r="I100" s="16">
        <f t="shared" si="31"/>
        <v>15701304.75</v>
      </c>
      <c r="J100" s="16">
        <f t="shared" si="31"/>
        <v>15701304.75</v>
      </c>
      <c r="K100" s="16">
        <f t="shared" si="31"/>
        <v>17021651.75</v>
      </c>
      <c r="L100" s="16">
        <f t="shared" si="31"/>
        <v>19010684.75</v>
      </c>
      <c r="M100" s="16">
        <f t="shared" si="31"/>
        <v>19010684.75</v>
      </c>
      <c r="N100" s="16">
        <f t="shared" si="31"/>
        <v>19010682.166666668</v>
      </c>
      <c r="O100" s="16">
        <f>O89+O84+O75+O61+O52+O27+O26</f>
        <v>370040098</v>
      </c>
      <c r="P100" s="126"/>
      <c r="Q100" s="127"/>
    </row>
    <row r="101" spans="1:17" ht="14.25">
      <c r="A101" s="15" t="s">
        <v>377</v>
      </c>
      <c r="B101" s="91" t="s">
        <v>183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>
        <f t="shared" si="27"/>
        <v>0</v>
      </c>
      <c r="P101" s="124"/>
      <c r="Q101" s="84"/>
    </row>
    <row r="102" spans="1:17" ht="14.25">
      <c r="A102" s="15" t="s">
        <v>184</v>
      </c>
      <c r="B102" s="91" t="s">
        <v>185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>
        <f t="shared" si="27"/>
        <v>0</v>
      </c>
      <c r="P102" s="124"/>
      <c r="Q102" s="84"/>
    </row>
    <row r="103" spans="1:17" ht="14.25">
      <c r="A103" s="15" t="s">
        <v>378</v>
      </c>
      <c r="B103" s="91" t="s">
        <v>186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>
        <f t="shared" si="27"/>
        <v>0</v>
      </c>
      <c r="P103" s="124"/>
      <c r="Q103" s="84"/>
    </row>
    <row r="104" spans="1:17" ht="14.25">
      <c r="A104" s="108" t="s">
        <v>346</v>
      </c>
      <c r="B104" s="95" t="s">
        <v>187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>
        <f t="shared" si="27"/>
        <v>0</v>
      </c>
      <c r="P104" s="124"/>
      <c r="Q104" s="84"/>
    </row>
    <row r="105" spans="1:17" ht="14.25">
      <c r="A105" s="109" t="s">
        <v>379</v>
      </c>
      <c r="B105" s="91" t="s">
        <v>188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>
        <f t="shared" si="27"/>
        <v>0</v>
      </c>
      <c r="P105" s="124"/>
      <c r="Q105" s="84"/>
    </row>
    <row r="106" spans="1:17" ht="14.25">
      <c r="A106" s="109" t="s">
        <v>349</v>
      </c>
      <c r="B106" s="91" t="s">
        <v>189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>
        <f t="shared" si="27"/>
        <v>0</v>
      </c>
      <c r="P106" s="124"/>
      <c r="Q106" s="84"/>
    </row>
    <row r="107" spans="1:17" ht="14.25">
      <c r="A107" s="15" t="s">
        <v>190</v>
      </c>
      <c r="B107" s="91" t="s">
        <v>191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>
        <f t="shared" si="27"/>
        <v>0</v>
      </c>
      <c r="P107" s="124"/>
      <c r="Q107" s="84"/>
    </row>
    <row r="108" spans="1:17" ht="14.25">
      <c r="A108" s="15" t="s">
        <v>380</v>
      </c>
      <c r="B108" s="91" t="s">
        <v>192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>
        <f t="shared" si="27"/>
        <v>0</v>
      </c>
      <c r="P108" s="124"/>
      <c r="Q108" s="84"/>
    </row>
    <row r="109" spans="1:17" ht="14.25">
      <c r="A109" s="110" t="s">
        <v>347</v>
      </c>
      <c r="B109" s="95" t="s">
        <v>193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>
        <f t="shared" si="27"/>
        <v>0</v>
      </c>
      <c r="P109" s="124"/>
      <c r="Q109" s="84"/>
    </row>
    <row r="110" spans="1:17" ht="14.25">
      <c r="A110" s="109" t="s">
        <v>194</v>
      </c>
      <c r="B110" s="91" t="s">
        <v>195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>
        <f t="shared" si="27"/>
        <v>0</v>
      </c>
      <c r="P110" s="124"/>
      <c r="Q110" s="84"/>
    </row>
    <row r="111" spans="1:17" ht="14.25">
      <c r="A111" s="109" t="s">
        <v>196</v>
      </c>
      <c r="B111" s="91" t="s">
        <v>197</v>
      </c>
      <c r="C111" s="14">
        <v>5517642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>
        <f>'1.a melléklet'!F111</f>
        <v>5517642</v>
      </c>
      <c r="P111" s="124"/>
      <c r="Q111" s="84"/>
    </row>
    <row r="112" spans="1:17" ht="14.25">
      <c r="A112" s="110" t="s">
        <v>198</v>
      </c>
      <c r="B112" s="95" t="s">
        <v>199</v>
      </c>
      <c r="C112" s="14">
        <f>$O112/12</f>
        <v>5999915.25</v>
      </c>
      <c r="D112" s="14">
        <f aca="true" t="shared" si="32" ref="D112:M112">$O112/12</f>
        <v>5999915.25</v>
      </c>
      <c r="E112" s="14">
        <f t="shared" si="32"/>
        <v>5999915.25</v>
      </c>
      <c r="F112" s="14">
        <f t="shared" si="32"/>
        <v>5999915.25</v>
      </c>
      <c r="G112" s="14">
        <f t="shared" si="32"/>
        <v>5999915.25</v>
      </c>
      <c r="H112" s="14">
        <f t="shared" si="32"/>
        <v>5999915.25</v>
      </c>
      <c r="I112" s="14">
        <f t="shared" si="32"/>
        <v>5999915.25</v>
      </c>
      <c r="J112" s="14">
        <f t="shared" si="32"/>
        <v>5999915.25</v>
      </c>
      <c r="K112" s="14">
        <f t="shared" si="32"/>
        <v>5999915.25</v>
      </c>
      <c r="L112" s="14">
        <f t="shared" si="32"/>
        <v>5999915.25</v>
      </c>
      <c r="M112" s="14">
        <f t="shared" si="32"/>
        <v>5999915.25</v>
      </c>
      <c r="N112" s="14">
        <f>$O112/12-5</f>
        <v>5999910.25</v>
      </c>
      <c r="O112" s="14">
        <f>'1.a melléklet'!F112</f>
        <v>71998983</v>
      </c>
      <c r="P112" s="124"/>
      <c r="Q112" s="84"/>
    </row>
    <row r="113" spans="1:17" ht="14.25">
      <c r="A113" s="109" t="s">
        <v>200</v>
      </c>
      <c r="B113" s="91" t="s">
        <v>201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>
        <f t="shared" si="27"/>
        <v>0</v>
      </c>
      <c r="P113" s="124"/>
      <c r="Q113" s="84"/>
    </row>
    <row r="114" spans="1:17" ht="14.25">
      <c r="A114" s="109" t="s">
        <v>202</v>
      </c>
      <c r="B114" s="91" t="s">
        <v>203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>
        <f t="shared" si="27"/>
        <v>0</v>
      </c>
      <c r="P114" s="124"/>
      <c r="Q114" s="84"/>
    </row>
    <row r="115" spans="1:17" ht="14.25">
      <c r="A115" s="109" t="s">
        <v>204</v>
      </c>
      <c r="B115" s="91" t="s">
        <v>205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>
        <f t="shared" si="27"/>
        <v>0</v>
      </c>
      <c r="P115" s="124"/>
      <c r="Q115" s="84"/>
    </row>
    <row r="116" spans="1:17" ht="14.25">
      <c r="A116" s="111" t="s">
        <v>348</v>
      </c>
      <c r="B116" s="98" t="s">
        <v>206</v>
      </c>
      <c r="C116" s="14">
        <f>C111+C112</f>
        <v>11517557.25</v>
      </c>
      <c r="D116" s="14">
        <f aca="true" t="shared" si="33" ref="D116:M116">SUM(D112:D115)</f>
        <v>5999915.25</v>
      </c>
      <c r="E116" s="14">
        <f t="shared" si="33"/>
        <v>5999915.25</v>
      </c>
      <c r="F116" s="14">
        <f t="shared" si="33"/>
        <v>5999915.25</v>
      </c>
      <c r="G116" s="14">
        <f t="shared" si="33"/>
        <v>5999915.25</v>
      </c>
      <c r="H116" s="14">
        <f t="shared" si="33"/>
        <v>5999915.25</v>
      </c>
      <c r="I116" s="14">
        <f t="shared" si="33"/>
        <v>5999915.25</v>
      </c>
      <c r="J116" s="14">
        <f t="shared" si="33"/>
        <v>5999915.25</v>
      </c>
      <c r="K116" s="14">
        <f t="shared" si="33"/>
        <v>5999915.25</v>
      </c>
      <c r="L116" s="14">
        <f t="shared" si="33"/>
        <v>5999915.25</v>
      </c>
      <c r="M116" s="14">
        <f t="shared" si="33"/>
        <v>5999915.25</v>
      </c>
      <c r="N116" s="14">
        <f>SUM(N112:N115)</f>
        <v>5999910.25</v>
      </c>
      <c r="O116" s="14">
        <f>O111+O112</f>
        <v>77516625</v>
      </c>
      <c r="P116" s="124"/>
      <c r="Q116" s="84"/>
    </row>
    <row r="117" spans="1:17" ht="14.25">
      <c r="A117" s="109" t="s">
        <v>207</v>
      </c>
      <c r="B117" s="91" t="s">
        <v>208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>
        <f t="shared" si="27"/>
        <v>0</v>
      </c>
      <c r="P117" s="124"/>
      <c r="Q117" s="84"/>
    </row>
    <row r="118" spans="1:17" ht="14.25">
      <c r="A118" s="15" t="s">
        <v>209</v>
      </c>
      <c r="B118" s="91" t="s">
        <v>210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>
        <f t="shared" si="27"/>
        <v>0</v>
      </c>
      <c r="P118" s="124"/>
      <c r="Q118" s="84"/>
    </row>
    <row r="119" spans="1:17" ht="14.25">
      <c r="A119" s="109" t="s">
        <v>381</v>
      </c>
      <c r="B119" s="91" t="s">
        <v>211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>
        <f t="shared" si="27"/>
        <v>0</v>
      </c>
      <c r="P119" s="124"/>
      <c r="Q119" s="84"/>
    </row>
    <row r="120" spans="1:17" ht="14.25">
      <c r="A120" s="109" t="s">
        <v>350</v>
      </c>
      <c r="B120" s="91" t="s">
        <v>212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>
        <f t="shared" si="27"/>
        <v>0</v>
      </c>
      <c r="P120" s="124"/>
      <c r="Q120" s="84"/>
    </row>
    <row r="121" spans="1:17" ht="14.25">
      <c r="A121" s="111" t="s">
        <v>351</v>
      </c>
      <c r="B121" s="98" t="s">
        <v>213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>
        <f t="shared" si="27"/>
        <v>0</v>
      </c>
      <c r="P121" s="124"/>
      <c r="Q121" s="84"/>
    </row>
    <row r="122" spans="1:17" ht="14.25">
      <c r="A122" s="15" t="s">
        <v>214</v>
      </c>
      <c r="B122" s="91" t="s">
        <v>215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>
        <f t="shared" si="27"/>
        <v>0</v>
      </c>
      <c r="P122" s="124"/>
      <c r="Q122" s="84"/>
    </row>
    <row r="123" spans="1:17" s="128" customFormat="1" ht="15">
      <c r="A123" s="112" t="s">
        <v>385</v>
      </c>
      <c r="B123" s="113" t="s">
        <v>216</v>
      </c>
      <c r="C123" s="16">
        <f>C116</f>
        <v>11517557.25</v>
      </c>
      <c r="D123" s="16">
        <f aca="true" t="shared" si="34" ref="D123:M123">SUM(D116)</f>
        <v>5999915.25</v>
      </c>
      <c r="E123" s="16">
        <f t="shared" si="34"/>
        <v>5999915.25</v>
      </c>
      <c r="F123" s="16">
        <f t="shared" si="34"/>
        <v>5999915.25</v>
      </c>
      <c r="G123" s="16">
        <f t="shared" si="34"/>
        <v>5999915.25</v>
      </c>
      <c r="H123" s="16">
        <f t="shared" si="34"/>
        <v>5999915.25</v>
      </c>
      <c r="I123" s="16">
        <f t="shared" si="34"/>
        <v>5999915.25</v>
      </c>
      <c r="J123" s="16">
        <f t="shared" si="34"/>
        <v>5999915.25</v>
      </c>
      <c r="K123" s="16">
        <f t="shared" si="34"/>
        <v>5999915.25</v>
      </c>
      <c r="L123" s="16">
        <f t="shared" si="34"/>
        <v>5999915.25</v>
      </c>
      <c r="M123" s="16">
        <f t="shared" si="34"/>
        <v>5999915.25</v>
      </c>
      <c r="N123" s="16">
        <f>SUM(N116)+5</f>
        <v>5999915.25</v>
      </c>
      <c r="O123" s="16">
        <f>SUM(C123:N123)</f>
        <v>77516625</v>
      </c>
      <c r="P123" s="126"/>
      <c r="Q123" s="127"/>
    </row>
    <row r="124" spans="1:17" s="128" customFormat="1" ht="15">
      <c r="A124" s="130" t="s">
        <v>422</v>
      </c>
      <c r="B124" s="130"/>
      <c r="C124" s="16">
        <f>C123+C100</f>
        <v>30528242</v>
      </c>
      <c r="D124" s="16">
        <f aca="true" t="shared" si="35" ref="D124:N124">D123+D100</f>
        <v>25010600</v>
      </c>
      <c r="E124" s="16">
        <f t="shared" si="35"/>
        <v>25010600</v>
      </c>
      <c r="F124" s="16">
        <f>F123+F100+1849068</f>
        <v>26859668</v>
      </c>
      <c r="G124" s="16">
        <f t="shared" si="35"/>
        <v>174287595</v>
      </c>
      <c r="H124" s="16">
        <f t="shared" si="35"/>
        <v>21701220</v>
      </c>
      <c r="I124" s="16">
        <f>I123+I100+2703000</f>
        <v>24404220</v>
      </c>
      <c r="J124" s="16">
        <f t="shared" si="35"/>
        <v>21701220</v>
      </c>
      <c r="K124" s="16">
        <f t="shared" si="35"/>
        <v>23021567</v>
      </c>
      <c r="L124" s="16">
        <f t="shared" si="35"/>
        <v>25010600</v>
      </c>
      <c r="M124" s="16">
        <f t="shared" si="35"/>
        <v>25010600</v>
      </c>
      <c r="N124" s="16">
        <f t="shared" si="35"/>
        <v>25010597.416666668</v>
      </c>
      <c r="O124" s="16">
        <f>SUM(C124:N124)-6</f>
        <v>447556723.4166667</v>
      </c>
      <c r="P124" s="126"/>
      <c r="Q124" s="127"/>
    </row>
    <row r="125" spans="1:17" ht="26.25">
      <c r="A125" s="87" t="s">
        <v>44</v>
      </c>
      <c r="B125" s="88" t="s">
        <v>415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>
        <f t="shared" si="27"/>
        <v>0</v>
      </c>
      <c r="P125" s="124"/>
      <c r="Q125" s="84"/>
    </row>
    <row r="126" spans="1:17" ht="14.25">
      <c r="A126" s="90" t="s">
        <v>217</v>
      </c>
      <c r="B126" s="94" t="s">
        <v>218</v>
      </c>
      <c r="C126" s="14">
        <f>$O126/12</f>
        <v>6155753.166666667</v>
      </c>
      <c r="D126" s="14">
        <f aca="true" t="shared" si="36" ref="D126:M126">$O126/12</f>
        <v>6155753.166666667</v>
      </c>
      <c r="E126" s="14">
        <f t="shared" si="36"/>
        <v>6155753.166666667</v>
      </c>
      <c r="F126" s="14">
        <f t="shared" si="36"/>
        <v>6155753.166666667</v>
      </c>
      <c r="G126" s="14">
        <f t="shared" si="36"/>
        <v>6155753.166666667</v>
      </c>
      <c r="H126" s="14">
        <f t="shared" si="36"/>
        <v>6155753.166666667</v>
      </c>
      <c r="I126" s="14">
        <f t="shared" si="36"/>
        <v>6155753.166666667</v>
      </c>
      <c r="J126" s="14">
        <f t="shared" si="36"/>
        <v>6155753.166666667</v>
      </c>
      <c r="K126" s="14">
        <f t="shared" si="36"/>
        <v>6155753.166666667</v>
      </c>
      <c r="L126" s="14">
        <f t="shared" si="36"/>
        <v>6155753.166666667</v>
      </c>
      <c r="M126" s="14">
        <f t="shared" si="36"/>
        <v>6155753.166666667</v>
      </c>
      <c r="N126" s="14">
        <f>$O126/12+4</f>
        <v>6155757.166666667</v>
      </c>
      <c r="O126" s="14">
        <f>'1.b melléklet'!F8</f>
        <v>73869038</v>
      </c>
      <c r="P126" s="124"/>
      <c r="Q126" s="84"/>
    </row>
    <row r="127" spans="1:17" ht="14.25">
      <c r="A127" s="91" t="s">
        <v>219</v>
      </c>
      <c r="B127" s="94" t="s">
        <v>220</v>
      </c>
      <c r="C127" s="14">
        <f aca="true" t="shared" si="37" ref="C127:N131">$O127/12</f>
        <v>3544093</v>
      </c>
      <c r="D127" s="14">
        <f t="shared" si="37"/>
        <v>3544093</v>
      </c>
      <c r="E127" s="14">
        <f t="shared" si="37"/>
        <v>3544093</v>
      </c>
      <c r="F127" s="14">
        <f t="shared" si="37"/>
        <v>3544093</v>
      </c>
      <c r="G127" s="14">
        <f t="shared" si="37"/>
        <v>3544093</v>
      </c>
      <c r="H127" s="14">
        <f t="shared" si="37"/>
        <v>3544093</v>
      </c>
      <c r="I127" s="14">
        <f t="shared" si="37"/>
        <v>3544093</v>
      </c>
      <c r="J127" s="14">
        <f t="shared" si="37"/>
        <v>3544093</v>
      </c>
      <c r="K127" s="14">
        <f t="shared" si="37"/>
        <v>3544093</v>
      </c>
      <c r="L127" s="14">
        <f t="shared" si="37"/>
        <v>3544093</v>
      </c>
      <c r="M127" s="14">
        <f t="shared" si="37"/>
        <v>3544093</v>
      </c>
      <c r="N127" s="14">
        <f t="shared" si="37"/>
        <v>3544093</v>
      </c>
      <c r="O127" s="14">
        <f>'1.b melléklet'!F9</f>
        <v>42529116</v>
      </c>
      <c r="P127" s="124"/>
      <c r="Q127" s="84"/>
    </row>
    <row r="128" spans="1:17" ht="14.25">
      <c r="A128" s="91" t="s">
        <v>221</v>
      </c>
      <c r="B128" s="94" t="s">
        <v>222</v>
      </c>
      <c r="C128" s="14">
        <f t="shared" si="37"/>
        <v>2802346.75</v>
      </c>
      <c r="D128" s="14">
        <f t="shared" si="37"/>
        <v>2802346.75</v>
      </c>
      <c r="E128" s="14">
        <f t="shared" si="37"/>
        <v>2802346.75</v>
      </c>
      <c r="F128" s="14">
        <f t="shared" si="37"/>
        <v>2802346.75</v>
      </c>
      <c r="G128" s="14">
        <f t="shared" si="37"/>
        <v>2802346.75</v>
      </c>
      <c r="H128" s="14">
        <f t="shared" si="37"/>
        <v>2802346.75</v>
      </c>
      <c r="I128" s="14">
        <f t="shared" si="37"/>
        <v>2802346.75</v>
      </c>
      <c r="J128" s="14">
        <f t="shared" si="37"/>
        <v>2802346.75</v>
      </c>
      <c r="K128" s="14">
        <f t="shared" si="37"/>
        <v>2802346.75</v>
      </c>
      <c r="L128" s="14">
        <f t="shared" si="37"/>
        <v>2802346.75</v>
      </c>
      <c r="M128" s="14">
        <f t="shared" si="37"/>
        <v>2802346.75</v>
      </c>
      <c r="N128" s="14">
        <f>$O128/12-3</f>
        <v>2802343.75</v>
      </c>
      <c r="O128" s="14">
        <f>'1.b melléklet'!F10</f>
        <v>33628161</v>
      </c>
      <c r="P128" s="124"/>
      <c r="Q128" s="84"/>
    </row>
    <row r="129" spans="1:17" ht="14.25">
      <c r="A129" s="91" t="s">
        <v>223</v>
      </c>
      <c r="B129" s="94" t="s">
        <v>224</v>
      </c>
      <c r="C129" s="14">
        <f t="shared" si="37"/>
        <v>150000</v>
      </c>
      <c r="D129" s="14">
        <f t="shared" si="37"/>
        <v>150000</v>
      </c>
      <c r="E129" s="14">
        <f t="shared" si="37"/>
        <v>150000</v>
      </c>
      <c r="F129" s="14">
        <f t="shared" si="37"/>
        <v>150000</v>
      </c>
      <c r="G129" s="14">
        <f t="shared" si="37"/>
        <v>150000</v>
      </c>
      <c r="H129" s="14">
        <f t="shared" si="37"/>
        <v>150000</v>
      </c>
      <c r="I129" s="14">
        <f t="shared" si="37"/>
        <v>150000</v>
      </c>
      <c r="J129" s="14">
        <f t="shared" si="37"/>
        <v>150000</v>
      </c>
      <c r="K129" s="14">
        <f t="shared" si="37"/>
        <v>150000</v>
      </c>
      <c r="L129" s="14">
        <f t="shared" si="37"/>
        <v>150000</v>
      </c>
      <c r="M129" s="14">
        <f t="shared" si="37"/>
        <v>150000</v>
      </c>
      <c r="N129" s="14">
        <f t="shared" si="37"/>
        <v>150000</v>
      </c>
      <c r="O129" s="14">
        <f>'1.b melléklet'!F11</f>
        <v>1800000</v>
      </c>
      <c r="P129" s="124"/>
      <c r="Q129" s="84"/>
    </row>
    <row r="130" spans="1:17" ht="14.25">
      <c r="A130" s="91" t="s">
        <v>225</v>
      </c>
      <c r="B130" s="94" t="s">
        <v>226</v>
      </c>
      <c r="C130" s="14">
        <f t="shared" si="37"/>
        <v>812666.6666666666</v>
      </c>
      <c r="D130" s="14">
        <f t="shared" si="37"/>
        <v>812666.6666666666</v>
      </c>
      <c r="E130" s="14">
        <f t="shared" si="37"/>
        <v>812666.6666666666</v>
      </c>
      <c r="F130" s="14">
        <f t="shared" si="37"/>
        <v>812666.6666666666</v>
      </c>
      <c r="G130" s="14">
        <f t="shared" si="37"/>
        <v>812666.6666666666</v>
      </c>
      <c r="H130" s="14">
        <f t="shared" si="37"/>
        <v>812666.6666666666</v>
      </c>
      <c r="I130" s="14">
        <f t="shared" si="37"/>
        <v>812666.6666666666</v>
      </c>
      <c r="J130" s="14">
        <f t="shared" si="37"/>
        <v>812666.6666666666</v>
      </c>
      <c r="K130" s="14">
        <f t="shared" si="37"/>
        <v>812666.6666666666</v>
      </c>
      <c r="L130" s="14">
        <f t="shared" si="37"/>
        <v>812666.6666666666</v>
      </c>
      <c r="M130" s="14">
        <f t="shared" si="37"/>
        <v>812666.6666666666</v>
      </c>
      <c r="N130" s="14">
        <f t="shared" si="37"/>
        <v>812666.6666666666</v>
      </c>
      <c r="O130" s="14">
        <f>'1.b melléklet'!F12</f>
        <v>9752000</v>
      </c>
      <c r="P130" s="124"/>
      <c r="Q130" s="84"/>
    </row>
    <row r="131" spans="1:17" ht="14.25">
      <c r="A131" s="91" t="s">
        <v>227</v>
      </c>
      <c r="B131" s="94" t="s">
        <v>228</v>
      </c>
      <c r="C131" s="14">
        <f t="shared" si="37"/>
        <v>27738.833333333332</v>
      </c>
      <c r="D131" s="14">
        <f t="shared" si="37"/>
        <v>27738.833333333332</v>
      </c>
      <c r="E131" s="14">
        <f t="shared" si="37"/>
        <v>27738.833333333332</v>
      </c>
      <c r="F131" s="14">
        <f t="shared" si="37"/>
        <v>27738.833333333332</v>
      </c>
      <c r="G131" s="14">
        <f t="shared" si="37"/>
        <v>27738.833333333332</v>
      </c>
      <c r="H131" s="14">
        <f t="shared" si="37"/>
        <v>27738.833333333332</v>
      </c>
      <c r="I131" s="14">
        <f t="shared" si="37"/>
        <v>27738.833333333332</v>
      </c>
      <c r="J131" s="14">
        <f t="shared" si="37"/>
        <v>27738.833333333332</v>
      </c>
      <c r="K131" s="14">
        <f t="shared" si="37"/>
        <v>27738.833333333332</v>
      </c>
      <c r="L131" s="14">
        <f t="shared" si="37"/>
        <v>27738.833333333332</v>
      </c>
      <c r="M131" s="14">
        <f t="shared" si="37"/>
        <v>27738.833333333332</v>
      </c>
      <c r="N131" s="14">
        <f t="shared" si="37"/>
        <v>27738.833333333332</v>
      </c>
      <c r="O131" s="14">
        <f>'1.b melléklet'!F13</f>
        <v>332866</v>
      </c>
      <c r="P131" s="124"/>
      <c r="Q131" s="84"/>
    </row>
    <row r="132" spans="1:17" ht="14.25">
      <c r="A132" s="95" t="s">
        <v>424</v>
      </c>
      <c r="B132" s="114" t="s">
        <v>229</v>
      </c>
      <c r="C132" s="14">
        <f aca="true" t="shared" si="38" ref="C132:N132">SUM(C126:C131)</f>
        <v>13492598.416666668</v>
      </c>
      <c r="D132" s="14">
        <f t="shared" si="38"/>
        <v>13492598.416666668</v>
      </c>
      <c r="E132" s="14">
        <f t="shared" si="38"/>
        <v>13492598.416666668</v>
      </c>
      <c r="F132" s="14">
        <f t="shared" si="38"/>
        <v>13492598.416666668</v>
      </c>
      <c r="G132" s="14">
        <f t="shared" si="38"/>
        <v>13492598.416666668</v>
      </c>
      <c r="H132" s="14">
        <f t="shared" si="38"/>
        <v>13492598.416666668</v>
      </c>
      <c r="I132" s="14">
        <f t="shared" si="38"/>
        <v>13492598.416666668</v>
      </c>
      <c r="J132" s="14">
        <f t="shared" si="38"/>
        <v>13492598.416666668</v>
      </c>
      <c r="K132" s="14">
        <f t="shared" si="38"/>
        <v>13492598.416666668</v>
      </c>
      <c r="L132" s="14">
        <f t="shared" si="38"/>
        <v>13492598.416666668</v>
      </c>
      <c r="M132" s="14">
        <f t="shared" si="38"/>
        <v>13492598.416666668</v>
      </c>
      <c r="N132" s="14">
        <f t="shared" si="38"/>
        <v>13492599.416666668</v>
      </c>
      <c r="O132" s="129">
        <f>O126+O127+O128+O129+O130+O131</f>
        <v>161911181</v>
      </c>
      <c r="P132" s="124"/>
      <c r="Q132" s="84"/>
    </row>
    <row r="133" spans="1:17" ht="14.25">
      <c r="A133" s="91" t="s">
        <v>230</v>
      </c>
      <c r="B133" s="94" t="s">
        <v>231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>
        <f t="shared" si="27"/>
        <v>0</v>
      </c>
      <c r="P133" s="124"/>
      <c r="Q133" s="84"/>
    </row>
    <row r="134" spans="1:17" ht="26.25">
      <c r="A134" s="91" t="s">
        <v>232</v>
      </c>
      <c r="B134" s="94" t="s">
        <v>233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>
        <f t="shared" si="27"/>
        <v>0</v>
      </c>
      <c r="P134" s="124"/>
      <c r="Q134" s="84"/>
    </row>
    <row r="135" spans="1:17" ht="26.25">
      <c r="A135" s="91" t="s">
        <v>386</v>
      </c>
      <c r="B135" s="94" t="s">
        <v>234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>
        <f t="shared" si="27"/>
        <v>0</v>
      </c>
      <c r="P135" s="124"/>
      <c r="Q135" s="84"/>
    </row>
    <row r="136" spans="1:17" ht="26.25">
      <c r="A136" s="91" t="s">
        <v>387</v>
      </c>
      <c r="B136" s="94" t="s">
        <v>235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>
        <f t="shared" si="27"/>
        <v>0</v>
      </c>
      <c r="P136" s="124"/>
      <c r="Q136" s="84"/>
    </row>
    <row r="137" spans="1:17" ht="14.25" customHeight="1">
      <c r="A137" s="91" t="s">
        <v>388</v>
      </c>
      <c r="B137" s="94" t="s">
        <v>236</v>
      </c>
      <c r="C137" s="14">
        <f>$O137/12</f>
        <v>4199959.583333333</v>
      </c>
      <c r="D137" s="14">
        <f>$O137/12</f>
        <v>4199959.583333333</v>
      </c>
      <c r="E137" s="14">
        <f aca="true" t="shared" si="39" ref="E137:M137">$O137/12</f>
        <v>4199959.583333333</v>
      </c>
      <c r="F137" s="14">
        <f t="shared" si="39"/>
        <v>4199959.583333333</v>
      </c>
      <c r="G137" s="14">
        <f t="shared" si="39"/>
        <v>4199959.583333333</v>
      </c>
      <c r="H137" s="14">
        <f t="shared" si="39"/>
        <v>4199959.583333333</v>
      </c>
      <c r="I137" s="14">
        <f t="shared" si="39"/>
        <v>4199959.583333333</v>
      </c>
      <c r="J137" s="14">
        <f t="shared" si="39"/>
        <v>4199959.583333333</v>
      </c>
      <c r="K137" s="14">
        <f t="shared" si="39"/>
        <v>4199959.583333333</v>
      </c>
      <c r="L137" s="14">
        <f t="shared" si="39"/>
        <v>4199959.583333333</v>
      </c>
      <c r="M137" s="14">
        <f t="shared" si="39"/>
        <v>4199959.583333333</v>
      </c>
      <c r="N137" s="14">
        <f>$O137/12-5</f>
        <v>4199954.583333333</v>
      </c>
      <c r="O137" s="14">
        <f>'1.b melléklet'!F19</f>
        <v>50399515</v>
      </c>
      <c r="P137" s="124"/>
      <c r="Q137" s="84"/>
    </row>
    <row r="138" spans="1:17" s="128" customFormat="1" ht="14.25">
      <c r="A138" s="98" t="s">
        <v>425</v>
      </c>
      <c r="B138" s="105" t="s">
        <v>237</v>
      </c>
      <c r="C138" s="16">
        <f aca="true" t="shared" si="40" ref="C138:N138">SUM(C132:C137)</f>
        <v>17692558</v>
      </c>
      <c r="D138" s="16">
        <f t="shared" si="40"/>
        <v>17692558</v>
      </c>
      <c r="E138" s="16">
        <f t="shared" si="40"/>
        <v>17692558</v>
      </c>
      <c r="F138" s="16">
        <f t="shared" si="40"/>
        <v>17692558</v>
      </c>
      <c r="G138" s="16">
        <f t="shared" si="40"/>
        <v>17692558</v>
      </c>
      <c r="H138" s="16">
        <f t="shared" si="40"/>
        <v>17692558</v>
      </c>
      <c r="I138" s="16">
        <f t="shared" si="40"/>
        <v>17692558</v>
      </c>
      <c r="J138" s="16">
        <f t="shared" si="40"/>
        <v>17692558</v>
      </c>
      <c r="K138" s="16">
        <f t="shared" si="40"/>
        <v>17692558</v>
      </c>
      <c r="L138" s="16">
        <f t="shared" si="40"/>
        <v>17692558</v>
      </c>
      <c r="M138" s="16">
        <f t="shared" si="40"/>
        <v>17692558</v>
      </c>
      <c r="N138" s="16">
        <f t="shared" si="40"/>
        <v>17692554</v>
      </c>
      <c r="O138" s="16">
        <f>O137+O132</f>
        <v>212310696</v>
      </c>
      <c r="P138" s="126"/>
      <c r="Q138" s="127"/>
    </row>
    <row r="139" spans="1:17" ht="14.25">
      <c r="A139" s="91" t="s">
        <v>392</v>
      </c>
      <c r="B139" s="94" t="s">
        <v>246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>
        <f aca="true" t="shared" si="41" ref="O139:O201">SUM(C139:N139)</f>
        <v>0</v>
      </c>
      <c r="P139" s="124"/>
      <c r="Q139" s="84"/>
    </row>
    <row r="140" spans="1:17" ht="14.25">
      <c r="A140" s="91" t="s">
        <v>393</v>
      </c>
      <c r="B140" s="94" t="s">
        <v>247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>
        <f t="shared" si="41"/>
        <v>0</v>
      </c>
      <c r="P140" s="124"/>
      <c r="Q140" s="84"/>
    </row>
    <row r="141" spans="1:17" ht="14.25">
      <c r="A141" s="95" t="s">
        <v>427</v>
      </c>
      <c r="B141" s="114" t="s">
        <v>248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>
        <f t="shared" si="41"/>
        <v>0</v>
      </c>
      <c r="P141" s="124"/>
      <c r="Q141" s="84"/>
    </row>
    <row r="142" spans="1:17" ht="14.25">
      <c r="A142" s="91" t="s">
        <v>394</v>
      </c>
      <c r="B142" s="94" t="s">
        <v>249</v>
      </c>
      <c r="C142" s="14">
        <f aca="true" t="shared" si="42" ref="C142:N144">$P142/12</f>
        <v>0</v>
      </c>
      <c r="D142" s="14">
        <f t="shared" si="42"/>
        <v>0</v>
      </c>
      <c r="E142" s="14">
        <f t="shared" si="42"/>
        <v>0</v>
      </c>
      <c r="F142" s="14">
        <f t="shared" si="42"/>
        <v>0</v>
      </c>
      <c r="G142" s="14">
        <f t="shared" si="42"/>
        <v>0</v>
      </c>
      <c r="H142" s="14">
        <f t="shared" si="42"/>
        <v>0</v>
      </c>
      <c r="I142" s="14">
        <f t="shared" si="42"/>
        <v>0</v>
      </c>
      <c r="J142" s="14">
        <f t="shared" si="42"/>
        <v>0</v>
      </c>
      <c r="K142" s="14">
        <f t="shared" si="42"/>
        <v>0</v>
      </c>
      <c r="L142" s="14">
        <f t="shared" si="42"/>
        <v>0</v>
      </c>
      <c r="M142" s="14">
        <f t="shared" si="42"/>
        <v>0</v>
      </c>
      <c r="N142" s="14">
        <f t="shared" si="42"/>
        <v>0</v>
      </c>
      <c r="O142" s="14">
        <f t="shared" si="41"/>
        <v>0</v>
      </c>
      <c r="P142" s="124"/>
      <c r="Q142" s="84"/>
    </row>
    <row r="143" spans="1:17" ht="14.25">
      <c r="A143" s="91" t="s">
        <v>395</v>
      </c>
      <c r="B143" s="94" t="s">
        <v>250</v>
      </c>
      <c r="C143" s="14">
        <f t="shared" si="42"/>
        <v>0</v>
      </c>
      <c r="D143" s="14">
        <f t="shared" si="42"/>
        <v>0</v>
      </c>
      <c r="E143" s="14">
        <f t="shared" si="42"/>
        <v>0</v>
      </c>
      <c r="F143" s="14">
        <f t="shared" si="42"/>
        <v>0</v>
      </c>
      <c r="G143" s="14">
        <f t="shared" si="42"/>
        <v>0</v>
      </c>
      <c r="H143" s="14">
        <f t="shared" si="42"/>
        <v>0</v>
      </c>
      <c r="I143" s="14">
        <f t="shared" si="42"/>
        <v>0</v>
      </c>
      <c r="J143" s="14">
        <f t="shared" si="42"/>
        <v>0</v>
      </c>
      <c r="K143" s="14">
        <f t="shared" si="42"/>
        <v>0</v>
      </c>
      <c r="L143" s="14">
        <f t="shared" si="42"/>
        <v>0</v>
      </c>
      <c r="M143" s="14">
        <f t="shared" si="42"/>
        <v>0</v>
      </c>
      <c r="N143" s="14">
        <f t="shared" si="42"/>
        <v>0</v>
      </c>
      <c r="O143" s="14">
        <f t="shared" si="41"/>
        <v>0</v>
      </c>
      <c r="P143" s="124"/>
      <c r="Q143" s="84"/>
    </row>
    <row r="144" spans="1:17" ht="14.25">
      <c r="A144" s="91" t="s">
        <v>396</v>
      </c>
      <c r="B144" s="94" t="s">
        <v>251</v>
      </c>
      <c r="C144" s="14">
        <f t="shared" si="42"/>
        <v>0</v>
      </c>
      <c r="D144" s="14">
        <f t="shared" si="42"/>
        <v>0</v>
      </c>
      <c r="E144" s="14">
        <f t="shared" si="42"/>
        <v>0</v>
      </c>
      <c r="F144" s="14">
        <f t="shared" si="42"/>
        <v>0</v>
      </c>
      <c r="G144" s="14">
        <f t="shared" si="42"/>
        <v>0</v>
      </c>
      <c r="H144" s="14">
        <f t="shared" si="42"/>
        <v>0</v>
      </c>
      <c r="I144" s="14">
        <f t="shared" si="42"/>
        <v>0</v>
      </c>
      <c r="J144" s="14">
        <f t="shared" si="42"/>
        <v>0</v>
      </c>
      <c r="K144" s="14">
        <f t="shared" si="42"/>
        <v>0</v>
      </c>
      <c r="L144" s="14">
        <f t="shared" si="42"/>
        <v>0</v>
      </c>
      <c r="M144" s="14">
        <f t="shared" si="42"/>
        <v>0</v>
      </c>
      <c r="N144" s="14">
        <f t="shared" si="42"/>
        <v>0</v>
      </c>
      <c r="O144" s="14">
        <f t="shared" si="41"/>
        <v>0</v>
      </c>
      <c r="P144" s="124"/>
      <c r="Q144" s="84"/>
    </row>
    <row r="145" spans="1:17" ht="14.25">
      <c r="A145" s="91" t="s">
        <v>397</v>
      </c>
      <c r="B145" s="94" t="s">
        <v>252</v>
      </c>
      <c r="C145" s="14"/>
      <c r="D145" s="14"/>
      <c r="E145" s="14">
        <v>4100001</v>
      </c>
      <c r="F145" s="14">
        <f aca="true" t="shared" si="43" ref="F145:M145">$O145/12</f>
        <v>1366666.6666666667</v>
      </c>
      <c r="G145" s="14">
        <f t="shared" si="43"/>
        <v>1366666.6666666667</v>
      </c>
      <c r="H145" s="14">
        <f t="shared" si="43"/>
        <v>1366666.6666666667</v>
      </c>
      <c r="I145" s="14">
        <f t="shared" si="43"/>
        <v>1366666.6666666667</v>
      </c>
      <c r="J145" s="14">
        <f t="shared" si="43"/>
        <v>1366666.6666666667</v>
      </c>
      <c r="K145" s="14">
        <f t="shared" si="43"/>
        <v>1366666.6666666667</v>
      </c>
      <c r="L145" s="14">
        <f t="shared" si="43"/>
        <v>1366666.6666666667</v>
      </c>
      <c r="M145" s="14">
        <f t="shared" si="43"/>
        <v>1366666.6666666667</v>
      </c>
      <c r="N145" s="14">
        <f>$O145/12-4+3</f>
        <v>1366665.6666666667</v>
      </c>
      <c r="O145" s="14">
        <f>'1.b melléklet'!F33</f>
        <v>16400000</v>
      </c>
      <c r="P145" s="124"/>
      <c r="Q145" s="84"/>
    </row>
    <row r="146" spans="1:17" ht="14.25">
      <c r="A146" s="91" t="s">
        <v>398</v>
      </c>
      <c r="B146" s="94" t="s">
        <v>253</v>
      </c>
      <c r="C146" s="14">
        <f aca="true" t="shared" si="44" ref="C146:N151">$O146/12</f>
        <v>0</v>
      </c>
      <c r="D146" s="14">
        <f t="shared" si="44"/>
        <v>0</v>
      </c>
      <c r="E146" s="14">
        <f t="shared" si="44"/>
        <v>0</v>
      </c>
      <c r="F146" s="14">
        <f t="shared" si="44"/>
        <v>0</v>
      </c>
      <c r="G146" s="14">
        <f t="shared" si="44"/>
        <v>0</v>
      </c>
      <c r="H146" s="14">
        <f t="shared" si="44"/>
        <v>0</v>
      </c>
      <c r="I146" s="14">
        <f t="shared" si="44"/>
        <v>0</v>
      </c>
      <c r="J146" s="14">
        <f t="shared" si="44"/>
        <v>0</v>
      </c>
      <c r="K146" s="14">
        <f t="shared" si="44"/>
        <v>0</v>
      </c>
      <c r="L146" s="14">
        <f t="shared" si="44"/>
        <v>0</v>
      </c>
      <c r="M146" s="14">
        <f t="shared" si="44"/>
        <v>0</v>
      </c>
      <c r="N146" s="14">
        <f t="shared" si="44"/>
        <v>0</v>
      </c>
      <c r="O146" s="14">
        <f>'1.b melléklet'!F34</f>
        <v>0</v>
      </c>
      <c r="P146" s="124"/>
      <c r="Q146" s="84"/>
    </row>
    <row r="147" spans="1:17" ht="14.25">
      <c r="A147" s="91" t="s">
        <v>254</v>
      </c>
      <c r="B147" s="94" t="s">
        <v>255</v>
      </c>
      <c r="C147" s="14">
        <f t="shared" si="44"/>
        <v>0</v>
      </c>
      <c r="D147" s="14">
        <f t="shared" si="44"/>
        <v>0</v>
      </c>
      <c r="E147" s="14">
        <f t="shared" si="44"/>
        <v>0</v>
      </c>
      <c r="F147" s="14">
        <f t="shared" si="44"/>
        <v>0</v>
      </c>
      <c r="G147" s="14">
        <f t="shared" si="44"/>
        <v>0</v>
      </c>
      <c r="H147" s="14">
        <f t="shared" si="44"/>
        <v>0</v>
      </c>
      <c r="I147" s="14">
        <f t="shared" si="44"/>
        <v>0</v>
      </c>
      <c r="J147" s="14">
        <f t="shared" si="44"/>
        <v>0</v>
      </c>
      <c r="K147" s="14">
        <f t="shared" si="44"/>
        <v>0</v>
      </c>
      <c r="L147" s="14">
        <f t="shared" si="44"/>
        <v>0</v>
      </c>
      <c r="M147" s="14">
        <f t="shared" si="44"/>
        <v>0</v>
      </c>
      <c r="N147" s="14">
        <f t="shared" si="44"/>
        <v>0</v>
      </c>
      <c r="O147" s="14">
        <f>'1.b melléklet'!F35</f>
        <v>0</v>
      </c>
      <c r="P147" s="124"/>
      <c r="Q147" s="84"/>
    </row>
    <row r="148" spans="1:17" ht="14.25">
      <c r="A148" s="91" t="s">
        <v>399</v>
      </c>
      <c r="B148" s="94" t="s">
        <v>256</v>
      </c>
      <c r="C148" s="14"/>
      <c r="D148" s="14"/>
      <c r="E148" s="14">
        <f>1250001-257288</f>
        <v>992713</v>
      </c>
      <c r="F148" s="14">
        <f>$O148/12+257288</f>
        <v>673954.6666666667</v>
      </c>
      <c r="G148" s="14">
        <f t="shared" si="44"/>
        <v>416666.6666666667</v>
      </c>
      <c r="H148" s="14">
        <f t="shared" si="44"/>
        <v>416666.6666666667</v>
      </c>
      <c r="I148" s="14">
        <f t="shared" si="44"/>
        <v>416666.6666666667</v>
      </c>
      <c r="J148" s="14">
        <f t="shared" si="44"/>
        <v>416666.6666666667</v>
      </c>
      <c r="K148" s="14">
        <f t="shared" si="44"/>
        <v>416666.6666666667</v>
      </c>
      <c r="L148" s="14">
        <f t="shared" si="44"/>
        <v>416666.6666666667</v>
      </c>
      <c r="M148" s="14">
        <f t="shared" si="44"/>
        <v>416666.6666666667</v>
      </c>
      <c r="N148" s="14">
        <f>$O148/12-4+3</f>
        <v>416665.6666666667</v>
      </c>
      <c r="O148" s="14">
        <f>'1.b melléklet'!F36</f>
        <v>5000000</v>
      </c>
      <c r="P148" s="124"/>
      <c r="Q148" s="84"/>
    </row>
    <row r="149" spans="1:17" ht="14.25">
      <c r="A149" s="91" t="s">
        <v>400</v>
      </c>
      <c r="B149" s="94" t="s">
        <v>257</v>
      </c>
      <c r="C149" s="14">
        <f t="shared" si="44"/>
        <v>45000</v>
      </c>
      <c r="D149" s="14">
        <f t="shared" si="44"/>
        <v>45000</v>
      </c>
      <c r="E149" s="14">
        <f t="shared" si="44"/>
        <v>45000</v>
      </c>
      <c r="F149" s="14">
        <f t="shared" si="44"/>
        <v>45000</v>
      </c>
      <c r="G149" s="14">
        <f t="shared" si="44"/>
        <v>45000</v>
      </c>
      <c r="H149" s="14">
        <f t="shared" si="44"/>
        <v>45000</v>
      </c>
      <c r="I149" s="14">
        <f t="shared" si="44"/>
        <v>45000</v>
      </c>
      <c r="J149" s="14">
        <f t="shared" si="44"/>
        <v>45000</v>
      </c>
      <c r="K149" s="14">
        <f t="shared" si="44"/>
        <v>45000</v>
      </c>
      <c r="L149" s="14">
        <f t="shared" si="44"/>
        <v>45000</v>
      </c>
      <c r="M149" s="14">
        <f t="shared" si="44"/>
        <v>45000</v>
      </c>
      <c r="N149" s="14">
        <f t="shared" si="44"/>
        <v>45000</v>
      </c>
      <c r="O149" s="14">
        <f>'1.b melléklet'!F37</f>
        <v>540000</v>
      </c>
      <c r="P149" s="124"/>
      <c r="Q149" s="84"/>
    </row>
    <row r="150" spans="1:17" ht="14.25">
      <c r="A150" s="95" t="s">
        <v>428</v>
      </c>
      <c r="B150" s="114" t="s">
        <v>258</v>
      </c>
      <c r="C150" s="14">
        <f aca="true" t="shared" si="45" ref="C150:N150">C145+C148+C149+1</f>
        <v>45001</v>
      </c>
      <c r="D150" s="14">
        <f t="shared" si="45"/>
        <v>45001</v>
      </c>
      <c r="E150" s="14">
        <f t="shared" si="45"/>
        <v>5137715</v>
      </c>
      <c r="F150" s="14">
        <f t="shared" si="45"/>
        <v>2085622.3333333335</v>
      </c>
      <c r="G150" s="14">
        <f t="shared" si="45"/>
        <v>1828334.3333333335</v>
      </c>
      <c r="H150" s="14">
        <f t="shared" si="45"/>
        <v>1828334.3333333335</v>
      </c>
      <c r="I150" s="14">
        <f t="shared" si="45"/>
        <v>1828334.3333333335</v>
      </c>
      <c r="J150" s="14">
        <f t="shared" si="45"/>
        <v>1828334.3333333335</v>
      </c>
      <c r="K150" s="14">
        <f t="shared" si="45"/>
        <v>1828334.3333333335</v>
      </c>
      <c r="L150" s="14">
        <f t="shared" si="45"/>
        <v>1828334.3333333335</v>
      </c>
      <c r="M150" s="14">
        <f t="shared" si="45"/>
        <v>1828334.3333333335</v>
      </c>
      <c r="N150" s="14">
        <f t="shared" si="45"/>
        <v>1828332.3333333335</v>
      </c>
      <c r="O150" s="14">
        <f>O145+O148+O149</f>
        <v>21940000</v>
      </c>
      <c r="P150" s="124"/>
      <c r="Q150" s="84"/>
    </row>
    <row r="151" spans="1:17" ht="14.25">
      <c r="A151" s="91" t="s">
        <v>401</v>
      </c>
      <c r="B151" s="94" t="s">
        <v>259</v>
      </c>
      <c r="C151" s="14">
        <f t="shared" si="44"/>
        <v>59666.666666666664</v>
      </c>
      <c r="D151" s="14">
        <f t="shared" si="44"/>
        <v>59666.666666666664</v>
      </c>
      <c r="E151" s="14">
        <f t="shared" si="44"/>
        <v>59666.666666666664</v>
      </c>
      <c r="F151" s="14">
        <f t="shared" si="44"/>
        <v>59666.666666666664</v>
      </c>
      <c r="G151" s="14">
        <f t="shared" si="44"/>
        <v>59666.666666666664</v>
      </c>
      <c r="H151" s="14">
        <f t="shared" si="44"/>
        <v>59666.666666666664</v>
      </c>
      <c r="I151" s="14">
        <f t="shared" si="44"/>
        <v>59666.666666666664</v>
      </c>
      <c r="J151" s="14">
        <f t="shared" si="44"/>
        <v>59666.666666666664</v>
      </c>
      <c r="K151" s="14">
        <f t="shared" si="44"/>
        <v>59666.666666666664</v>
      </c>
      <c r="L151" s="14">
        <f t="shared" si="44"/>
        <v>59666.666666666664</v>
      </c>
      <c r="M151" s="14">
        <f t="shared" si="44"/>
        <v>59666.666666666664</v>
      </c>
      <c r="N151" s="14">
        <f>$O151/12-4</f>
        <v>59662.666666666664</v>
      </c>
      <c r="O151" s="14">
        <f>'1.b melléklet'!F39</f>
        <v>716000</v>
      </c>
      <c r="P151" s="124"/>
      <c r="Q151" s="84"/>
    </row>
    <row r="152" spans="1:17" s="128" customFormat="1" ht="14.25">
      <c r="A152" s="98" t="s">
        <v>429</v>
      </c>
      <c r="B152" s="105" t="s">
        <v>260</v>
      </c>
      <c r="C152" s="16">
        <f>SUM(C150+C151)</f>
        <v>104667.66666666666</v>
      </c>
      <c r="D152" s="16">
        <f aca="true" t="shared" si="46" ref="D152:N152">SUM(D150+D151)</f>
        <v>104667.66666666666</v>
      </c>
      <c r="E152" s="16">
        <f t="shared" si="46"/>
        <v>5197381.666666667</v>
      </c>
      <c r="F152" s="16">
        <f t="shared" si="46"/>
        <v>2145289</v>
      </c>
      <c r="G152" s="16">
        <f t="shared" si="46"/>
        <v>1888001.0000000002</v>
      </c>
      <c r="H152" s="16">
        <f t="shared" si="46"/>
        <v>1888001.0000000002</v>
      </c>
      <c r="I152" s="16">
        <f t="shared" si="46"/>
        <v>1888001.0000000002</v>
      </c>
      <c r="J152" s="16">
        <f t="shared" si="46"/>
        <v>1888001.0000000002</v>
      </c>
      <c r="K152" s="16">
        <f t="shared" si="46"/>
        <v>1888001.0000000002</v>
      </c>
      <c r="L152" s="16">
        <f t="shared" si="46"/>
        <v>1888001.0000000002</v>
      </c>
      <c r="M152" s="16">
        <f t="shared" si="46"/>
        <v>1888001.0000000002</v>
      </c>
      <c r="N152" s="16">
        <f t="shared" si="46"/>
        <v>1887995.0000000002</v>
      </c>
      <c r="O152" s="16">
        <f>O150+O151</f>
        <v>22656000</v>
      </c>
      <c r="P152" s="126"/>
      <c r="Q152" s="127"/>
    </row>
    <row r="153" spans="1:17" ht="14.25">
      <c r="A153" s="15" t="s">
        <v>261</v>
      </c>
      <c r="B153" s="94" t="s">
        <v>262</v>
      </c>
      <c r="C153" s="14">
        <f aca="true" t="shared" si="47" ref="C153:N155">$P153/12</f>
        <v>0</v>
      </c>
      <c r="D153" s="14">
        <f t="shared" si="47"/>
        <v>0</v>
      </c>
      <c r="E153" s="14">
        <f t="shared" si="47"/>
        <v>0</v>
      </c>
      <c r="F153" s="14">
        <f t="shared" si="47"/>
        <v>0</v>
      </c>
      <c r="G153" s="14">
        <f t="shared" si="47"/>
        <v>0</v>
      </c>
      <c r="H153" s="14">
        <f t="shared" si="47"/>
        <v>0</v>
      </c>
      <c r="I153" s="14">
        <f t="shared" si="47"/>
        <v>0</v>
      </c>
      <c r="J153" s="14">
        <f t="shared" si="47"/>
        <v>0</v>
      </c>
      <c r="K153" s="14">
        <f t="shared" si="47"/>
        <v>0</v>
      </c>
      <c r="L153" s="14">
        <f t="shared" si="47"/>
        <v>0</v>
      </c>
      <c r="M153" s="14">
        <f t="shared" si="47"/>
        <v>0</v>
      </c>
      <c r="N153" s="14">
        <f t="shared" si="47"/>
        <v>0</v>
      </c>
      <c r="O153" s="14">
        <f t="shared" si="41"/>
        <v>0</v>
      </c>
      <c r="P153" s="124"/>
      <c r="Q153" s="84"/>
    </row>
    <row r="154" spans="1:17" ht="14.25">
      <c r="A154" s="15" t="s">
        <v>402</v>
      </c>
      <c r="B154" s="94" t="s">
        <v>263</v>
      </c>
      <c r="C154" s="14">
        <f>$O154/12</f>
        <v>585992.0833333334</v>
      </c>
      <c r="D154" s="14"/>
      <c r="E154" s="14">
        <v>0</v>
      </c>
      <c r="F154" s="14">
        <f>$O154/12</f>
        <v>585992.0833333334</v>
      </c>
      <c r="G154" s="14"/>
      <c r="H154" s="14"/>
      <c r="I154" s="14"/>
      <c r="J154" s="14"/>
      <c r="K154" s="14"/>
      <c r="L154" s="14">
        <v>1659921</v>
      </c>
      <c r="M154" s="14">
        <v>2100000</v>
      </c>
      <c r="N154" s="14">
        <v>2100000</v>
      </c>
      <c r="O154" s="14">
        <f>'1.b melléklet'!F42</f>
        <v>7031905</v>
      </c>
      <c r="P154" s="124"/>
      <c r="Q154" s="84"/>
    </row>
    <row r="155" spans="1:17" ht="14.25">
      <c r="A155" s="15" t="s">
        <v>403</v>
      </c>
      <c r="B155" s="94" t="s">
        <v>264</v>
      </c>
      <c r="C155" s="14">
        <f t="shared" si="47"/>
        <v>0</v>
      </c>
      <c r="D155" s="14">
        <f t="shared" si="47"/>
        <v>0</v>
      </c>
      <c r="E155" s="14">
        <f t="shared" si="47"/>
        <v>0</v>
      </c>
      <c r="F155" s="14">
        <f t="shared" si="47"/>
        <v>0</v>
      </c>
      <c r="G155" s="14">
        <f t="shared" si="47"/>
        <v>0</v>
      </c>
      <c r="H155" s="14">
        <f t="shared" si="47"/>
        <v>0</v>
      </c>
      <c r="I155" s="14">
        <f t="shared" si="47"/>
        <v>0</v>
      </c>
      <c r="J155" s="14">
        <f t="shared" si="47"/>
        <v>0</v>
      </c>
      <c r="K155" s="14">
        <f t="shared" si="47"/>
        <v>0</v>
      </c>
      <c r="L155" s="14">
        <f t="shared" si="47"/>
        <v>0</v>
      </c>
      <c r="M155" s="14"/>
      <c r="N155" s="14">
        <f t="shared" si="47"/>
        <v>0</v>
      </c>
      <c r="O155" s="14">
        <f t="shared" si="41"/>
        <v>0</v>
      </c>
      <c r="P155" s="124"/>
      <c r="Q155" s="84"/>
    </row>
    <row r="156" spans="1:17" ht="14.25">
      <c r="A156" s="15" t="s">
        <v>404</v>
      </c>
      <c r="B156" s="94" t="s">
        <v>265</v>
      </c>
      <c r="C156" s="14">
        <f>$O156/12</f>
        <v>538856.9166666666</v>
      </c>
      <c r="D156" s="14"/>
      <c r="E156" s="14"/>
      <c r="F156" s="14">
        <f>$O156/12</f>
        <v>538856.9166666666</v>
      </c>
      <c r="G156" s="14"/>
      <c r="H156" s="14"/>
      <c r="I156" s="14"/>
      <c r="J156" s="14"/>
      <c r="K156" s="14">
        <v>1320347</v>
      </c>
      <c r="L156" s="14">
        <v>1649459</v>
      </c>
      <c r="M156" s="14">
        <v>1209380</v>
      </c>
      <c r="N156" s="14">
        <v>1209383</v>
      </c>
      <c r="O156" s="14">
        <f>'1.b melléklet'!F44</f>
        <v>6466283</v>
      </c>
      <c r="P156" s="124"/>
      <c r="Q156" s="84"/>
    </row>
    <row r="157" spans="1:17" ht="14.25">
      <c r="A157" s="15" t="s">
        <v>266</v>
      </c>
      <c r="B157" s="94" t="s">
        <v>267</v>
      </c>
      <c r="C157" s="14">
        <f aca="true" t="shared" si="48" ref="C157:N162">$P157/12</f>
        <v>0</v>
      </c>
      <c r="D157" s="14">
        <f t="shared" si="48"/>
        <v>0</v>
      </c>
      <c r="E157" s="14">
        <f t="shared" si="48"/>
        <v>0</v>
      </c>
      <c r="F157" s="14">
        <f t="shared" si="48"/>
        <v>0</v>
      </c>
      <c r="G157" s="14">
        <f t="shared" si="48"/>
        <v>0</v>
      </c>
      <c r="H157" s="14">
        <f t="shared" si="48"/>
        <v>0</v>
      </c>
      <c r="I157" s="14">
        <f t="shared" si="48"/>
        <v>0</v>
      </c>
      <c r="J157" s="14">
        <f t="shared" si="48"/>
        <v>0</v>
      </c>
      <c r="K157" s="14">
        <f t="shared" si="48"/>
        <v>0</v>
      </c>
      <c r="L157" s="14">
        <f t="shared" si="48"/>
        <v>0</v>
      </c>
      <c r="M157" s="14">
        <f t="shared" si="48"/>
        <v>0</v>
      </c>
      <c r="N157" s="14">
        <f t="shared" si="48"/>
        <v>0</v>
      </c>
      <c r="O157" s="14"/>
      <c r="P157" s="124"/>
      <c r="Q157" s="84"/>
    </row>
    <row r="158" spans="1:17" ht="14.25">
      <c r="A158" s="15" t="s">
        <v>268</v>
      </c>
      <c r="B158" s="94" t="s">
        <v>269</v>
      </c>
      <c r="C158" s="14">
        <f t="shared" si="48"/>
        <v>0</v>
      </c>
      <c r="D158" s="14">
        <f t="shared" si="48"/>
        <v>0</v>
      </c>
      <c r="E158" s="14">
        <f t="shared" si="48"/>
        <v>0</v>
      </c>
      <c r="F158" s="14">
        <f t="shared" si="48"/>
        <v>0</v>
      </c>
      <c r="G158" s="14">
        <f t="shared" si="48"/>
        <v>0</v>
      </c>
      <c r="H158" s="14">
        <f t="shared" si="48"/>
        <v>0</v>
      </c>
      <c r="I158" s="14">
        <f t="shared" si="48"/>
        <v>0</v>
      </c>
      <c r="J158" s="14">
        <f t="shared" si="48"/>
        <v>0</v>
      </c>
      <c r="K158" s="14">
        <f t="shared" si="48"/>
        <v>0</v>
      </c>
      <c r="L158" s="14">
        <f t="shared" si="48"/>
        <v>0</v>
      </c>
      <c r="M158" s="14">
        <f t="shared" si="48"/>
        <v>0</v>
      </c>
      <c r="N158" s="14">
        <f t="shared" si="48"/>
        <v>0</v>
      </c>
      <c r="O158" s="14">
        <f t="shared" si="41"/>
        <v>0</v>
      </c>
      <c r="P158" s="124"/>
      <c r="Q158" s="84"/>
    </row>
    <row r="159" spans="1:17" ht="14.25">
      <c r="A159" s="15" t="s">
        <v>270</v>
      </c>
      <c r="B159" s="94" t="s">
        <v>271</v>
      </c>
      <c r="C159" s="14">
        <f t="shared" si="48"/>
        <v>0</v>
      </c>
      <c r="D159" s="14">
        <f t="shared" si="48"/>
        <v>0</v>
      </c>
      <c r="E159" s="14">
        <f t="shared" si="48"/>
        <v>0</v>
      </c>
      <c r="F159" s="14">
        <f t="shared" si="48"/>
        <v>0</v>
      </c>
      <c r="G159" s="14">
        <f t="shared" si="48"/>
        <v>0</v>
      </c>
      <c r="H159" s="14">
        <f t="shared" si="48"/>
        <v>0</v>
      </c>
      <c r="I159" s="14">
        <f t="shared" si="48"/>
        <v>0</v>
      </c>
      <c r="J159" s="14">
        <f t="shared" si="48"/>
        <v>0</v>
      </c>
      <c r="K159" s="14">
        <f t="shared" si="48"/>
        <v>0</v>
      </c>
      <c r="L159" s="14">
        <f t="shared" si="48"/>
        <v>0</v>
      </c>
      <c r="M159" s="14">
        <f t="shared" si="48"/>
        <v>0</v>
      </c>
      <c r="N159" s="14">
        <f t="shared" si="48"/>
        <v>0</v>
      </c>
      <c r="O159" s="14">
        <f t="shared" si="41"/>
        <v>0</v>
      </c>
      <c r="P159" s="124"/>
      <c r="Q159" s="84"/>
    </row>
    <row r="160" spans="1:17" ht="14.25">
      <c r="A160" s="15" t="s">
        <v>405</v>
      </c>
      <c r="B160" s="94" t="s">
        <v>272</v>
      </c>
      <c r="C160" s="14">
        <f t="shared" si="48"/>
        <v>0</v>
      </c>
      <c r="D160" s="14">
        <f t="shared" si="48"/>
        <v>0</v>
      </c>
      <c r="E160" s="14">
        <f t="shared" si="48"/>
        <v>0</v>
      </c>
      <c r="F160" s="14">
        <f t="shared" si="48"/>
        <v>0</v>
      </c>
      <c r="G160" s="14">
        <f t="shared" si="48"/>
        <v>0</v>
      </c>
      <c r="H160" s="14">
        <f t="shared" si="48"/>
        <v>0</v>
      </c>
      <c r="I160" s="14">
        <f t="shared" si="48"/>
        <v>0</v>
      </c>
      <c r="J160" s="14">
        <f t="shared" si="48"/>
        <v>0</v>
      </c>
      <c r="K160" s="14">
        <f t="shared" si="48"/>
        <v>0</v>
      </c>
      <c r="L160" s="14">
        <f t="shared" si="48"/>
        <v>0</v>
      </c>
      <c r="M160" s="14">
        <f t="shared" si="48"/>
        <v>0</v>
      </c>
      <c r="N160" s="14">
        <f t="shared" si="48"/>
        <v>0</v>
      </c>
      <c r="O160" s="14">
        <f t="shared" si="41"/>
        <v>0</v>
      </c>
      <c r="P160" s="124"/>
      <c r="Q160" s="84"/>
    </row>
    <row r="161" spans="1:17" ht="14.25">
      <c r="A161" s="15" t="s">
        <v>406</v>
      </c>
      <c r="B161" s="94" t="s">
        <v>273</v>
      </c>
      <c r="C161" s="14">
        <f t="shared" si="48"/>
        <v>0</v>
      </c>
      <c r="D161" s="14">
        <f t="shared" si="48"/>
        <v>0</v>
      </c>
      <c r="E161" s="14">
        <f t="shared" si="48"/>
        <v>0</v>
      </c>
      <c r="F161" s="14">
        <f t="shared" si="48"/>
        <v>0</v>
      </c>
      <c r="G161" s="14">
        <f t="shared" si="48"/>
        <v>0</v>
      </c>
      <c r="H161" s="14">
        <f t="shared" si="48"/>
        <v>0</v>
      </c>
      <c r="I161" s="14">
        <f t="shared" si="48"/>
        <v>0</v>
      </c>
      <c r="J161" s="14">
        <f t="shared" si="48"/>
        <v>0</v>
      </c>
      <c r="K161" s="14">
        <f t="shared" si="48"/>
        <v>0</v>
      </c>
      <c r="L161" s="14">
        <f t="shared" si="48"/>
        <v>0</v>
      </c>
      <c r="M161" s="14">
        <f t="shared" si="48"/>
        <v>0</v>
      </c>
      <c r="N161" s="14">
        <f t="shared" si="48"/>
        <v>0</v>
      </c>
      <c r="O161" s="14">
        <f t="shared" si="41"/>
        <v>0</v>
      </c>
      <c r="P161" s="124"/>
      <c r="Q161" s="84"/>
    </row>
    <row r="162" spans="1:17" ht="14.25">
      <c r="A162" s="15" t="s">
        <v>445</v>
      </c>
      <c r="B162" s="94" t="s">
        <v>274</v>
      </c>
      <c r="C162" s="14">
        <f t="shared" si="48"/>
        <v>0</v>
      </c>
      <c r="D162" s="14">
        <f t="shared" si="48"/>
        <v>0</v>
      </c>
      <c r="E162" s="14">
        <f t="shared" si="48"/>
        <v>0</v>
      </c>
      <c r="F162" s="14">
        <f t="shared" si="48"/>
        <v>0</v>
      </c>
      <c r="G162" s="14">
        <f t="shared" si="48"/>
        <v>0</v>
      </c>
      <c r="H162" s="14">
        <f t="shared" si="48"/>
        <v>0</v>
      </c>
      <c r="I162" s="14">
        <f t="shared" si="48"/>
        <v>0</v>
      </c>
      <c r="J162" s="14">
        <f t="shared" si="48"/>
        <v>0</v>
      </c>
      <c r="K162" s="14">
        <f t="shared" si="48"/>
        <v>0</v>
      </c>
      <c r="L162" s="14">
        <f t="shared" si="48"/>
        <v>0</v>
      </c>
      <c r="M162" s="14">
        <f t="shared" si="48"/>
        <v>0</v>
      </c>
      <c r="N162" s="14">
        <f t="shared" si="48"/>
        <v>0</v>
      </c>
      <c r="O162" s="14"/>
      <c r="P162" s="124"/>
      <c r="Q162" s="84"/>
    </row>
    <row r="163" spans="1:17" ht="14.25">
      <c r="A163" s="15" t="s">
        <v>407</v>
      </c>
      <c r="B163" s="94" t="s">
        <v>436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>
        <v>0</v>
      </c>
      <c r="P163" s="124"/>
      <c r="Q163" s="84"/>
    </row>
    <row r="164" spans="1:17" s="128" customFormat="1" ht="14.25">
      <c r="A164" s="101" t="s">
        <v>430</v>
      </c>
      <c r="B164" s="105" t="s">
        <v>275</v>
      </c>
      <c r="C164" s="16">
        <f aca="true" t="shared" si="49" ref="C164:N164">SUM(C153:C163)</f>
        <v>1124849</v>
      </c>
      <c r="D164" s="16">
        <f t="shared" si="49"/>
        <v>0</v>
      </c>
      <c r="E164" s="16">
        <f t="shared" si="49"/>
        <v>0</v>
      </c>
      <c r="F164" s="16">
        <f t="shared" si="49"/>
        <v>1124849</v>
      </c>
      <c r="G164" s="16">
        <f t="shared" si="49"/>
        <v>0</v>
      </c>
      <c r="H164" s="16">
        <f t="shared" si="49"/>
        <v>0</v>
      </c>
      <c r="I164" s="16">
        <f t="shared" si="49"/>
        <v>0</v>
      </c>
      <c r="J164" s="16">
        <f t="shared" si="49"/>
        <v>0</v>
      </c>
      <c r="K164" s="16">
        <f t="shared" si="49"/>
        <v>1320347</v>
      </c>
      <c r="L164" s="16">
        <f t="shared" si="49"/>
        <v>3309380</v>
      </c>
      <c r="M164" s="16">
        <f t="shared" si="49"/>
        <v>3309380</v>
      </c>
      <c r="N164" s="16">
        <f t="shared" si="49"/>
        <v>3309383</v>
      </c>
      <c r="O164" s="16">
        <f>O154+O156</f>
        <v>13498188</v>
      </c>
      <c r="P164" s="126"/>
      <c r="Q164" s="127"/>
    </row>
    <row r="165" spans="1:17" ht="26.25">
      <c r="A165" s="15" t="s">
        <v>284</v>
      </c>
      <c r="B165" s="94" t="s">
        <v>285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>
        <f t="shared" si="41"/>
        <v>0</v>
      </c>
      <c r="P165" s="124"/>
      <c r="Q165" s="84"/>
    </row>
    <row r="166" spans="1:17" ht="26.25">
      <c r="A166" s="91" t="s">
        <v>411</v>
      </c>
      <c r="B166" s="94" t="s">
        <v>286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>
        <f t="shared" si="41"/>
        <v>0</v>
      </c>
      <c r="P166" s="124"/>
      <c r="Q166" s="84"/>
    </row>
    <row r="167" spans="1:17" ht="14.25">
      <c r="A167" s="15" t="s">
        <v>412</v>
      </c>
      <c r="B167" s="94" t="s">
        <v>287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24"/>
      <c r="Q167" s="84"/>
    </row>
    <row r="168" spans="1:17" ht="14.25">
      <c r="A168" s="98" t="s">
        <v>432</v>
      </c>
      <c r="B168" s="105" t="s">
        <v>288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24"/>
      <c r="Q168" s="84"/>
    </row>
    <row r="169" spans="1:17" s="128" customFormat="1" ht="15">
      <c r="A169" s="104" t="s">
        <v>9</v>
      </c>
      <c r="B169" s="115"/>
      <c r="C169" s="16">
        <f>C164+C152+C138</f>
        <v>18922074.666666668</v>
      </c>
      <c r="D169" s="16">
        <f aca="true" t="shared" si="50" ref="D169:N169">D164+D152+D138</f>
        <v>17797225.666666668</v>
      </c>
      <c r="E169" s="16">
        <f t="shared" si="50"/>
        <v>22889939.666666668</v>
      </c>
      <c r="F169" s="16">
        <f t="shared" si="50"/>
        <v>20962696</v>
      </c>
      <c r="G169" s="16">
        <f t="shared" si="50"/>
        <v>19580559</v>
      </c>
      <c r="H169" s="16">
        <f t="shared" si="50"/>
        <v>19580559</v>
      </c>
      <c r="I169" s="16">
        <f t="shared" si="50"/>
        <v>19580559</v>
      </c>
      <c r="J169" s="16">
        <f t="shared" si="50"/>
        <v>19580559</v>
      </c>
      <c r="K169" s="16">
        <f t="shared" si="50"/>
        <v>20900906</v>
      </c>
      <c r="L169" s="16">
        <f t="shared" si="50"/>
        <v>22889939</v>
      </c>
      <c r="M169" s="16">
        <f t="shared" si="50"/>
        <v>22889939</v>
      </c>
      <c r="N169" s="16">
        <f t="shared" si="50"/>
        <v>22889932</v>
      </c>
      <c r="O169" s="16">
        <f>O164+O152+O138</f>
        <v>248464884</v>
      </c>
      <c r="P169" s="126"/>
      <c r="Q169" s="127"/>
    </row>
    <row r="170" spans="1:17" ht="14.25">
      <c r="A170" s="91" t="s">
        <v>238</v>
      </c>
      <c r="B170" s="94" t="s">
        <v>239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>
        <f t="shared" si="41"/>
        <v>0</v>
      </c>
      <c r="P170" s="124"/>
      <c r="Q170" s="84"/>
    </row>
    <row r="171" spans="1:17" ht="26.25">
      <c r="A171" s="91" t="s">
        <v>240</v>
      </c>
      <c r="B171" s="94" t="s">
        <v>241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>
        <f t="shared" si="41"/>
        <v>0</v>
      </c>
      <c r="P171" s="124"/>
      <c r="Q171" s="84"/>
    </row>
    <row r="172" spans="1:17" ht="26.25">
      <c r="A172" s="91" t="s">
        <v>389</v>
      </c>
      <c r="B172" s="94" t="s">
        <v>242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>
        <f t="shared" si="41"/>
        <v>0</v>
      </c>
      <c r="P172" s="124"/>
      <c r="Q172" s="84"/>
    </row>
    <row r="173" spans="1:17" ht="26.25">
      <c r="A173" s="91" t="s">
        <v>390</v>
      </c>
      <c r="B173" s="94" t="s">
        <v>243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>
        <f t="shared" si="41"/>
        <v>0</v>
      </c>
      <c r="P173" s="124"/>
      <c r="Q173" s="84"/>
    </row>
    <row r="174" spans="1:17" ht="14.25">
      <c r="A174" s="91" t="s">
        <v>391</v>
      </c>
      <c r="B174" s="94" t="s">
        <v>244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>
        <f>SUM(C174:N174)</f>
        <v>0</v>
      </c>
      <c r="P174" s="124"/>
      <c r="Q174" s="84"/>
    </row>
    <row r="175" spans="1:17" ht="14.25">
      <c r="A175" s="98" t="s">
        <v>426</v>
      </c>
      <c r="B175" s="105" t="s">
        <v>245</v>
      </c>
      <c r="C175" s="14">
        <f aca="true" t="shared" si="51" ref="C175:N175">SUM(C170:C174)</f>
        <v>0</v>
      </c>
      <c r="D175" s="14">
        <f t="shared" si="51"/>
        <v>0</v>
      </c>
      <c r="E175" s="14">
        <f t="shared" si="51"/>
        <v>0</v>
      </c>
      <c r="F175" s="14">
        <f t="shared" si="51"/>
        <v>0</v>
      </c>
      <c r="G175" s="14">
        <f t="shared" si="51"/>
        <v>0</v>
      </c>
      <c r="H175" s="14">
        <f t="shared" si="51"/>
        <v>0</v>
      </c>
      <c r="I175" s="14">
        <f t="shared" si="51"/>
        <v>0</v>
      </c>
      <c r="J175" s="14">
        <f t="shared" si="51"/>
        <v>0</v>
      </c>
      <c r="K175" s="14">
        <f t="shared" si="51"/>
        <v>0</v>
      </c>
      <c r="L175" s="14">
        <f t="shared" si="51"/>
        <v>0</v>
      </c>
      <c r="M175" s="14">
        <f t="shared" si="51"/>
        <v>0</v>
      </c>
      <c r="N175" s="14">
        <f t="shared" si="51"/>
        <v>0</v>
      </c>
      <c r="O175" s="14">
        <f>SUM(C175:N175)</f>
        <v>0</v>
      </c>
      <c r="P175" s="124"/>
      <c r="Q175" s="84"/>
    </row>
    <row r="176" spans="1:17" ht="14.25">
      <c r="A176" s="15" t="s">
        <v>408</v>
      </c>
      <c r="B176" s="94" t="s">
        <v>276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>
        <f t="shared" si="41"/>
        <v>0</v>
      </c>
      <c r="P176" s="124"/>
      <c r="Q176" s="84"/>
    </row>
    <row r="177" spans="1:17" ht="14.25">
      <c r="A177" s="15" t="s">
        <v>409</v>
      </c>
      <c r="B177" s="94" t="s">
        <v>277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24"/>
      <c r="Q177" s="84"/>
    </row>
    <row r="178" spans="1:17" ht="14.25">
      <c r="A178" s="15" t="s">
        <v>278</v>
      </c>
      <c r="B178" s="94" t="s">
        <v>279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>
        <f t="shared" si="41"/>
        <v>0</v>
      </c>
      <c r="P178" s="124"/>
      <c r="Q178" s="84"/>
    </row>
    <row r="179" spans="1:17" ht="14.25">
      <c r="A179" s="15" t="s">
        <v>410</v>
      </c>
      <c r="B179" s="94" t="s">
        <v>280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>
        <f t="shared" si="41"/>
        <v>0</v>
      </c>
      <c r="P179" s="124"/>
      <c r="Q179" s="84"/>
    </row>
    <row r="180" spans="1:17" ht="14.25">
      <c r="A180" s="15" t="s">
        <v>281</v>
      </c>
      <c r="B180" s="94" t="s">
        <v>282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>
        <f t="shared" si="41"/>
        <v>0</v>
      </c>
      <c r="P180" s="124"/>
      <c r="Q180" s="84"/>
    </row>
    <row r="181" spans="1:17" ht="14.25">
      <c r="A181" s="98" t="s">
        <v>431</v>
      </c>
      <c r="B181" s="105" t="s">
        <v>283</v>
      </c>
      <c r="C181" s="14">
        <f>SUM(C176:C180)</f>
        <v>0</v>
      </c>
      <c r="D181" s="14">
        <f aca="true" t="shared" si="52" ref="D181:N181">SUM(D176:D180)</f>
        <v>0</v>
      </c>
      <c r="E181" s="14">
        <f t="shared" si="52"/>
        <v>0</v>
      </c>
      <c r="F181" s="14">
        <f t="shared" si="52"/>
        <v>0</v>
      </c>
      <c r="G181" s="14">
        <f t="shared" si="52"/>
        <v>0</v>
      </c>
      <c r="H181" s="14">
        <f t="shared" si="52"/>
        <v>0</v>
      </c>
      <c r="I181" s="14">
        <f t="shared" si="52"/>
        <v>0</v>
      </c>
      <c r="J181" s="14">
        <f t="shared" si="52"/>
        <v>0</v>
      </c>
      <c r="K181" s="14"/>
      <c r="L181" s="14">
        <f t="shared" si="52"/>
        <v>0</v>
      </c>
      <c r="M181" s="14">
        <f t="shared" si="52"/>
        <v>0</v>
      </c>
      <c r="N181" s="14">
        <f t="shared" si="52"/>
        <v>0</v>
      </c>
      <c r="O181" s="14"/>
      <c r="P181" s="124"/>
      <c r="Q181" s="84"/>
    </row>
    <row r="182" spans="1:17" ht="26.25">
      <c r="A182" s="15" t="s">
        <v>289</v>
      </c>
      <c r="B182" s="94" t="s">
        <v>290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>
        <f t="shared" si="41"/>
        <v>0</v>
      </c>
      <c r="P182" s="124"/>
      <c r="Q182" s="84"/>
    </row>
    <row r="183" spans="1:17" ht="26.25">
      <c r="A183" s="91" t="s">
        <v>413</v>
      </c>
      <c r="B183" s="94" t="s">
        <v>291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>
        <f t="shared" si="41"/>
        <v>0</v>
      </c>
      <c r="P183" s="124"/>
      <c r="Q183" s="84"/>
    </row>
    <row r="184" spans="1:17" ht="14.25">
      <c r="A184" s="15" t="s">
        <v>414</v>
      </c>
      <c r="B184" s="94" t="s">
        <v>292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>
        <f t="shared" si="41"/>
        <v>0</v>
      </c>
      <c r="P184" s="124"/>
      <c r="Q184" s="84"/>
    </row>
    <row r="185" spans="1:17" ht="14.25">
      <c r="A185" s="98" t="s">
        <v>1</v>
      </c>
      <c r="B185" s="105" t="s">
        <v>293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>
        <f t="shared" si="41"/>
        <v>0</v>
      </c>
      <c r="P185" s="124"/>
      <c r="Q185" s="84"/>
    </row>
    <row r="186" spans="1:17" ht="15">
      <c r="A186" s="104" t="s">
        <v>8</v>
      </c>
      <c r="B186" s="11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>
        <f t="shared" si="41"/>
        <v>0</v>
      </c>
      <c r="P186" s="124"/>
      <c r="Q186" s="84"/>
    </row>
    <row r="187" spans="1:17" s="128" customFormat="1" ht="15">
      <c r="A187" s="116" t="s">
        <v>0</v>
      </c>
      <c r="B187" s="106" t="s">
        <v>294</v>
      </c>
      <c r="C187" s="16">
        <f>C169</f>
        <v>18922074.666666668</v>
      </c>
      <c r="D187" s="16">
        <f aca="true" t="shared" si="53" ref="D187:N187">SUM(D181+D185+D175+D168+D164+D152+D138)</f>
        <v>17797225.666666668</v>
      </c>
      <c r="E187" s="16">
        <f t="shared" si="53"/>
        <v>22889939.666666668</v>
      </c>
      <c r="F187" s="16">
        <f t="shared" si="53"/>
        <v>20962696</v>
      </c>
      <c r="G187" s="16">
        <f t="shared" si="53"/>
        <v>19580559</v>
      </c>
      <c r="H187" s="16">
        <f t="shared" si="53"/>
        <v>19580559</v>
      </c>
      <c r="I187" s="16">
        <f t="shared" si="53"/>
        <v>19580559</v>
      </c>
      <c r="J187" s="16">
        <f t="shared" si="53"/>
        <v>19580559</v>
      </c>
      <c r="K187" s="16">
        <f t="shared" si="53"/>
        <v>20900906</v>
      </c>
      <c r="L187" s="16">
        <f t="shared" si="53"/>
        <v>22889939</v>
      </c>
      <c r="M187" s="16">
        <f t="shared" si="53"/>
        <v>22889939</v>
      </c>
      <c r="N187" s="16">
        <f t="shared" si="53"/>
        <v>22889932</v>
      </c>
      <c r="O187" s="16">
        <f>O169</f>
        <v>248464884</v>
      </c>
      <c r="P187" s="126"/>
      <c r="Q187" s="127"/>
    </row>
    <row r="188" spans="1:17" ht="15">
      <c r="A188" s="117" t="s">
        <v>17</v>
      </c>
      <c r="B188" s="118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>
        <f t="shared" si="41"/>
        <v>0</v>
      </c>
      <c r="P188" s="124"/>
      <c r="Q188" s="84"/>
    </row>
    <row r="189" spans="1:17" ht="15">
      <c r="A189" s="117" t="s">
        <v>18</v>
      </c>
      <c r="B189" s="118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>
        <f t="shared" si="41"/>
        <v>0</v>
      </c>
      <c r="P189" s="124"/>
      <c r="Q189" s="84"/>
    </row>
    <row r="190" spans="1:17" ht="14.25">
      <c r="A190" s="109" t="s">
        <v>416</v>
      </c>
      <c r="B190" s="91" t="s">
        <v>295</v>
      </c>
      <c r="C190" s="14"/>
      <c r="D190" s="14"/>
      <c r="E190" s="14"/>
      <c r="F190" s="14"/>
      <c r="G190" s="14"/>
      <c r="H190" s="14"/>
      <c r="I190" s="14">
        <v>30000000</v>
      </c>
      <c r="J190" s="14"/>
      <c r="K190" s="14"/>
      <c r="L190" s="14"/>
      <c r="M190" s="14"/>
      <c r="N190" s="14"/>
      <c r="O190" s="14">
        <f t="shared" si="41"/>
        <v>30000000</v>
      </c>
      <c r="P190" s="124"/>
      <c r="Q190" s="84"/>
    </row>
    <row r="191" spans="1:17" ht="14.25">
      <c r="A191" s="15" t="s">
        <v>296</v>
      </c>
      <c r="B191" s="91" t="s">
        <v>297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>
        <f t="shared" si="41"/>
        <v>0</v>
      </c>
      <c r="P191" s="124"/>
      <c r="Q191" s="84"/>
    </row>
    <row r="192" spans="1:17" ht="14.25">
      <c r="A192" s="109" t="s">
        <v>417</v>
      </c>
      <c r="B192" s="91" t="s">
        <v>298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>
        <f t="shared" si="41"/>
        <v>0</v>
      </c>
      <c r="P192" s="124"/>
      <c r="Q192" s="84"/>
    </row>
    <row r="193" spans="1:17" ht="14.25">
      <c r="A193" s="108" t="s">
        <v>2</v>
      </c>
      <c r="B193" s="95" t="s">
        <v>299</v>
      </c>
      <c r="C193" s="14"/>
      <c r="D193" s="14"/>
      <c r="E193" s="14"/>
      <c r="F193" s="14"/>
      <c r="G193" s="14"/>
      <c r="H193" s="14"/>
      <c r="I193" s="14">
        <f>SUM(I190:I192)</f>
        <v>30000000</v>
      </c>
      <c r="J193" s="14"/>
      <c r="K193" s="14"/>
      <c r="L193" s="14"/>
      <c r="M193" s="14"/>
      <c r="N193" s="14"/>
      <c r="O193" s="14">
        <f t="shared" si="41"/>
        <v>30000000</v>
      </c>
      <c r="P193" s="124"/>
      <c r="Q193" s="84"/>
    </row>
    <row r="194" spans="1:17" ht="14.25">
      <c r="A194" s="15" t="s">
        <v>418</v>
      </c>
      <c r="B194" s="91" t="s">
        <v>300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>
        <f t="shared" si="41"/>
        <v>0</v>
      </c>
      <c r="P194" s="124"/>
      <c r="Q194" s="84"/>
    </row>
    <row r="195" spans="1:17" ht="14.25">
      <c r="A195" s="109" t="s">
        <v>301</v>
      </c>
      <c r="B195" s="91" t="s">
        <v>302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>
        <f t="shared" si="41"/>
        <v>0</v>
      </c>
      <c r="P195" s="124"/>
      <c r="Q195" s="84"/>
    </row>
    <row r="196" spans="1:17" ht="14.25">
      <c r="A196" s="15" t="s">
        <v>419</v>
      </c>
      <c r="B196" s="91" t="s">
        <v>303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>
        <f t="shared" si="41"/>
        <v>0</v>
      </c>
      <c r="P196" s="124"/>
      <c r="Q196" s="84"/>
    </row>
    <row r="197" spans="1:17" ht="14.25">
      <c r="A197" s="109" t="s">
        <v>304</v>
      </c>
      <c r="B197" s="91" t="s">
        <v>305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>
        <f t="shared" si="41"/>
        <v>0</v>
      </c>
      <c r="P197" s="124"/>
      <c r="Q197" s="84"/>
    </row>
    <row r="198" spans="1:17" ht="14.25">
      <c r="A198" s="110" t="s">
        <v>3</v>
      </c>
      <c r="B198" s="95" t="s">
        <v>306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>
        <f t="shared" si="41"/>
        <v>0</v>
      </c>
      <c r="P198" s="124"/>
      <c r="Q198" s="84"/>
    </row>
    <row r="199" spans="1:17" ht="14.25">
      <c r="A199" s="91" t="s">
        <v>15</v>
      </c>
      <c r="B199" s="91" t="s">
        <v>307</v>
      </c>
      <c r="C199" s="14">
        <f>7702173+1783334</f>
        <v>9485507</v>
      </c>
      <c r="D199" s="14">
        <f>2184531+1783334+1124849</f>
        <v>5092714</v>
      </c>
      <c r="E199" s="14"/>
      <c r="F199" s="14">
        <f>2184531-257288</f>
        <v>1927243</v>
      </c>
      <c r="G199" s="14">
        <f>17792028-257288-1992410</f>
        <v>15542330</v>
      </c>
      <c r="H199" s="14"/>
      <c r="I199" s="14"/>
      <c r="J199" s="14"/>
      <c r="K199" s="14"/>
      <c r="L199" s="14"/>
      <c r="M199" s="14"/>
      <c r="N199" s="14"/>
      <c r="O199" s="14">
        <f>'1.b melléklet'!F79</f>
        <v>32047794</v>
      </c>
      <c r="P199" s="124"/>
      <c r="Q199" s="84"/>
    </row>
    <row r="200" spans="1:17" ht="14.25">
      <c r="A200" s="91" t="s">
        <v>16</v>
      </c>
      <c r="B200" s="91" t="s">
        <v>307</v>
      </c>
      <c r="C200" s="14"/>
      <c r="D200" s="14"/>
      <c r="E200" s="14"/>
      <c r="F200" s="14"/>
      <c r="G200" s="14">
        <v>137044045</v>
      </c>
      <c r="H200" s="14"/>
      <c r="I200" s="14"/>
      <c r="J200" s="14"/>
      <c r="K200" s="14"/>
      <c r="L200" s="14"/>
      <c r="M200" s="14"/>
      <c r="N200" s="14"/>
      <c r="O200" s="14">
        <f>'1.b melléklet'!F80</f>
        <v>137044045</v>
      </c>
      <c r="P200" s="124"/>
      <c r="Q200" s="84"/>
    </row>
    <row r="201" spans="1:17" ht="14.25">
      <c r="A201" s="91" t="s">
        <v>13</v>
      </c>
      <c r="B201" s="91" t="s">
        <v>308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>
        <f t="shared" si="41"/>
        <v>0</v>
      </c>
      <c r="P201" s="124"/>
      <c r="Q201" s="84"/>
    </row>
    <row r="202" spans="1:17" ht="14.25">
      <c r="A202" s="91" t="s">
        <v>14</v>
      </c>
      <c r="B202" s="91" t="s">
        <v>308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>
        <f aca="true" t="shared" si="54" ref="O202:O215">SUM(C202:N202)</f>
        <v>0</v>
      </c>
      <c r="P202" s="124"/>
      <c r="Q202" s="84"/>
    </row>
    <row r="203" spans="1:17" ht="14.25">
      <c r="A203" s="95" t="s">
        <v>4</v>
      </c>
      <c r="B203" s="95" t="s">
        <v>309</v>
      </c>
      <c r="C203" s="14">
        <f>SUM(C199:C202)</f>
        <v>9485507</v>
      </c>
      <c r="D203" s="14">
        <f aca="true" t="shared" si="55" ref="D203:M203">SUM(D199:D202)</f>
        <v>5092714</v>
      </c>
      <c r="E203" s="14">
        <f t="shared" si="55"/>
        <v>0</v>
      </c>
      <c r="F203" s="14">
        <f t="shared" si="55"/>
        <v>1927243</v>
      </c>
      <c r="G203" s="14">
        <f t="shared" si="55"/>
        <v>152586375</v>
      </c>
      <c r="H203" s="14">
        <v>0</v>
      </c>
      <c r="I203" s="14">
        <f t="shared" si="55"/>
        <v>0</v>
      </c>
      <c r="J203" s="14">
        <f t="shared" si="55"/>
        <v>0</v>
      </c>
      <c r="K203" s="14">
        <f t="shared" si="55"/>
        <v>0</v>
      </c>
      <c r="L203" s="14">
        <f t="shared" si="55"/>
        <v>0</v>
      </c>
      <c r="M203" s="14">
        <f t="shared" si="55"/>
        <v>0</v>
      </c>
      <c r="N203" s="14"/>
      <c r="O203" s="14">
        <f>O199+O200</f>
        <v>169091839</v>
      </c>
      <c r="P203" s="124"/>
      <c r="Q203" s="84"/>
    </row>
    <row r="204" spans="1:17" ht="14.25">
      <c r="A204" s="109" t="s">
        <v>310</v>
      </c>
      <c r="B204" s="91" t="s">
        <v>311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>
        <f t="shared" si="54"/>
        <v>0</v>
      </c>
      <c r="P204" s="124"/>
      <c r="Q204" s="84"/>
    </row>
    <row r="205" spans="1:17" ht="14.25">
      <c r="A205" s="109" t="s">
        <v>312</v>
      </c>
      <c r="B205" s="91" t="s">
        <v>313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>
        <f t="shared" si="54"/>
        <v>0</v>
      </c>
      <c r="P205" s="124"/>
      <c r="Q205" s="84"/>
    </row>
    <row r="206" spans="1:17" ht="14.25">
      <c r="A206" s="109" t="s">
        <v>314</v>
      </c>
      <c r="B206" s="91" t="s">
        <v>315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>
        <f t="shared" si="54"/>
        <v>0</v>
      </c>
      <c r="P206" s="124"/>
      <c r="Q206" s="84"/>
    </row>
    <row r="207" spans="1:17" ht="14.25">
      <c r="A207" s="109" t="s">
        <v>316</v>
      </c>
      <c r="B207" s="91" t="s">
        <v>317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>
        <f t="shared" si="54"/>
        <v>0</v>
      </c>
      <c r="P207" s="124"/>
      <c r="Q207" s="84"/>
    </row>
    <row r="208" spans="1:17" ht="14.25">
      <c r="A208" s="15" t="s">
        <v>420</v>
      </c>
      <c r="B208" s="91" t="s">
        <v>318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>
        <f t="shared" si="54"/>
        <v>0</v>
      </c>
      <c r="P208" s="124"/>
      <c r="Q208" s="84"/>
    </row>
    <row r="209" spans="1:17" ht="14.25">
      <c r="A209" s="108" t="s">
        <v>5</v>
      </c>
      <c r="B209" s="95" t="s">
        <v>319</v>
      </c>
      <c r="C209" s="14">
        <f>SUM(C193+C198+C203)</f>
        <v>9485507</v>
      </c>
      <c r="D209" s="14">
        <f aca="true" t="shared" si="56" ref="D209:M209">SUM(D193+D198+D203)</f>
        <v>5092714</v>
      </c>
      <c r="E209" s="14">
        <f t="shared" si="56"/>
        <v>0</v>
      </c>
      <c r="F209" s="14">
        <f t="shared" si="56"/>
        <v>1927243</v>
      </c>
      <c r="G209" s="14">
        <f t="shared" si="56"/>
        <v>152586375</v>
      </c>
      <c r="H209" s="14">
        <f t="shared" si="56"/>
        <v>0</v>
      </c>
      <c r="I209" s="14">
        <f t="shared" si="56"/>
        <v>30000000</v>
      </c>
      <c r="J209" s="14">
        <f t="shared" si="56"/>
        <v>0</v>
      </c>
      <c r="K209" s="14">
        <f t="shared" si="56"/>
        <v>0</v>
      </c>
      <c r="L209" s="14">
        <f t="shared" si="56"/>
        <v>0</v>
      </c>
      <c r="M209" s="14">
        <f t="shared" si="56"/>
        <v>0</v>
      </c>
      <c r="N209" s="14"/>
      <c r="O209" s="14">
        <f>SUM(C209:N209)</f>
        <v>199091839</v>
      </c>
      <c r="P209" s="124"/>
      <c r="Q209" s="84"/>
    </row>
    <row r="210" spans="1:17" ht="14.25">
      <c r="A210" s="15" t="s">
        <v>320</v>
      </c>
      <c r="B210" s="91" t="s">
        <v>321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>
        <f t="shared" si="54"/>
        <v>0</v>
      </c>
      <c r="P210" s="124"/>
      <c r="Q210" s="84"/>
    </row>
    <row r="211" spans="1:17" ht="14.25">
      <c r="A211" s="15" t="s">
        <v>322</v>
      </c>
      <c r="B211" s="91" t="s">
        <v>323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>
        <f t="shared" si="54"/>
        <v>0</v>
      </c>
      <c r="P211" s="124"/>
      <c r="Q211" s="84"/>
    </row>
    <row r="212" spans="1:17" ht="14.25">
      <c r="A212" s="109" t="s">
        <v>324</v>
      </c>
      <c r="B212" s="91" t="s">
        <v>325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>
        <f t="shared" si="54"/>
        <v>0</v>
      </c>
      <c r="P212" s="124"/>
      <c r="Q212" s="84"/>
    </row>
    <row r="213" spans="1:17" ht="14.25">
      <c r="A213" s="109" t="s">
        <v>421</v>
      </c>
      <c r="B213" s="91" t="s">
        <v>326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>
        <f t="shared" si="54"/>
        <v>0</v>
      </c>
      <c r="P213" s="124"/>
      <c r="Q213" s="84"/>
    </row>
    <row r="214" spans="1:17" ht="14.25">
      <c r="A214" s="110" t="s">
        <v>6</v>
      </c>
      <c r="B214" s="95" t="s">
        <v>327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>
        <f t="shared" si="54"/>
        <v>0</v>
      </c>
      <c r="P214" s="124"/>
      <c r="Q214" s="84"/>
    </row>
    <row r="215" spans="1:17" ht="14.25">
      <c r="A215" s="108" t="s">
        <v>328</v>
      </c>
      <c r="B215" s="95" t="s">
        <v>329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>
        <f t="shared" si="54"/>
        <v>0</v>
      </c>
      <c r="P215" s="124"/>
      <c r="Q215" s="84"/>
    </row>
    <row r="216" spans="1:17" s="128" customFormat="1" ht="15">
      <c r="A216" s="112" t="s">
        <v>7</v>
      </c>
      <c r="B216" s="113" t="s">
        <v>330</v>
      </c>
      <c r="C216" s="16">
        <f>SUM(C209)</f>
        <v>9485507</v>
      </c>
      <c r="D216" s="16">
        <f>SUM(D209+D214+D215)</f>
        <v>5092714</v>
      </c>
      <c r="E216" s="16">
        <f aca="true" t="shared" si="57" ref="E216:M216">SUM(E209+E214+E215)</f>
        <v>0</v>
      </c>
      <c r="F216" s="16">
        <f t="shared" si="57"/>
        <v>1927243</v>
      </c>
      <c r="G216" s="16">
        <f t="shared" si="57"/>
        <v>152586375</v>
      </c>
      <c r="H216" s="16">
        <f t="shared" si="57"/>
        <v>0</v>
      </c>
      <c r="I216" s="16">
        <f t="shared" si="57"/>
        <v>30000000</v>
      </c>
      <c r="J216" s="16">
        <f t="shared" si="57"/>
        <v>0</v>
      </c>
      <c r="K216" s="16">
        <f t="shared" si="57"/>
        <v>0</v>
      </c>
      <c r="L216" s="16">
        <f t="shared" si="57"/>
        <v>0</v>
      </c>
      <c r="M216" s="16">
        <f t="shared" si="57"/>
        <v>0</v>
      </c>
      <c r="N216" s="16"/>
      <c r="O216" s="16">
        <f>SUM(C216:N216)</f>
        <v>199091839</v>
      </c>
      <c r="P216" s="126"/>
      <c r="Q216" s="127"/>
    </row>
    <row r="217" spans="1:17" s="128" customFormat="1" ht="15">
      <c r="A217" s="130" t="s">
        <v>423</v>
      </c>
      <c r="B217" s="130"/>
      <c r="C217" s="16">
        <f>C216+C187</f>
        <v>28407581.666666668</v>
      </c>
      <c r="D217" s="16">
        <f aca="true" t="shared" si="58" ref="D217:N217">D216+D187</f>
        <v>22889939.666666668</v>
      </c>
      <c r="E217" s="16">
        <f t="shared" si="58"/>
        <v>22889939.666666668</v>
      </c>
      <c r="F217" s="16">
        <f t="shared" si="58"/>
        <v>22889939</v>
      </c>
      <c r="G217" s="16">
        <f t="shared" si="58"/>
        <v>172166934</v>
      </c>
      <c r="H217" s="16">
        <f t="shared" si="58"/>
        <v>19580559</v>
      </c>
      <c r="I217" s="16">
        <f t="shared" si="58"/>
        <v>49580559</v>
      </c>
      <c r="J217" s="16">
        <f t="shared" si="58"/>
        <v>19580559</v>
      </c>
      <c r="K217" s="16">
        <f t="shared" si="58"/>
        <v>20900906</v>
      </c>
      <c r="L217" s="16">
        <f t="shared" si="58"/>
        <v>22889939</v>
      </c>
      <c r="M217" s="16">
        <f t="shared" si="58"/>
        <v>22889939</v>
      </c>
      <c r="N217" s="16">
        <f t="shared" si="58"/>
        <v>22889932</v>
      </c>
      <c r="O217" s="16">
        <f>O216+O187</f>
        <v>447556723</v>
      </c>
      <c r="P217" s="126"/>
      <c r="Q217" s="127"/>
    </row>
    <row r="218" spans="2:17" ht="14.25"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124"/>
      <c r="Q218" s="84"/>
    </row>
    <row r="219" spans="2:17" ht="14.25"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124"/>
      <c r="Q219" s="84"/>
    </row>
    <row r="220" spans="2:17" ht="14.25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124"/>
      <c r="Q220" s="84"/>
    </row>
    <row r="221" spans="2:17" ht="14.25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124"/>
      <c r="Q221" s="84"/>
    </row>
    <row r="222" spans="2:17" ht="14.25"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124"/>
      <c r="Q222" s="84"/>
    </row>
    <row r="223" spans="2:17" ht="14.25"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124"/>
      <c r="Q223" s="84"/>
    </row>
    <row r="224" spans="2:17" ht="14.25"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124"/>
      <c r="Q224" s="84"/>
    </row>
    <row r="225" spans="2:17" ht="14.25"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124"/>
      <c r="Q225" s="84"/>
    </row>
    <row r="226" spans="2:17" ht="14.25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124"/>
      <c r="Q226" s="84"/>
    </row>
    <row r="227" spans="2:17" ht="14.25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124"/>
      <c r="Q227" s="84"/>
    </row>
    <row r="228" spans="2:17" ht="14.25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124"/>
      <c r="Q228" s="84"/>
    </row>
    <row r="229" spans="2:17" ht="14.25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124"/>
      <c r="Q229" s="84"/>
    </row>
  </sheetData>
  <sheetProtection/>
  <mergeCells count="3">
    <mergeCell ref="A3:O3"/>
    <mergeCell ref="A4:O4"/>
    <mergeCell ref="A2:O2"/>
  </mergeCells>
  <printOptions/>
  <pageMargins left="0.31496062992125984" right="0.31496062992125984" top="0.7480314960629921" bottom="0.7480314960629921" header="0.31496062992125984" footer="0.31496062992125984"/>
  <pageSetup fitToHeight="2" horizontalDpi="600" verticalDpi="600" orientation="landscape" paperSize="8" scale="5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30"/>
  <sheetViews>
    <sheetView workbookViewId="0" topLeftCell="A1">
      <selection activeCell="A2" sqref="A2:O2"/>
    </sheetView>
  </sheetViews>
  <sheetFormatPr defaultColWidth="9.140625" defaultRowHeight="15"/>
  <cols>
    <col min="1" max="1" width="80.7109375" style="13" customWidth="1"/>
    <col min="2" max="2" width="9.140625" style="13" customWidth="1"/>
    <col min="3" max="3" width="15.7109375" style="13" customWidth="1"/>
    <col min="4" max="4" width="16.28125" style="13" customWidth="1"/>
    <col min="5" max="5" width="17.7109375" style="13" customWidth="1"/>
    <col min="6" max="6" width="17.8515625" style="13" customWidth="1"/>
    <col min="7" max="7" width="16.28125" style="13" customWidth="1"/>
    <col min="8" max="8" width="15.7109375" style="13" customWidth="1"/>
    <col min="9" max="9" width="17.8515625" style="13" customWidth="1"/>
    <col min="10" max="10" width="15.7109375" style="13" customWidth="1"/>
    <col min="11" max="11" width="18.00390625" style="13" customWidth="1"/>
    <col min="12" max="12" width="17.28125" style="13" customWidth="1"/>
    <col min="13" max="13" width="17.7109375" style="13" customWidth="1"/>
    <col min="14" max="14" width="18.140625" style="13" customWidth="1"/>
    <col min="15" max="15" width="19.7109375" style="13" customWidth="1"/>
    <col min="16" max="16" width="21.421875" style="119" bestFit="1" customWidth="1"/>
    <col min="17" max="16384" width="9.140625" style="13" customWidth="1"/>
  </cols>
  <sheetData>
    <row r="1" spans="1:6" ht="14.25">
      <c r="A1" s="177"/>
      <c r="B1" s="178"/>
      <c r="C1" s="178"/>
      <c r="D1" s="178"/>
      <c r="E1" s="178"/>
      <c r="F1" s="178"/>
    </row>
    <row r="2" spans="1:16" s="132" customFormat="1" ht="14.25">
      <c r="A2" s="195" t="s">
        <v>510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19"/>
    </row>
    <row r="3" spans="1:15" ht="28.5" customHeight="1">
      <c r="A3" s="192" t="s">
        <v>450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26.25" customHeight="1">
      <c r="A4" s="194" t="s">
        <v>444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ht="14.25">
      <c r="N5" s="132"/>
    </row>
    <row r="6" ht="14.25">
      <c r="A6" s="84" t="s">
        <v>23</v>
      </c>
    </row>
    <row r="7" spans="1:17" ht="26.25">
      <c r="A7" s="87" t="s">
        <v>44</v>
      </c>
      <c r="B7" s="88" t="s">
        <v>45</v>
      </c>
      <c r="C7" s="14" t="s">
        <v>26</v>
      </c>
      <c r="D7" s="14" t="s">
        <v>27</v>
      </c>
      <c r="E7" s="14" t="s">
        <v>28</v>
      </c>
      <c r="F7" s="14" t="s">
        <v>29</v>
      </c>
      <c r="G7" s="14" t="s">
        <v>30</v>
      </c>
      <c r="H7" s="14" t="s">
        <v>31</v>
      </c>
      <c r="I7" s="14" t="s">
        <v>32</v>
      </c>
      <c r="J7" s="14" t="s">
        <v>33</v>
      </c>
      <c r="K7" s="14" t="s">
        <v>34</v>
      </c>
      <c r="L7" s="14" t="s">
        <v>35</v>
      </c>
      <c r="M7" s="14" t="s">
        <v>36</v>
      </c>
      <c r="N7" s="14" t="s">
        <v>37</v>
      </c>
      <c r="O7" s="86" t="s">
        <v>25</v>
      </c>
      <c r="P7" s="120"/>
      <c r="Q7" s="84"/>
    </row>
    <row r="8" spans="1:17" ht="14.25">
      <c r="A8" s="90" t="s">
        <v>46</v>
      </c>
      <c r="B8" s="89" t="s">
        <v>47</v>
      </c>
      <c r="C8" s="14">
        <f>$O8/12</f>
        <v>4529066.666666667</v>
      </c>
      <c r="D8" s="14">
        <f aca="true" t="shared" si="0" ref="D8:M8">$O8/12</f>
        <v>4529066.666666667</v>
      </c>
      <c r="E8" s="14">
        <f t="shared" si="0"/>
        <v>4529066.666666667</v>
      </c>
      <c r="F8" s="14">
        <f t="shared" si="0"/>
        <v>4529066.666666667</v>
      </c>
      <c r="G8" s="14">
        <f t="shared" si="0"/>
        <v>4529066.666666667</v>
      </c>
      <c r="H8" s="14">
        <f t="shared" si="0"/>
        <v>4529066.666666667</v>
      </c>
      <c r="I8" s="14">
        <f>$O8/12+8187600</f>
        <v>12716666.666666668</v>
      </c>
      <c r="J8" s="14">
        <f t="shared" si="0"/>
        <v>4529066.666666667</v>
      </c>
      <c r="K8" s="14">
        <f t="shared" si="0"/>
        <v>4529066.666666667</v>
      </c>
      <c r="L8" s="14">
        <f t="shared" si="0"/>
        <v>4529066.666666667</v>
      </c>
      <c r="M8" s="14">
        <f t="shared" si="0"/>
        <v>4529066.666666667</v>
      </c>
      <c r="N8" s="14">
        <f>$O8/12-4</f>
        <v>4529062.666666667</v>
      </c>
      <c r="O8" s="14">
        <f>46161200+8187600</f>
        <v>54348800</v>
      </c>
      <c r="P8" s="120"/>
      <c r="Q8" s="84"/>
    </row>
    <row r="9" spans="1:17" ht="14.25">
      <c r="A9" s="90" t="s">
        <v>48</v>
      </c>
      <c r="B9" s="89" t="s">
        <v>49</v>
      </c>
      <c r="C9" s="14">
        <f aca="true" t="shared" si="1" ref="C9:C20">$P9/12</f>
        <v>0</v>
      </c>
      <c r="D9" s="14">
        <f aca="true" t="shared" si="2" ref="D9:N20">$P9/12</f>
        <v>0</v>
      </c>
      <c r="E9" s="14">
        <f t="shared" si="2"/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aca="true" t="shared" si="3" ref="O9:O22">SUM(C9:N9)</f>
        <v>0</v>
      </c>
      <c r="P9" s="120"/>
      <c r="Q9" s="84"/>
    </row>
    <row r="10" spans="1:17" ht="14.25">
      <c r="A10" s="90" t="s">
        <v>50</v>
      </c>
      <c r="B10" s="89" t="s">
        <v>51</v>
      </c>
      <c r="C10" s="14">
        <f t="shared" si="1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3"/>
        <v>0</v>
      </c>
      <c r="P10" s="120"/>
      <c r="Q10" s="84"/>
    </row>
    <row r="11" spans="1:17" ht="14.25">
      <c r="A11" s="90" t="s">
        <v>52</v>
      </c>
      <c r="B11" s="89" t="s">
        <v>53</v>
      </c>
      <c r="C11" s="14">
        <f t="shared" si="1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3"/>
        <v>0</v>
      </c>
      <c r="P11" s="120"/>
      <c r="Q11" s="84"/>
    </row>
    <row r="12" spans="1:17" ht="14.25">
      <c r="A12" s="90" t="s">
        <v>54</v>
      </c>
      <c r="B12" s="89" t="s">
        <v>55</v>
      </c>
      <c r="C12" s="14">
        <f t="shared" si="1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3"/>
        <v>0</v>
      </c>
      <c r="P12" s="120"/>
      <c r="Q12" s="84"/>
    </row>
    <row r="13" spans="1:17" ht="14.25">
      <c r="A13" s="90" t="s">
        <v>56</v>
      </c>
      <c r="B13" s="89" t="s">
        <v>57</v>
      </c>
      <c r="C13" s="14">
        <f aca="true" t="shared" si="4" ref="C13:N16">$O13/12</f>
        <v>155750</v>
      </c>
      <c r="D13" s="14">
        <f t="shared" si="4"/>
        <v>155750</v>
      </c>
      <c r="E13" s="14">
        <f t="shared" si="4"/>
        <v>155750</v>
      </c>
      <c r="F13" s="14">
        <f t="shared" si="4"/>
        <v>155750</v>
      </c>
      <c r="G13" s="14">
        <f t="shared" si="4"/>
        <v>155750</v>
      </c>
      <c r="H13" s="14">
        <f t="shared" si="4"/>
        <v>155750</v>
      </c>
      <c r="I13" s="14">
        <f t="shared" si="4"/>
        <v>155750</v>
      </c>
      <c r="J13" s="14">
        <f t="shared" si="4"/>
        <v>155750</v>
      </c>
      <c r="K13" s="14">
        <f t="shared" si="4"/>
        <v>155750</v>
      </c>
      <c r="L13" s="14">
        <f t="shared" si="4"/>
        <v>155750</v>
      </c>
      <c r="M13" s="14">
        <f t="shared" si="4"/>
        <v>155750</v>
      </c>
      <c r="N13" s="14">
        <f t="shared" si="4"/>
        <v>155750</v>
      </c>
      <c r="O13" s="14">
        <v>1869000</v>
      </c>
      <c r="P13" s="120"/>
      <c r="Q13" s="84"/>
    </row>
    <row r="14" spans="1:17" ht="14.25">
      <c r="A14" s="90" t="s">
        <v>58</v>
      </c>
      <c r="B14" s="89" t="s">
        <v>59</v>
      </c>
      <c r="C14" s="14">
        <f t="shared" si="4"/>
        <v>161199</v>
      </c>
      <c r="D14" s="14">
        <f t="shared" si="4"/>
        <v>161199</v>
      </c>
      <c r="E14" s="14">
        <f t="shared" si="4"/>
        <v>161199</v>
      </c>
      <c r="F14" s="14">
        <f t="shared" si="4"/>
        <v>161199</v>
      </c>
      <c r="G14" s="14">
        <f t="shared" si="4"/>
        <v>161199</v>
      </c>
      <c r="H14" s="14">
        <f t="shared" si="4"/>
        <v>161199</v>
      </c>
      <c r="I14" s="14">
        <f t="shared" si="4"/>
        <v>161199</v>
      </c>
      <c r="J14" s="14">
        <f t="shared" si="4"/>
        <v>161199</v>
      </c>
      <c r="K14" s="14">
        <f t="shared" si="4"/>
        <v>161199</v>
      </c>
      <c r="L14" s="14">
        <f t="shared" si="4"/>
        <v>161199</v>
      </c>
      <c r="M14" s="14">
        <f t="shared" si="4"/>
        <v>161199</v>
      </c>
      <c r="N14" s="14">
        <f t="shared" si="4"/>
        <v>161199</v>
      </c>
      <c r="O14" s="14">
        <v>1934388</v>
      </c>
      <c r="P14" s="120"/>
      <c r="Q14" s="84"/>
    </row>
    <row r="15" spans="1:17" ht="14.25">
      <c r="A15" s="90" t="s">
        <v>60</v>
      </c>
      <c r="B15" s="89" t="s">
        <v>61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3"/>
        <v>0</v>
      </c>
      <c r="P15" s="120"/>
      <c r="Q15" s="84"/>
    </row>
    <row r="16" spans="1:17" ht="14.25">
      <c r="A16" s="91" t="s">
        <v>62</v>
      </c>
      <c r="B16" s="89" t="s">
        <v>63</v>
      </c>
      <c r="C16" s="14">
        <f t="shared" si="4"/>
        <v>70299.16666666667</v>
      </c>
      <c r="D16" s="14">
        <f t="shared" si="4"/>
        <v>70299.16666666667</v>
      </c>
      <c r="E16" s="14">
        <f t="shared" si="4"/>
        <v>70299.16666666667</v>
      </c>
      <c r="F16" s="14">
        <f t="shared" si="4"/>
        <v>70299.16666666667</v>
      </c>
      <c r="G16" s="14">
        <f t="shared" si="4"/>
        <v>70299.16666666667</v>
      </c>
      <c r="H16" s="14">
        <f t="shared" si="4"/>
        <v>70299.16666666667</v>
      </c>
      <c r="I16" s="14">
        <f t="shared" si="4"/>
        <v>70299.16666666667</v>
      </c>
      <c r="J16" s="14">
        <f t="shared" si="4"/>
        <v>70299.16666666667</v>
      </c>
      <c r="K16" s="14">
        <f t="shared" si="4"/>
        <v>70299.16666666667</v>
      </c>
      <c r="L16" s="14">
        <f t="shared" si="4"/>
        <v>70299.16666666667</v>
      </c>
      <c r="M16" s="14">
        <f t="shared" si="4"/>
        <v>70299.16666666667</v>
      </c>
      <c r="N16" s="14">
        <f>$O16/12+2</f>
        <v>70301.16666666667</v>
      </c>
      <c r="O16" s="14">
        <v>843590</v>
      </c>
      <c r="P16" s="120"/>
      <c r="Q16" s="84"/>
    </row>
    <row r="17" spans="1:17" ht="14.25">
      <c r="A17" s="91" t="s">
        <v>64</v>
      </c>
      <c r="B17" s="89" t="s">
        <v>65</v>
      </c>
      <c r="C17" s="14">
        <f t="shared" si="1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3"/>
        <v>0</v>
      </c>
      <c r="P17" s="120"/>
      <c r="Q17" s="84"/>
    </row>
    <row r="18" spans="1:17" ht="14.25">
      <c r="A18" s="91" t="s">
        <v>66</v>
      </c>
      <c r="B18" s="89" t="s">
        <v>67</v>
      </c>
      <c r="C18" s="14">
        <f t="shared" si="1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3"/>
        <v>0</v>
      </c>
      <c r="P18" s="120"/>
      <c r="Q18" s="84"/>
    </row>
    <row r="19" spans="1:17" ht="14.25">
      <c r="A19" s="91" t="s">
        <v>68</v>
      </c>
      <c r="B19" s="89" t="s">
        <v>69</v>
      </c>
      <c r="C19" s="14">
        <f t="shared" si="1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3"/>
        <v>0</v>
      </c>
      <c r="P19" s="120"/>
      <c r="Q19" s="84"/>
    </row>
    <row r="20" spans="1:17" ht="14.25">
      <c r="A20" s="91" t="s">
        <v>352</v>
      </c>
      <c r="B20" s="89" t="s">
        <v>70</v>
      </c>
      <c r="C20" s="14">
        <f t="shared" si="1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 t="shared" si="3"/>
        <v>0</v>
      </c>
      <c r="P20" s="120"/>
      <c r="Q20" s="84"/>
    </row>
    <row r="21" spans="1:17" ht="14.25">
      <c r="A21" s="92" t="s">
        <v>331</v>
      </c>
      <c r="B21" s="93" t="s">
        <v>71</v>
      </c>
      <c r="C21" s="14">
        <f aca="true" t="shared" si="5" ref="C21:N21">SUM(C8:C20)</f>
        <v>4916314.833333334</v>
      </c>
      <c r="D21" s="14">
        <f t="shared" si="5"/>
        <v>4916314.833333334</v>
      </c>
      <c r="E21" s="14">
        <f t="shared" si="5"/>
        <v>4916314.833333334</v>
      </c>
      <c r="F21" s="14">
        <f t="shared" si="5"/>
        <v>4916314.833333334</v>
      </c>
      <c r="G21" s="14">
        <f t="shared" si="5"/>
        <v>4916314.833333334</v>
      </c>
      <c r="H21" s="14">
        <f t="shared" si="5"/>
        <v>4916314.833333334</v>
      </c>
      <c r="I21" s="14">
        <f t="shared" si="5"/>
        <v>13103914.833333334</v>
      </c>
      <c r="J21" s="14">
        <f t="shared" si="5"/>
        <v>4916314.833333334</v>
      </c>
      <c r="K21" s="14">
        <f t="shared" si="5"/>
        <v>4916314.833333334</v>
      </c>
      <c r="L21" s="14">
        <f t="shared" si="5"/>
        <v>4916314.833333334</v>
      </c>
      <c r="M21" s="14">
        <f t="shared" si="5"/>
        <v>4916314.833333334</v>
      </c>
      <c r="N21" s="14">
        <f t="shared" si="5"/>
        <v>4916312.833333334</v>
      </c>
      <c r="O21" s="14">
        <f>O8+O13+O14+O16</f>
        <v>58995778</v>
      </c>
      <c r="P21" s="120"/>
      <c r="Q21" s="84"/>
    </row>
    <row r="22" spans="1:17" ht="14.25">
      <c r="A22" s="91" t="s">
        <v>72</v>
      </c>
      <c r="B22" s="89" t="s">
        <v>73</v>
      </c>
      <c r="C22" s="14">
        <f aca="true" t="shared" si="6" ref="C22:N24">$P22/12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3"/>
        <v>0</v>
      </c>
      <c r="P22" s="120"/>
      <c r="Q22" s="84"/>
    </row>
    <row r="23" spans="1:17" ht="26.25">
      <c r="A23" s="91" t="s">
        <v>74</v>
      </c>
      <c r="B23" s="89" t="s">
        <v>75</v>
      </c>
      <c r="C23" s="14">
        <f t="shared" si="6"/>
        <v>0</v>
      </c>
      <c r="D23" s="14">
        <f t="shared" si="6"/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/>
      <c r="P23" s="120"/>
      <c r="Q23" s="84"/>
    </row>
    <row r="24" spans="1:17" ht="14.25">
      <c r="A24" s="91" t="s">
        <v>76</v>
      </c>
      <c r="B24" s="89" t="s">
        <v>77</v>
      </c>
      <c r="C24" s="14">
        <f t="shared" si="6"/>
        <v>0</v>
      </c>
      <c r="D24" s="14">
        <f t="shared" si="6"/>
        <v>0</v>
      </c>
      <c r="E24" s="14">
        <f t="shared" si="6"/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14">
        <f aca="true" t="shared" si="7" ref="O24:O29">SUM(C24:N24)</f>
        <v>0</v>
      </c>
      <c r="P24" s="120"/>
      <c r="Q24" s="84"/>
    </row>
    <row r="25" spans="1:17" ht="14.25">
      <c r="A25" s="95" t="s">
        <v>332</v>
      </c>
      <c r="B25" s="93" t="s">
        <v>78</v>
      </c>
      <c r="C25" s="14">
        <f>SUM(C22:C24)</f>
        <v>0</v>
      </c>
      <c r="D25" s="14">
        <f aca="true" t="shared" si="8" ref="D25:N25">SUM(D22:D24)</f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7"/>
        <v>0</v>
      </c>
      <c r="P25" s="120"/>
      <c r="Q25" s="84"/>
    </row>
    <row r="26" spans="1:17" s="128" customFormat="1" ht="14.25">
      <c r="A26" s="96" t="s">
        <v>382</v>
      </c>
      <c r="B26" s="97" t="s">
        <v>79</v>
      </c>
      <c r="C26" s="16">
        <f aca="true" t="shared" si="9" ref="C26:N26">SUM(C21+C25)</f>
        <v>4916314.833333334</v>
      </c>
      <c r="D26" s="16">
        <f t="shared" si="9"/>
        <v>4916314.833333334</v>
      </c>
      <c r="E26" s="16">
        <f t="shared" si="9"/>
        <v>4916314.833333334</v>
      </c>
      <c r="F26" s="16">
        <f t="shared" si="9"/>
        <v>4916314.833333334</v>
      </c>
      <c r="G26" s="16">
        <f t="shared" si="9"/>
        <v>4916314.833333334</v>
      </c>
      <c r="H26" s="16">
        <f t="shared" si="9"/>
        <v>4916314.833333334</v>
      </c>
      <c r="I26" s="16">
        <f t="shared" si="9"/>
        <v>13103914.833333334</v>
      </c>
      <c r="J26" s="16">
        <f t="shared" si="9"/>
        <v>4916314.833333334</v>
      </c>
      <c r="K26" s="16">
        <f t="shared" si="9"/>
        <v>4916314.833333334</v>
      </c>
      <c r="L26" s="16">
        <f t="shared" si="9"/>
        <v>4916314.833333334</v>
      </c>
      <c r="M26" s="16">
        <f t="shared" si="9"/>
        <v>4916314.833333334</v>
      </c>
      <c r="N26" s="16">
        <f t="shared" si="9"/>
        <v>4916312.833333334</v>
      </c>
      <c r="O26" s="16">
        <f>O21</f>
        <v>58995778</v>
      </c>
      <c r="P26" s="176"/>
      <c r="Q26" s="127"/>
    </row>
    <row r="27" spans="1:17" s="128" customFormat="1" ht="14.25">
      <c r="A27" s="98" t="s">
        <v>353</v>
      </c>
      <c r="B27" s="97" t="s">
        <v>80</v>
      </c>
      <c r="C27" s="16">
        <f aca="true" t="shared" si="10" ref="C27:M27">$O27/12</f>
        <v>976505.0833333334</v>
      </c>
      <c r="D27" s="16">
        <f t="shared" si="10"/>
        <v>976505.0833333334</v>
      </c>
      <c r="E27" s="16">
        <f t="shared" si="10"/>
        <v>976505.0833333334</v>
      </c>
      <c r="F27" s="16">
        <f t="shared" si="10"/>
        <v>976505.0833333334</v>
      </c>
      <c r="G27" s="16">
        <f t="shared" si="10"/>
        <v>976505.0833333334</v>
      </c>
      <c r="H27" s="16">
        <f t="shared" si="10"/>
        <v>976505.0833333334</v>
      </c>
      <c r="I27" s="16">
        <f>$O27/12+1592000</f>
        <v>2568505.0833333335</v>
      </c>
      <c r="J27" s="16">
        <f t="shared" si="10"/>
        <v>976505.0833333334</v>
      </c>
      <c r="K27" s="16">
        <f t="shared" si="10"/>
        <v>976505.0833333334</v>
      </c>
      <c r="L27" s="16">
        <f t="shared" si="10"/>
        <v>976505.0833333334</v>
      </c>
      <c r="M27" s="16">
        <f t="shared" si="10"/>
        <v>976505.0833333334</v>
      </c>
      <c r="N27" s="16">
        <f>$O27/12+5</f>
        <v>976510.0833333334</v>
      </c>
      <c r="O27" s="16">
        <f>10126061+1592000</f>
        <v>11718061</v>
      </c>
      <c r="P27" s="176"/>
      <c r="Q27" s="127"/>
    </row>
    <row r="28" spans="1:17" ht="14.25">
      <c r="A28" s="91" t="s">
        <v>81</v>
      </c>
      <c r="B28" s="89" t="s">
        <v>82</v>
      </c>
      <c r="C28" s="14">
        <f aca="true" t="shared" si="11" ref="C28:N30">$P28/12</f>
        <v>0</v>
      </c>
      <c r="D28" s="14">
        <f t="shared" si="11"/>
        <v>0</v>
      </c>
      <c r="E28" s="14">
        <f t="shared" si="11"/>
        <v>0</v>
      </c>
      <c r="F28" s="14">
        <v>50000</v>
      </c>
      <c r="G28" s="14">
        <v>50000</v>
      </c>
      <c r="H28" s="14">
        <f t="shared" si="11"/>
        <v>0</v>
      </c>
      <c r="I28" s="14">
        <f t="shared" si="11"/>
        <v>0</v>
      </c>
      <c r="J28" s="14">
        <f t="shared" si="11"/>
        <v>0</v>
      </c>
      <c r="K28" s="14">
        <f t="shared" si="11"/>
        <v>0</v>
      </c>
      <c r="L28" s="14">
        <f t="shared" si="11"/>
        <v>0</v>
      </c>
      <c r="M28" s="14">
        <f t="shared" si="11"/>
        <v>0</v>
      </c>
      <c r="N28" s="14">
        <f t="shared" si="11"/>
        <v>0</v>
      </c>
      <c r="O28" s="14">
        <f t="shared" si="7"/>
        <v>100000</v>
      </c>
      <c r="P28" s="120"/>
      <c r="Q28" s="84"/>
    </row>
    <row r="29" spans="1:17" ht="14.25">
      <c r="A29" s="91" t="s">
        <v>83</v>
      </c>
      <c r="B29" s="89" t="s">
        <v>84</v>
      </c>
      <c r="C29" s="14">
        <f>$P29/12-47894</f>
        <v>81815</v>
      </c>
      <c r="D29" s="14">
        <f>$P29/12-47894</f>
        <v>81815</v>
      </c>
      <c r="E29" s="14">
        <f>$P29/12-47894</f>
        <v>81815</v>
      </c>
      <c r="F29" s="14">
        <f>$P29/12-47894</f>
        <v>81815</v>
      </c>
      <c r="G29" s="14">
        <f>$P29/12-47894</f>
        <v>81815</v>
      </c>
      <c r="H29" s="14">
        <f>$P29/12-95788</f>
        <v>33921</v>
      </c>
      <c r="I29" s="14">
        <f t="shared" si="11"/>
        <v>129709</v>
      </c>
      <c r="J29" s="14">
        <f t="shared" si="11"/>
        <v>129709</v>
      </c>
      <c r="K29" s="14">
        <f t="shared" si="11"/>
        <v>129709</v>
      </c>
      <c r="L29" s="14">
        <f t="shared" si="11"/>
        <v>129709</v>
      </c>
      <c r="M29" s="14">
        <f t="shared" si="11"/>
        <v>129709</v>
      </c>
      <c r="N29" s="14">
        <f t="shared" si="11"/>
        <v>129709</v>
      </c>
      <c r="O29" s="14">
        <f t="shared" si="7"/>
        <v>1221250</v>
      </c>
      <c r="P29" s="120">
        <v>1556508</v>
      </c>
      <c r="Q29" s="84"/>
    </row>
    <row r="30" spans="1:17" ht="14.25">
      <c r="A30" s="91" t="s">
        <v>85</v>
      </c>
      <c r="B30" s="89" t="s">
        <v>86</v>
      </c>
      <c r="C30" s="14">
        <f t="shared" si="11"/>
        <v>0</v>
      </c>
      <c r="D30" s="14">
        <f t="shared" si="11"/>
        <v>0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0</v>
      </c>
      <c r="J30" s="14">
        <f t="shared" si="11"/>
        <v>0</v>
      </c>
      <c r="K30" s="14">
        <f t="shared" si="11"/>
        <v>0</v>
      </c>
      <c r="L30" s="14">
        <f t="shared" si="11"/>
        <v>0</v>
      </c>
      <c r="M30" s="14">
        <f t="shared" si="11"/>
        <v>0</v>
      </c>
      <c r="N30" s="14">
        <f t="shared" si="11"/>
        <v>0</v>
      </c>
      <c r="O30" s="14"/>
      <c r="P30" s="120"/>
      <c r="Q30" s="84"/>
    </row>
    <row r="31" spans="1:17" ht="14.25">
      <c r="A31" s="95" t="s">
        <v>333</v>
      </c>
      <c r="B31" s="93" t="s">
        <v>87</v>
      </c>
      <c r="C31" s="14">
        <f aca="true" t="shared" si="12" ref="C31:N31">SUM(C29:C30)</f>
        <v>81815</v>
      </c>
      <c r="D31" s="14">
        <f t="shared" si="12"/>
        <v>81815</v>
      </c>
      <c r="E31" s="14">
        <f t="shared" si="12"/>
        <v>81815</v>
      </c>
      <c r="F31" s="14">
        <v>179709</v>
      </c>
      <c r="G31" s="14">
        <v>179709</v>
      </c>
      <c r="H31" s="14">
        <f t="shared" si="12"/>
        <v>33921</v>
      </c>
      <c r="I31" s="14">
        <f t="shared" si="12"/>
        <v>129709</v>
      </c>
      <c r="J31" s="14">
        <f t="shared" si="12"/>
        <v>129709</v>
      </c>
      <c r="K31" s="14">
        <f t="shared" si="12"/>
        <v>129709</v>
      </c>
      <c r="L31" s="14">
        <f t="shared" si="12"/>
        <v>129709</v>
      </c>
      <c r="M31" s="14">
        <f t="shared" si="12"/>
        <v>129709</v>
      </c>
      <c r="N31" s="14">
        <f t="shared" si="12"/>
        <v>129709</v>
      </c>
      <c r="O31" s="14">
        <f>SUM(C31:N31)</f>
        <v>1417038</v>
      </c>
      <c r="P31" s="120"/>
      <c r="Q31" s="84"/>
    </row>
    <row r="32" spans="1:17" ht="14.25">
      <c r="A32" s="91" t="s">
        <v>88</v>
      </c>
      <c r="B32" s="89" t="s">
        <v>89</v>
      </c>
      <c r="C32" s="14">
        <f aca="true" t="shared" si="13" ref="C32:N33">$P32/12</f>
        <v>79166.66666666667</v>
      </c>
      <c r="D32" s="14">
        <f t="shared" si="13"/>
        <v>79166.66666666667</v>
      </c>
      <c r="E32" s="14">
        <f t="shared" si="13"/>
        <v>79166.66666666667</v>
      </c>
      <c r="F32" s="14">
        <f t="shared" si="13"/>
        <v>79166.66666666667</v>
      </c>
      <c r="G32" s="14">
        <f t="shared" si="13"/>
        <v>79166.66666666667</v>
      </c>
      <c r="H32" s="14">
        <f t="shared" si="13"/>
        <v>79166.66666666667</v>
      </c>
      <c r="I32" s="14">
        <f t="shared" si="13"/>
        <v>79166.66666666667</v>
      </c>
      <c r="J32" s="14">
        <f t="shared" si="13"/>
        <v>79166.66666666667</v>
      </c>
      <c r="K32" s="14">
        <f t="shared" si="13"/>
        <v>79166.66666666667</v>
      </c>
      <c r="L32" s="14">
        <f t="shared" si="13"/>
        <v>79166.66666666667</v>
      </c>
      <c r="M32" s="14">
        <f t="shared" si="13"/>
        <v>79166.66666666667</v>
      </c>
      <c r="N32" s="14">
        <f t="shared" si="13"/>
        <v>79166.66666666667</v>
      </c>
      <c r="O32" s="14">
        <f>SUM(C32:N32)</f>
        <v>949999.9999999999</v>
      </c>
      <c r="P32" s="120">
        <v>950000</v>
      </c>
      <c r="Q32" s="84"/>
    </row>
    <row r="33" spans="1:17" ht="14.25">
      <c r="A33" s="91" t="s">
        <v>90</v>
      </c>
      <c r="B33" s="89" t="s">
        <v>91</v>
      </c>
      <c r="C33" s="14">
        <f t="shared" si="13"/>
        <v>56666.666666666664</v>
      </c>
      <c r="D33" s="14">
        <f t="shared" si="13"/>
        <v>56666.666666666664</v>
      </c>
      <c r="E33" s="14">
        <f t="shared" si="13"/>
        <v>56666.666666666664</v>
      </c>
      <c r="F33" s="14">
        <f t="shared" si="13"/>
        <v>56666.666666666664</v>
      </c>
      <c r="G33" s="14">
        <f t="shared" si="13"/>
        <v>56666.666666666664</v>
      </c>
      <c r="H33" s="14">
        <f t="shared" si="13"/>
        <v>56666.666666666664</v>
      </c>
      <c r="I33" s="14">
        <f t="shared" si="13"/>
        <v>56666.666666666664</v>
      </c>
      <c r="J33" s="14">
        <f t="shared" si="13"/>
        <v>56666.666666666664</v>
      </c>
      <c r="K33" s="14">
        <f t="shared" si="13"/>
        <v>56666.666666666664</v>
      </c>
      <c r="L33" s="14">
        <f t="shared" si="13"/>
        <v>56666.666666666664</v>
      </c>
      <c r="M33" s="14">
        <f t="shared" si="13"/>
        <v>56666.666666666664</v>
      </c>
      <c r="N33" s="14">
        <f t="shared" si="13"/>
        <v>56666.666666666664</v>
      </c>
      <c r="O33" s="14">
        <f>SUM(C33:N33)</f>
        <v>680000</v>
      </c>
      <c r="P33" s="120">
        <v>680000</v>
      </c>
      <c r="Q33" s="84"/>
    </row>
    <row r="34" spans="1:17" ht="14.25">
      <c r="A34" s="95" t="s">
        <v>383</v>
      </c>
      <c r="B34" s="93" t="s">
        <v>92</v>
      </c>
      <c r="C34" s="14">
        <f aca="true" t="shared" si="14" ref="C34:O34">SUM(C32:C33)</f>
        <v>135833.33333333334</v>
      </c>
      <c r="D34" s="14">
        <f t="shared" si="14"/>
        <v>135833.33333333334</v>
      </c>
      <c r="E34" s="14">
        <f t="shared" si="14"/>
        <v>135833.33333333334</v>
      </c>
      <c r="F34" s="14">
        <f t="shared" si="14"/>
        <v>135833.33333333334</v>
      </c>
      <c r="G34" s="14">
        <f t="shared" si="14"/>
        <v>135833.33333333334</v>
      </c>
      <c r="H34" s="14">
        <f t="shared" si="14"/>
        <v>135833.33333333334</v>
      </c>
      <c r="I34" s="14">
        <f t="shared" si="14"/>
        <v>135833.33333333334</v>
      </c>
      <c r="J34" s="14">
        <f t="shared" si="14"/>
        <v>135833.33333333334</v>
      </c>
      <c r="K34" s="14">
        <f t="shared" si="14"/>
        <v>135833.33333333334</v>
      </c>
      <c r="L34" s="14">
        <f t="shared" si="14"/>
        <v>135833.33333333334</v>
      </c>
      <c r="M34" s="14">
        <f t="shared" si="14"/>
        <v>135833.33333333334</v>
      </c>
      <c r="N34" s="14">
        <f t="shared" si="14"/>
        <v>135833.33333333334</v>
      </c>
      <c r="O34" s="14">
        <f t="shared" si="14"/>
        <v>1630000</v>
      </c>
      <c r="P34" s="120"/>
      <c r="Q34" s="84"/>
    </row>
    <row r="35" spans="1:17" ht="14.25">
      <c r="A35" s="91" t="s">
        <v>93</v>
      </c>
      <c r="B35" s="89" t="s">
        <v>94</v>
      </c>
      <c r="C35" s="14">
        <f aca="true" t="shared" si="15" ref="C35:N41">$P35/12</f>
        <v>141666.66666666666</v>
      </c>
      <c r="D35" s="14">
        <f t="shared" si="15"/>
        <v>141666.66666666666</v>
      </c>
      <c r="E35" s="14">
        <f t="shared" si="15"/>
        <v>141666.66666666666</v>
      </c>
      <c r="F35" s="14">
        <f t="shared" si="15"/>
        <v>141666.66666666666</v>
      </c>
      <c r="G35" s="14">
        <f t="shared" si="15"/>
        <v>141666.66666666666</v>
      </c>
      <c r="H35" s="14">
        <f t="shared" si="15"/>
        <v>141666.66666666666</v>
      </c>
      <c r="I35" s="14">
        <f t="shared" si="15"/>
        <v>141666.66666666666</v>
      </c>
      <c r="J35" s="14">
        <f t="shared" si="15"/>
        <v>141666.66666666666</v>
      </c>
      <c r="K35" s="14">
        <f t="shared" si="15"/>
        <v>141666.66666666666</v>
      </c>
      <c r="L35" s="14">
        <f t="shared" si="15"/>
        <v>141666.66666666666</v>
      </c>
      <c r="M35" s="14">
        <f t="shared" si="15"/>
        <v>141666.66666666666</v>
      </c>
      <c r="N35" s="14">
        <f t="shared" si="15"/>
        <v>141666.66666666666</v>
      </c>
      <c r="O35" s="14">
        <f aca="true" t="shared" si="16" ref="O35:O50">SUM(C35:N35)</f>
        <v>1700000.0000000002</v>
      </c>
      <c r="P35" s="120">
        <v>1700000</v>
      </c>
      <c r="Q35" s="84"/>
    </row>
    <row r="36" spans="1:17" ht="14.25">
      <c r="A36" s="91" t="s">
        <v>95</v>
      </c>
      <c r="B36" s="89" t="s">
        <v>96</v>
      </c>
      <c r="C36" s="14">
        <f t="shared" si="15"/>
        <v>0</v>
      </c>
      <c r="D36" s="14">
        <f t="shared" si="15"/>
        <v>0</v>
      </c>
      <c r="E36" s="14">
        <f t="shared" si="15"/>
        <v>0</v>
      </c>
      <c r="F36" s="14">
        <f t="shared" si="15"/>
        <v>0</v>
      </c>
      <c r="G36" s="14">
        <f t="shared" si="15"/>
        <v>0</v>
      </c>
      <c r="H36" s="14">
        <f t="shared" si="15"/>
        <v>0</v>
      </c>
      <c r="I36" s="14">
        <f t="shared" si="15"/>
        <v>0</v>
      </c>
      <c r="J36" s="14">
        <f t="shared" si="15"/>
        <v>0</v>
      </c>
      <c r="K36" s="14">
        <f t="shared" si="15"/>
        <v>0</v>
      </c>
      <c r="L36" s="14">
        <f t="shared" si="15"/>
        <v>0</v>
      </c>
      <c r="M36" s="14">
        <f t="shared" si="15"/>
        <v>0</v>
      </c>
      <c r="N36" s="14">
        <f t="shared" si="15"/>
        <v>0</v>
      </c>
      <c r="O36" s="14">
        <f t="shared" si="16"/>
        <v>0</v>
      </c>
      <c r="P36" s="120"/>
      <c r="Q36" s="84"/>
    </row>
    <row r="37" spans="1:17" ht="14.25">
      <c r="A37" s="91" t="s">
        <v>354</v>
      </c>
      <c r="B37" s="89" t="s">
        <v>97</v>
      </c>
      <c r="C37" s="14">
        <f t="shared" si="15"/>
        <v>0</v>
      </c>
      <c r="D37" s="14">
        <f t="shared" si="15"/>
        <v>0</v>
      </c>
      <c r="E37" s="14">
        <f t="shared" si="15"/>
        <v>0</v>
      </c>
      <c r="F37" s="14">
        <f t="shared" si="15"/>
        <v>0</v>
      </c>
      <c r="G37" s="14">
        <f t="shared" si="15"/>
        <v>0</v>
      </c>
      <c r="H37" s="14">
        <f t="shared" si="15"/>
        <v>0</v>
      </c>
      <c r="I37" s="14">
        <f t="shared" si="15"/>
        <v>0</v>
      </c>
      <c r="J37" s="14">
        <f t="shared" si="15"/>
        <v>0</v>
      </c>
      <c r="K37" s="14">
        <f t="shared" si="15"/>
        <v>0</v>
      </c>
      <c r="L37" s="14">
        <f t="shared" si="15"/>
        <v>0</v>
      </c>
      <c r="M37" s="14">
        <f t="shared" si="15"/>
        <v>0</v>
      </c>
      <c r="N37" s="14">
        <f t="shared" si="15"/>
        <v>0</v>
      </c>
      <c r="O37" s="14">
        <f t="shared" si="16"/>
        <v>0</v>
      </c>
      <c r="P37" s="120"/>
      <c r="Q37" s="84"/>
    </row>
    <row r="38" spans="1:17" ht="14.25">
      <c r="A38" s="91" t="s">
        <v>98</v>
      </c>
      <c r="B38" s="89" t="s">
        <v>99</v>
      </c>
      <c r="C38" s="14">
        <f t="shared" si="15"/>
        <v>2500</v>
      </c>
      <c r="D38" s="14">
        <f t="shared" si="15"/>
        <v>2500</v>
      </c>
      <c r="E38" s="14">
        <f t="shared" si="15"/>
        <v>2500</v>
      </c>
      <c r="F38" s="14">
        <f t="shared" si="15"/>
        <v>2500</v>
      </c>
      <c r="G38" s="14">
        <f t="shared" si="15"/>
        <v>2500</v>
      </c>
      <c r="H38" s="14">
        <f t="shared" si="15"/>
        <v>2500</v>
      </c>
      <c r="I38" s="14">
        <f t="shared" si="15"/>
        <v>2500</v>
      </c>
      <c r="J38" s="14">
        <f t="shared" si="15"/>
        <v>2500</v>
      </c>
      <c r="K38" s="14">
        <f t="shared" si="15"/>
        <v>2500</v>
      </c>
      <c r="L38" s="14">
        <f t="shared" si="15"/>
        <v>2500</v>
      </c>
      <c r="M38" s="14">
        <f t="shared" si="15"/>
        <v>2500</v>
      </c>
      <c r="N38" s="14">
        <f t="shared" si="15"/>
        <v>2500</v>
      </c>
      <c r="O38" s="14">
        <f t="shared" si="16"/>
        <v>30000</v>
      </c>
      <c r="P38" s="120">
        <v>30000</v>
      </c>
      <c r="Q38" s="84"/>
    </row>
    <row r="39" spans="1:17" ht="14.25">
      <c r="A39" s="99" t="s">
        <v>355</v>
      </c>
      <c r="B39" s="89" t="s">
        <v>100</v>
      </c>
      <c r="C39" s="14">
        <f t="shared" si="15"/>
        <v>0</v>
      </c>
      <c r="D39" s="14">
        <f t="shared" si="15"/>
        <v>0</v>
      </c>
      <c r="E39" s="14">
        <f t="shared" si="15"/>
        <v>0</v>
      </c>
      <c r="F39" s="14">
        <f t="shared" si="15"/>
        <v>0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4">
        <f t="shared" si="15"/>
        <v>0</v>
      </c>
      <c r="M39" s="14">
        <f t="shared" si="15"/>
        <v>0</v>
      </c>
      <c r="N39" s="14">
        <f t="shared" si="15"/>
        <v>0</v>
      </c>
      <c r="O39" s="14">
        <f t="shared" si="16"/>
        <v>0</v>
      </c>
      <c r="P39" s="120"/>
      <c r="Q39" s="84"/>
    </row>
    <row r="40" spans="1:17" ht="14.25">
      <c r="A40" s="91" t="s">
        <v>101</v>
      </c>
      <c r="B40" s="89" t="s">
        <v>102</v>
      </c>
      <c r="C40" s="14">
        <f t="shared" si="15"/>
        <v>239333.33333333334</v>
      </c>
      <c r="D40" s="14">
        <f t="shared" si="15"/>
        <v>239333.33333333334</v>
      </c>
      <c r="E40" s="14">
        <f t="shared" si="15"/>
        <v>239333.33333333334</v>
      </c>
      <c r="F40" s="14">
        <f t="shared" si="15"/>
        <v>239333.33333333334</v>
      </c>
      <c r="G40" s="14">
        <f t="shared" si="15"/>
        <v>239333.33333333334</v>
      </c>
      <c r="H40" s="14">
        <f t="shared" si="15"/>
        <v>239333.33333333334</v>
      </c>
      <c r="I40" s="14">
        <f t="shared" si="15"/>
        <v>239333.33333333334</v>
      </c>
      <c r="J40" s="14">
        <f t="shared" si="15"/>
        <v>239333.33333333334</v>
      </c>
      <c r="K40" s="14">
        <f t="shared" si="15"/>
        <v>239333.33333333334</v>
      </c>
      <c r="L40" s="14">
        <f t="shared" si="15"/>
        <v>239333.33333333334</v>
      </c>
      <c r="M40" s="14">
        <f t="shared" si="15"/>
        <v>239333.33333333334</v>
      </c>
      <c r="N40" s="14">
        <f t="shared" si="15"/>
        <v>239333.33333333334</v>
      </c>
      <c r="O40" s="14">
        <f t="shared" si="16"/>
        <v>2872000.0000000005</v>
      </c>
      <c r="P40" s="120">
        <v>2872000</v>
      </c>
      <c r="Q40" s="84"/>
    </row>
    <row r="41" spans="1:17" ht="14.25">
      <c r="A41" s="91" t="s">
        <v>356</v>
      </c>
      <c r="B41" s="89" t="s">
        <v>103</v>
      </c>
      <c r="C41" s="14">
        <f t="shared" si="15"/>
        <v>54166.666666666664</v>
      </c>
      <c r="D41" s="14">
        <f t="shared" si="15"/>
        <v>54166.666666666664</v>
      </c>
      <c r="E41" s="14">
        <f t="shared" si="15"/>
        <v>54166.666666666664</v>
      </c>
      <c r="F41" s="14">
        <f t="shared" si="15"/>
        <v>54166.666666666664</v>
      </c>
      <c r="G41" s="14">
        <f t="shared" si="15"/>
        <v>54166.666666666664</v>
      </c>
      <c r="H41" s="14">
        <f t="shared" si="15"/>
        <v>54166.666666666664</v>
      </c>
      <c r="I41" s="14">
        <f t="shared" si="15"/>
        <v>54166.666666666664</v>
      </c>
      <c r="J41" s="14">
        <f t="shared" si="15"/>
        <v>54166.666666666664</v>
      </c>
      <c r="K41" s="14">
        <f t="shared" si="15"/>
        <v>54166.666666666664</v>
      </c>
      <c r="L41" s="14">
        <f t="shared" si="15"/>
        <v>54166.666666666664</v>
      </c>
      <c r="M41" s="14">
        <f t="shared" si="15"/>
        <v>54166.666666666664</v>
      </c>
      <c r="N41" s="14">
        <f t="shared" si="15"/>
        <v>54166.666666666664</v>
      </c>
      <c r="O41" s="14">
        <f t="shared" si="16"/>
        <v>650000</v>
      </c>
      <c r="P41" s="120">
        <v>650000</v>
      </c>
      <c r="Q41" s="84"/>
    </row>
    <row r="42" spans="1:17" ht="14.25">
      <c r="A42" s="95" t="s">
        <v>334</v>
      </c>
      <c r="B42" s="93" t="s">
        <v>104</v>
      </c>
      <c r="C42" s="14">
        <f aca="true" t="shared" si="17" ref="C42:N42">SUM(C35:C41)</f>
        <v>437666.6666666667</v>
      </c>
      <c r="D42" s="14">
        <f t="shared" si="17"/>
        <v>437666.6666666667</v>
      </c>
      <c r="E42" s="14">
        <f t="shared" si="17"/>
        <v>437666.6666666667</v>
      </c>
      <c r="F42" s="14">
        <f t="shared" si="17"/>
        <v>437666.6666666667</v>
      </c>
      <c r="G42" s="14">
        <f t="shared" si="17"/>
        <v>437666.6666666667</v>
      </c>
      <c r="H42" s="14">
        <f t="shared" si="17"/>
        <v>437666.6666666667</v>
      </c>
      <c r="I42" s="14">
        <f t="shared" si="17"/>
        <v>437666.6666666667</v>
      </c>
      <c r="J42" s="14">
        <f t="shared" si="17"/>
        <v>437666.6666666667</v>
      </c>
      <c r="K42" s="14">
        <f t="shared" si="17"/>
        <v>437666.6666666667</v>
      </c>
      <c r="L42" s="14">
        <f t="shared" si="17"/>
        <v>437666.6666666667</v>
      </c>
      <c r="M42" s="14">
        <f t="shared" si="17"/>
        <v>437666.6666666667</v>
      </c>
      <c r="N42" s="14">
        <f t="shared" si="17"/>
        <v>437666.6666666667</v>
      </c>
      <c r="O42" s="14">
        <f t="shared" si="16"/>
        <v>5252000</v>
      </c>
      <c r="P42" s="120"/>
      <c r="Q42" s="84"/>
    </row>
    <row r="43" spans="1:17" ht="14.25">
      <c r="A43" s="91" t="s">
        <v>105</v>
      </c>
      <c r="B43" s="89" t="s">
        <v>106</v>
      </c>
      <c r="C43" s="14">
        <f aca="true" t="shared" si="18" ref="C43:N44">$P43/12</f>
        <v>128333.33333333333</v>
      </c>
      <c r="D43" s="14">
        <f t="shared" si="18"/>
        <v>128333.33333333333</v>
      </c>
      <c r="E43" s="14">
        <f t="shared" si="18"/>
        <v>128333.33333333333</v>
      </c>
      <c r="F43" s="14">
        <f t="shared" si="18"/>
        <v>128333.33333333333</v>
      </c>
      <c r="G43" s="14">
        <f t="shared" si="18"/>
        <v>128333.33333333333</v>
      </c>
      <c r="H43" s="14">
        <f t="shared" si="18"/>
        <v>128333.33333333333</v>
      </c>
      <c r="I43" s="14">
        <f t="shared" si="18"/>
        <v>128333.33333333333</v>
      </c>
      <c r="J43" s="14">
        <f t="shared" si="18"/>
        <v>128333.33333333333</v>
      </c>
      <c r="K43" s="14">
        <f t="shared" si="18"/>
        <v>128333.33333333333</v>
      </c>
      <c r="L43" s="14">
        <f t="shared" si="18"/>
        <v>128333.33333333333</v>
      </c>
      <c r="M43" s="14">
        <f t="shared" si="18"/>
        <v>128333.33333333333</v>
      </c>
      <c r="N43" s="14">
        <f t="shared" si="18"/>
        <v>128333.33333333333</v>
      </c>
      <c r="O43" s="14">
        <f t="shared" si="16"/>
        <v>1539999.9999999998</v>
      </c>
      <c r="P43" s="120">
        <v>1540000</v>
      </c>
      <c r="Q43" s="84"/>
    </row>
    <row r="44" spans="1:17" ht="14.25">
      <c r="A44" s="91" t="s">
        <v>107</v>
      </c>
      <c r="B44" s="89" t="s">
        <v>108</v>
      </c>
      <c r="C44" s="14">
        <f t="shared" si="18"/>
        <v>0</v>
      </c>
      <c r="D44" s="14">
        <f t="shared" si="18"/>
        <v>0</v>
      </c>
      <c r="E44" s="14">
        <f t="shared" si="18"/>
        <v>0</v>
      </c>
      <c r="F44" s="14">
        <f t="shared" si="18"/>
        <v>0</v>
      </c>
      <c r="G44" s="14">
        <f t="shared" si="18"/>
        <v>0</v>
      </c>
      <c r="H44" s="14">
        <f t="shared" si="18"/>
        <v>0</v>
      </c>
      <c r="I44" s="14">
        <f t="shared" si="18"/>
        <v>0</v>
      </c>
      <c r="J44" s="14">
        <f t="shared" si="18"/>
        <v>0</v>
      </c>
      <c r="K44" s="14">
        <f t="shared" si="18"/>
        <v>0</v>
      </c>
      <c r="L44" s="14">
        <f t="shared" si="18"/>
        <v>0</v>
      </c>
      <c r="M44" s="14">
        <f t="shared" si="18"/>
        <v>0</v>
      </c>
      <c r="N44" s="14">
        <f t="shared" si="18"/>
        <v>0</v>
      </c>
      <c r="O44" s="14">
        <f t="shared" si="16"/>
        <v>0</v>
      </c>
      <c r="P44" s="120">
        <v>0</v>
      </c>
      <c r="Q44" s="84"/>
    </row>
    <row r="45" spans="1:17" ht="14.25">
      <c r="A45" s="95" t="s">
        <v>335</v>
      </c>
      <c r="B45" s="93" t="s">
        <v>109</v>
      </c>
      <c r="C45" s="14">
        <f aca="true" t="shared" si="19" ref="C45:N45">SUM(C43:C44)</f>
        <v>128333.33333333333</v>
      </c>
      <c r="D45" s="14">
        <f t="shared" si="19"/>
        <v>128333.33333333333</v>
      </c>
      <c r="E45" s="14">
        <f t="shared" si="19"/>
        <v>128333.33333333333</v>
      </c>
      <c r="F45" s="14">
        <f t="shared" si="19"/>
        <v>128333.33333333333</v>
      </c>
      <c r="G45" s="14">
        <f t="shared" si="19"/>
        <v>128333.33333333333</v>
      </c>
      <c r="H45" s="14">
        <f t="shared" si="19"/>
        <v>128333.33333333333</v>
      </c>
      <c r="I45" s="14">
        <f t="shared" si="19"/>
        <v>128333.33333333333</v>
      </c>
      <c r="J45" s="14">
        <f t="shared" si="19"/>
        <v>128333.33333333333</v>
      </c>
      <c r="K45" s="14">
        <f t="shared" si="19"/>
        <v>128333.33333333333</v>
      </c>
      <c r="L45" s="14">
        <f t="shared" si="19"/>
        <v>128333.33333333333</v>
      </c>
      <c r="M45" s="14">
        <f t="shared" si="19"/>
        <v>128333.33333333333</v>
      </c>
      <c r="N45" s="14">
        <f t="shared" si="19"/>
        <v>128333.33333333333</v>
      </c>
      <c r="O45" s="14">
        <f t="shared" si="16"/>
        <v>1539999.9999999998</v>
      </c>
      <c r="P45" s="120"/>
      <c r="Q45" s="84"/>
    </row>
    <row r="46" spans="1:17" ht="14.25">
      <c r="A46" s="91" t="s">
        <v>110</v>
      </c>
      <c r="B46" s="89" t="s">
        <v>111</v>
      </c>
      <c r="C46" s="14">
        <f aca="true" t="shared" si="20" ref="C46:N50">$P46/12</f>
        <v>169846.41666666666</v>
      </c>
      <c r="D46" s="14">
        <f t="shared" si="20"/>
        <v>169846.41666666666</v>
      </c>
      <c r="E46" s="14">
        <f t="shared" si="20"/>
        <v>169846.41666666666</v>
      </c>
      <c r="F46" s="14">
        <f t="shared" si="20"/>
        <v>169846.41666666666</v>
      </c>
      <c r="G46" s="14">
        <f t="shared" si="20"/>
        <v>169846.41666666666</v>
      </c>
      <c r="H46" s="14">
        <f t="shared" si="20"/>
        <v>169846.41666666666</v>
      </c>
      <c r="I46" s="14">
        <f t="shared" si="20"/>
        <v>169846.41666666666</v>
      </c>
      <c r="J46" s="14">
        <f t="shared" si="20"/>
        <v>169846.41666666666</v>
      </c>
      <c r="K46" s="14">
        <f t="shared" si="20"/>
        <v>169846.41666666666</v>
      </c>
      <c r="L46" s="14">
        <f t="shared" si="20"/>
        <v>169846.41666666666</v>
      </c>
      <c r="M46" s="14">
        <f t="shared" si="20"/>
        <v>169846.41666666666</v>
      </c>
      <c r="N46" s="14">
        <f t="shared" si="20"/>
        <v>169846.41666666666</v>
      </c>
      <c r="O46" s="14">
        <f t="shared" si="16"/>
        <v>2038157.0000000002</v>
      </c>
      <c r="P46" s="120">
        <v>2038157</v>
      </c>
      <c r="Q46" s="84"/>
    </row>
    <row r="47" spans="1:17" ht="14.25">
      <c r="A47" s="91" t="s">
        <v>112</v>
      </c>
      <c r="B47" s="89" t="s">
        <v>113</v>
      </c>
      <c r="C47" s="14">
        <f t="shared" si="20"/>
        <v>0</v>
      </c>
      <c r="D47" s="14">
        <f t="shared" si="20"/>
        <v>0</v>
      </c>
      <c r="E47" s="14">
        <f t="shared" si="20"/>
        <v>0</v>
      </c>
      <c r="F47" s="14">
        <f t="shared" si="20"/>
        <v>0</v>
      </c>
      <c r="G47" s="14">
        <f t="shared" si="20"/>
        <v>0</v>
      </c>
      <c r="H47" s="14">
        <f t="shared" si="20"/>
        <v>0</v>
      </c>
      <c r="I47" s="14">
        <f t="shared" si="20"/>
        <v>0</v>
      </c>
      <c r="J47" s="14">
        <f t="shared" si="20"/>
        <v>0</v>
      </c>
      <c r="K47" s="14">
        <f t="shared" si="20"/>
        <v>0</v>
      </c>
      <c r="L47" s="14">
        <f t="shared" si="20"/>
        <v>0</v>
      </c>
      <c r="M47" s="14">
        <f t="shared" si="20"/>
        <v>0</v>
      </c>
      <c r="N47" s="14">
        <f t="shared" si="20"/>
        <v>0</v>
      </c>
      <c r="O47" s="14">
        <f t="shared" si="16"/>
        <v>0</v>
      </c>
      <c r="P47" s="120">
        <v>0</v>
      </c>
      <c r="Q47" s="84"/>
    </row>
    <row r="48" spans="1:17" ht="14.25">
      <c r="A48" s="91" t="s">
        <v>357</v>
      </c>
      <c r="B48" s="89" t="s">
        <v>114</v>
      </c>
      <c r="C48" s="14">
        <f t="shared" si="20"/>
        <v>0</v>
      </c>
      <c r="D48" s="14">
        <f t="shared" si="20"/>
        <v>0</v>
      </c>
      <c r="E48" s="14">
        <f t="shared" si="20"/>
        <v>0</v>
      </c>
      <c r="F48" s="14">
        <f t="shared" si="20"/>
        <v>0</v>
      </c>
      <c r="G48" s="14">
        <f t="shared" si="20"/>
        <v>0</v>
      </c>
      <c r="H48" s="14">
        <f t="shared" si="20"/>
        <v>0</v>
      </c>
      <c r="I48" s="14">
        <f t="shared" si="20"/>
        <v>0</v>
      </c>
      <c r="J48" s="14">
        <f t="shared" si="20"/>
        <v>0</v>
      </c>
      <c r="K48" s="14">
        <f t="shared" si="20"/>
        <v>0</v>
      </c>
      <c r="L48" s="14">
        <f t="shared" si="20"/>
        <v>0</v>
      </c>
      <c r="M48" s="14">
        <f t="shared" si="20"/>
        <v>0</v>
      </c>
      <c r="N48" s="14">
        <f t="shared" si="20"/>
        <v>0</v>
      </c>
      <c r="O48" s="14">
        <f t="shared" si="16"/>
        <v>0</v>
      </c>
      <c r="P48" s="120"/>
      <c r="Q48" s="84"/>
    </row>
    <row r="49" spans="1:17" ht="14.25">
      <c r="A49" s="91" t="s">
        <v>358</v>
      </c>
      <c r="B49" s="89" t="s">
        <v>115</v>
      </c>
      <c r="C49" s="14">
        <f t="shared" si="20"/>
        <v>0</v>
      </c>
      <c r="D49" s="14">
        <f t="shared" si="20"/>
        <v>0</v>
      </c>
      <c r="E49" s="14">
        <f t="shared" si="20"/>
        <v>0</v>
      </c>
      <c r="F49" s="14">
        <f t="shared" si="20"/>
        <v>0</v>
      </c>
      <c r="G49" s="14">
        <f t="shared" si="20"/>
        <v>0</v>
      </c>
      <c r="H49" s="14">
        <f t="shared" si="20"/>
        <v>0</v>
      </c>
      <c r="I49" s="14">
        <f t="shared" si="20"/>
        <v>0</v>
      </c>
      <c r="J49" s="14">
        <f t="shared" si="20"/>
        <v>0</v>
      </c>
      <c r="K49" s="14">
        <f t="shared" si="20"/>
        <v>0</v>
      </c>
      <c r="L49" s="14">
        <f t="shared" si="20"/>
        <v>0</v>
      </c>
      <c r="M49" s="14">
        <f t="shared" si="20"/>
        <v>0</v>
      </c>
      <c r="N49" s="14">
        <f t="shared" si="20"/>
        <v>0</v>
      </c>
      <c r="O49" s="14">
        <f t="shared" si="16"/>
        <v>0</v>
      </c>
      <c r="P49" s="120"/>
      <c r="Q49" s="84"/>
    </row>
    <row r="50" spans="1:17" ht="14.25">
      <c r="A50" s="91" t="s">
        <v>116</v>
      </c>
      <c r="B50" s="89" t="s">
        <v>117</v>
      </c>
      <c r="C50" s="14">
        <f t="shared" si="20"/>
        <v>0</v>
      </c>
      <c r="D50" s="14">
        <f t="shared" si="20"/>
        <v>0</v>
      </c>
      <c r="E50" s="14">
        <f t="shared" si="20"/>
        <v>0</v>
      </c>
      <c r="F50" s="14">
        <f t="shared" si="20"/>
        <v>0</v>
      </c>
      <c r="G50" s="14">
        <f t="shared" si="20"/>
        <v>0</v>
      </c>
      <c r="H50" s="14">
        <f t="shared" si="20"/>
        <v>0</v>
      </c>
      <c r="I50" s="14">
        <f t="shared" si="20"/>
        <v>0</v>
      </c>
      <c r="J50" s="14">
        <f t="shared" si="20"/>
        <v>0</v>
      </c>
      <c r="K50" s="14">
        <f t="shared" si="20"/>
        <v>0</v>
      </c>
      <c r="L50" s="14">
        <f t="shared" si="20"/>
        <v>0</v>
      </c>
      <c r="M50" s="14">
        <f t="shared" si="20"/>
        <v>0</v>
      </c>
      <c r="N50" s="14">
        <f t="shared" si="20"/>
        <v>0</v>
      </c>
      <c r="O50" s="14">
        <f t="shared" si="16"/>
        <v>0</v>
      </c>
      <c r="P50" s="120">
        <v>0</v>
      </c>
      <c r="Q50" s="84"/>
    </row>
    <row r="51" spans="1:17" ht="14.25">
      <c r="A51" s="95" t="s">
        <v>336</v>
      </c>
      <c r="B51" s="93" t="s">
        <v>118</v>
      </c>
      <c r="C51" s="14">
        <f aca="true" t="shared" si="21" ref="C51:J51">SUM(C46:C50)</f>
        <v>169846.41666666666</v>
      </c>
      <c r="D51" s="14">
        <f t="shared" si="21"/>
        <v>169846.41666666666</v>
      </c>
      <c r="E51" s="14">
        <f t="shared" si="21"/>
        <v>169846.41666666666</v>
      </c>
      <c r="F51" s="14">
        <f t="shared" si="21"/>
        <v>169846.41666666666</v>
      </c>
      <c r="G51" s="14">
        <f t="shared" si="21"/>
        <v>169846.41666666666</v>
      </c>
      <c r="H51" s="14">
        <f t="shared" si="21"/>
        <v>169846.41666666666</v>
      </c>
      <c r="I51" s="14">
        <f t="shared" si="21"/>
        <v>169846.41666666666</v>
      </c>
      <c r="J51" s="14">
        <f t="shared" si="21"/>
        <v>169846.41666666666</v>
      </c>
      <c r="K51" s="14">
        <f>SUM(J46:J50)</f>
        <v>169846.41666666666</v>
      </c>
      <c r="L51" s="14">
        <f>SUM(L46:L50)</f>
        <v>169846.41666666666</v>
      </c>
      <c r="M51" s="14">
        <f>SUM(M46:M50)</f>
        <v>169846.41666666666</v>
      </c>
      <c r="N51" s="14">
        <f>SUM(N46:N50)</f>
        <v>169846.41666666666</v>
      </c>
      <c r="O51" s="14">
        <f>SUM(O46:O50)</f>
        <v>2038157.0000000002</v>
      </c>
      <c r="P51" s="120"/>
      <c r="Q51" s="84"/>
    </row>
    <row r="52" spans="1:17" s="128" customFormat="1" ht="14.25">
      <c r="A52" s="98" t="s">
        <v>337</v>
      </c>
      <c r="B52" s="97" t="s">
        <v>119</v>
      </c>
      <c r="C52" s="16">
        <f aca="true" t="shared" si="22" ref="C52:N52">SUM(C31+C34+C42+C45+C51)</f>
        <v>953494.75</v>
      </c>
      <c r="D52" s="16">
        <f t="shared" si="22"/>
        <v>953494.75</v>
      </c>
      <c r="E52" s="16">
        <f t="shared" si="22"/>
        <v>953494.75</v>
      </c>
      <c r="F52" s="16">
        <f t="shared" si="22"/>
        <v>1051388.75</v>
      </c>
      <c r="G52" s="16">
        <f t="shared" si="22"/>
        <v>1051388.75</v>
      </c>
      <c r="H52" s="16">
        <f t="shared" si="22"/>
        <v>905600.75</v>
      </c>
      <c r="I52" s="16">
        <f t="shared" si="22"/>
        <v>1001388.75</v>
      </c>
      <c r="J52" s="16">
        <f t="shared" si="22"/>
        <v>1001388.75</v>
      </c>
      <c r="K52" s="16">
        <f t="shared" si="22"/>
        <v>1001388.75</v>
      </c>
      <c r="L52" s="16">
        <f t="shared" si="22"/>
        <v>1001388.75</v>
      </c>
      <c r="M52" s="16">
        <f t="shared" si="22"/>
        <v>1001388.75</v>
      </c>
      <c r="N52" s="16">
        <f t="shared" si="22"/>
        <v>1001388.75</v>
      </c>
      <c r="O52" s="16">
        <f aca="true" t="shared" si="23" ref="O52:O72">SUM(C52:N52)</f>
        <v>11877195</v>
      </c>
      <c r="P52" s="176"/>
      <c r="Q52" s="127"/>
    </row>
    <row r="53" spans="1:17" ht="14.25">
      <c r="A53" s="15" t="s">
        <v>120</v>
      </c>
      <c r="B53" s="89" t="s">
        <v>121</v>
      </c>
      <c r="C53" s="14">
        <f aca="true" t="shared" si="24" ref="C53:N60">$P53/12</f>
        <v>0</v>
      </c>
      <c r="D53" s="14">
        <f t="shared" si="24"/>
        <v>0</v>
      </c>
      <c r="E53" s="14">
        <f t="shared" si="24"/>
        <v>0</v>
      </c>
      <c r="F53" s="14">
        <f t="shared" si="24"/>
        <v>0</v>
      </c>
      <c r="G53" s="14">
        <f t="shared" si="24"/>
        <v>0</v>
      </c>
      <c r="H53" s="14">
        <f t="shared" si="24"/>
        <v>0</v>
      </c>
      <c r="I53" s="14">
        <f t="shared" si="24"/>
        <v>0</v>
      </c>
      <c r="J53" s="14">
        <f t="shared" si="24"/>
        <v>0</v>
      </c>
      <c r="K53" s="14">
        <f t="shared" si="24"/>
        <v>0</v>
      </c>
      <c r="L53" s="14">
        <f t="shared" si="24"/>
        <v>0</v>
      </c>
      <c r="M53" s="14">
        <f t="shared" si="24"/>
        <v>0</v>
      </c>
      <c r="N53" s="14">
        <f t="shared" si="24"/>
        <v>0</v>
      </c>
      <c r="O53" s="14">
        <f t="shared" si="23"/>
        <v>0</v>
      </c>
      <c r="P53" s="120"/>
      <c r="Q53" s="84"/>
    </row>
    <row r="54" spans="1:17" ht="14.25">
      <c r="A54" s="15" t="s">
        <v>338</v>
      </c>
      <c r="B54" s="89" t="s">
        <v>122</v>
      </c>
      <c r="C54" s="14">
        <f t="shared" si="24"/>
        <v>0</v>
      </c>
      <c r="D54" s="14">
        <f t="shared" si="24"/>
        <v>0</v>
      </c>
      <c r="E54" s="14">
        <f t="shared" si="24"/>
        <v>0</v>
      </c>
      <c r="F54" s="14">
        <f t="shared" si="24"/>
        <v>0</v>
      </c>
      <c r="G54" s="14">
        <f t="shared" si="24"/>
        <v>0</v>
      </c>
      <c r="H54" s="14">
        <f t="shared" si="24"/>
        <v>0</v>
      </c>
      <c r="I54" s="14">
        <f t="shared" si="24"/>
        <v>0</v>
      </c>
      <c r="J54" s="14">
        <f t="shared" si="24"/>
        <v>0</v>
      </c>
      <c r="K54" s="14">
        <f t="shared" si="24"/>
        <v>0</v>
      </c>
      <c r="L54" s="14">
        <f t="shared" si="24"/>
        <v>0</v>
      </c>
      <c r="M54" s="14">
        <f t="shared" si="24"/>
        <v>0</v>
      </c>
      <c r="N54" s="14">
        <f t="shared" si="24"/>
        <v>0</v>
      </c>
      <c r="O54" s="14">
        <f t="shared" si="23"/>
        <v>0</v>
      </c>
      <c r="P54" s="120"/>
      <c r="Q54" s="84"/>
    </row>
    <row r="55" spans="1:17" ht="14.25">
      <c r="A55" s="100" t="s">
        <v>359</v>
      </c>
      <c r="B55" s="89" t="s">
        <v>123</v>
      </c>
      <c r="C55" s="14">
        <f t="shared" si="24"/>
        <v>0</v>
      </c>
      <c r="D55" s="14">
        <f t="shared" si="24"/>
        <v>0</v>
      </c>
      <c r="E55" s="14">
        <f t="shared" si="24"/>
        <v>0</v>
      </c>
      <c r="F55" s="14">
        <f t="shared" si="24"/>
        <v>0</v>
      </c>
      <c r="G55" s="14">
        <f t="shared" si="24"/>
        <v>0</v>
      </c>
      <c r="H55" s="14">
        <f t="shared" si="24"/>
        <v>0</v>
      </c>
      <c r="I55" s="14">
        <f t="shared" si="24"/>
        <v>0</v>
      </c>
      <c r="J55" s="14">
        <f t="shared" si="24"/>
        <v>0</v>
      </c>
      <c r="K55" s="14">
        <f t="shared" si="24"/>
        <v>0</v>
      </c>
      <c r="L55" s="14">
        <f t="shared" si="24"/>
        <v>0</v>
      </c>
      <c r="M55" s="14">
        <f t="shared" si="24"/>
        <v>0</v>
      </c>
      <c r="N55" s="14">
        <f t="shared" si="24"/>
        <v>0</v>
      </c>
      <c r="O55" s="14">
        <f t="shared" si="23"/>
        <v>0</v>
      </c>
      <c r="P55" s="120"/>
      <c r="Q55" s="84"/>
    </row>
    <row r="56" spans="1:17" ht="14.25">
      <c r="A56" s="100" t="s">
        <v>360</v>
      </c>
      <c r="B56" s="89" t="s">
        <v>124</v>
      </c>
      <c r="C56" s="14">
        <f t="shared" si="24"/>
        <v>0</v>
      </c>
      <c r="D56" s="14">
        <f t="shared" si="24"/>
        <v>0</v>
      </c>
      <c r="E56" s="14">
        <f t="shared" si="24"/>
        <v>0</v>
      </c>
      <c r="F56" s="14">
        <f t="shared" si="24"/>
        <v>0</v>
      </c>
      <c r="G56" s="14">
        <f t="shared" si="24"/>
        <v>0</v>
      </c>
      <c r="H56" s="14">
        <f t="shared" si="24"/>
        <v>0</v>
      </c>
      <c r="I56" s="14">
        <f t="shared" si="24"/>
        <v>0</v>
      </c>
      <c r="J56" s="14">
        <f t="shared" si="24"/>
        <v>0</v>
      </c>
      <c r="K56" s="14">
        <f t="shared" si="24"/>
        <v>0</v>
      </c>
      <c r="L56" s="14">
        <f t="shared" si="24"/>
        <v>0</v>
      </c>
      <c r="M56" s="14">
        <f t="shared" si="24"/>
        <v>0</v>
      </c>
      <c r="N56" s="14">
        <f t="shared" si="24"/>
        <v>0</v>
      </c>
      <c r="O56" s="14">
        <f t="shared" si="23"/>
        <v>0</v>
      </c>
      <c r="P56" s="120"/>
      <c r="Q56" s="84"/>
    </row>
    <row r="57" spans="1:17" ht="14.25">
      <c r="A57" s="100" t="s">
        <v>361</v>
      </c>
      <c r="B57" s="89" t="s">
        <v>125</v>
      </c>
      <c r="C57" s="14">
        <f t="shared" si="24"/>
        <v>0</v>
      </c>
      <c r="D57" s="14">
        <f t="shared" si="24"/>
        <v>0</v>
      </c>
      <c r="E57" s="14">
        <f t="shared" si="24"/>
        <v>0</v>
      </c>
      <c r="F57" s="14">
        <f t="shared" si="24"/>
        <v>0</v>
      </c>
      <c r="G57" s="14">
        <f t="shared" si="24"/>
        <v>0</v>
      </c>
      <c r="H57" s="14">
        <f t="shared" si="24"/>
        <v>0</v>
      </c>
      <c r="I57" s="14">
        <f t="shared" si="24"/>
        <v>0</v>
      </c>
      <c r="J57" s="14">
        <f t="shared" si="24"/>
        <v>0</v>
      </c>
      <c r="K57" s="14">
        <f t="shared" si="24"/>
        <v>0</v>
      </c>
      <c r="L57" s="14">
        <f t="shared" si="24"/>
        <v>0</v>
      </c>
      <c r="M57" s="14">
        <f t="shared" si="24"/>
        <v>0</v>
      </c>
      <c r="N57" s="14">
        <f t="shared" si="24"/>
        <v>0</v>
      </c>
      <c r="O57" s="14">
        <f t="shared" si="23"/>
        <v>0</v>
      </c>
      <c r="P57" s="120"/>
      <c r="Q57" s="84"/>
    </row>
    <row r="58" spans="1:17" ht="14.25">
      <c r="A58" s="15" t="s">
        <v>362</v>
      </c>
      <c r="B58" s="89" t="s">
        <v>126</v>
      </c>
      <c r="C58" s="14">
        <f t="shared" si="24"/>
        <v>0</v>
      </c>
      <c r="D58" s="14">
        <f t="shared" si="24"/>
        <v>0</v>
      </c>
      <c r="E58" s="14">
        <f t="shared" si="24"/>
        <v>0</v>
      </c>
      <c r="F58" s="14">
        <f t="shared" si="24"/>
        <v>0</v>
      </c>
      <c r="G58" s="14">
        <f t="shared" si="24"/>
        <v>0</v>
      </c>
      <c r="H58" s="14">
        <f t="shared" si="24"/>
        <v>0</v>
      </c>
      <c r="I58" s="14">
        <f t="shared" si="24"/>
        <v>0</v>
      </c>
      <c r="J58" s="14">
        <f t="shared" si="24"/>
        <v>0</v>
      </c>
      <c r="K58" s="14">
        <f t="shared" si="24"/>
        <v>0</v>
      </c>
      <c r="L58" s="14">
        <f t="shared" si="24"/>
        <v>0</v>
      </c>
      <c r="M58" s="14">
        <f t="shared" si="24"/>
        <v>0</v>
      </c>
      <c r="N58" s="14">
        <f t="shared" si="24"/>
        <v>0</v>
      </c>
      <c r="O58" s="14">
        <f t="shared" si="23"/>
        <v>0</v>
      </c>
      <c r="P58" s="120"/>
      <c r="Q58" s="84"/>
    </row>
    <row r="59" spans="1:17" ht="14.25">
      <c r="A59" s="15" t="s">
        <v>363</v>
      </c>
      <c r="B59" s="89" t="s">
        <v>127</v>
      </c>
      <c r="C59" s="14">
        <f t="shared" si="24"/>
        <v>0</v>
      </c>
      <c r="D59" s="14">
        <f t="shared" si="24"/>
        <v>0</v>
      </c>
      <c r="E59" s="14">
        <f t="shared" si="24"/>
        <v>0</v>
      </c>
      <c r="F59" s="14">
        <f t="shared" si="24"/>
        <v>0</v>
      </c>
      <c r="G59" s="14">
        <f t="shared" si="24"/>
        <v>0</v>
      </c>
      <c r="H59" s="14">
        <f t="shared" si="24"/>
        <v>0</v>
      </c>
      <c r="I59" s="14">
        <f t="shared" si="24"/>
        <v>0</v>
      </c>
      <c r="J59" s="14">
        <f t="shared" si="24"/>
        <v>0</v>
      </c>
      <c r="K59" s="14">
        <f t="shared" si="24"/>
        <v>0</v>
      </c>
      <c r="L59" s="14">
        <f t="shared" si="24"/>
        <v>0</v>
      </c>
      <c r="M59" s="14">
        <f t="shared" si="24"/>
        <v>0</v>
      </c>
      <c r="N59" s="14">
        <f t="shared" si="24"/>
        <v>0</v>
      </c>
      <c r="O59" s="14">
        <f t="shared" si="23"/>
        <v>0</v>
      </c>
      <c r="P59" s="120"/>
      <c r="Q59" s="84"/>
    </row>
    <row r="60" spans="1:17" ht="14.25">
      <c r="A60" s="15" t="s">
        <v>364</v>
      </c>
      <c r="B60" s="89" t="s">
        <v>128</v>
      </c>
      <c r="C60" s="14"/>
      <c r="D60" s="14">
        <f t="shared" si="24"/>
        <v>0</v>
      </c>
      <c r="E60" s="14">
        <f t="shared" si="24"/>
        <v>0</v>
      </c>
      <c r="F60" s="14">
        <f t="shared" si="24"/>
        <v>0</v>
      </c>
      <c r="G60" s="14">
        <f t="shared" si="24"/>
        <v>0</v>
      </c>
      <c r="H60" s="14">
        <f t="shared" si="24"/>
        <v>0</v>
      </c>
      <c r="I60" s="14">
        <f t="shared" si="24"/>
        <v>0</v>
      </c>
      <c r="J60" s="14">
        <f t="shared" si="24"/>
        <v>0</v>
      </c>
      <c r="K60" s="14">
        <f t="shared" si="24"/>
        <v>0</v>
      </c>
      <c r="L60" s="14">
        <f t="shared" si="24"/>
        <v>0</v>
      </c>
      <c r="M60" s="14">
        <f t="shared" si="24"/>
        <v>0</v>
      </c>
      <c r="N60" s="14">
        <f t="shared" si="24"/>
        <v>0</v>
      </c>
      <c r="O60" s="14">
        <f t="shared" si="23"/>
        <v>0</v>
      </c>
      <c r="P60" s="120"/>
      <c r="Q60" s="84"/>
    </row>
    <row r="61" spans="1:17" ht="14.25">
      <c r="A61" s="101" t="s">
        <v>339</v>
      </c>
      <c r="B61" s="97" t="s">
        <v>129</v>
      </c>
      <c r="C61" s="14">
        <f aca="true" t="shared" si="25" ref="C61:N61">SUM(C53:C60)</f>
        <v>0</v>
      </c>
      <c r="D61" s="14">
        <f t="shared" si="25"/>
        <v>0</v>
      </c>
      <c r="E61" s="14">
        <f t="shared" si="25"/>
        <v>0</v>
      </c>
      <c r="F61" s="14">
        <f t="shared" si="25"/>
        <v>0</v>
      </c>
      <c r="G61" s="14">
        <f t="shared" si="25"/>
        <v>0</v>
      </c>
      <c r="H61" s="14">
        <f t="shared" si="25"/>
        <v>0</v>
      </c>
      <c r="I61" s="14">
        <f t="shared" si="25"/>
        <v>0</v>
      </c>
      <c r="J61" s="14">
        <f t="shared" si="25"/>
        <v>0</v>
      </c>
      <c r="K61" s="14">
        <f t="shared" si="25"/>
        <v>0</v>
      </c>
      <c r="L61" s="14">
        <f t="shared" si="25"/>
        <v>0</v>
      </c>
      <c r="M61" s="14">
        <f t="shared" si="25"/>
        <v>0</v>
      </c>
      <c r="N61" s="14">
        <f t="shared" si="25"/>
        <v>0</v>
      </c>
      <c r="O61" s="14">
        <f t="shared" si="23"/>
        <v>0</v>
      </c>
      <c r="P61" s="120"/>
      <c r="Q61" s="84"/>
    </row>
    <row r="62" spans="1:17" ht="14.25">
      <c r="A62" s="102" t="s">
        <v>365</v>
      </c>
      <c r="B62" s="89" t="s">
        <v>130</v>
      </c>
      <c r="C62" s="14">
        <f aca="true" t="shared" si="26" ref="C62:N74">$P62/12</f>
        <v>0</v>
      </c>
      <c r="D62" s="14">
        <f t="shared" si="26"/>
        <v>0</v>
      </c>
      <c r="E62" s="14">
        <f t="shared" si="26"/>
        <v>0</v>
      </c>
      <c r="F62" s="14">
        <f t="shared" si="26"/>
        <v>0</v>
      </c>
      <c r="G62" s="14">
        <f t="shared" si="26"/>
        <v>0</v>
      </c>
      <c r="H62" s="14">
        <f t="shared" si="26"/>
        <v>0</v>
      </c>
      <c r="I62" s="14">
        <f t="shared" si="26"/>
        <v>0</v>
      </c>
      <c r="J62" s="14">
        <f t="shared" si="26"/>
        <v>0</v>
      </c>
      <c r="K62" s="14">
        <f t="shared" si="26"/>
        <v>0</v>
      </c>
      <c r="L62" s="14">
        <f t="shared" si="26"/>
        <v>0</v>
      </c>
      <c r="M62" s="14">
        <f t="shared" si="26"/>
        <v>0</v>
      </c>
      <c r="N62" s="14">
        <f t="shared" si="26"/>
        <v>0</v>
      </c>
      <c r="O62" s="14">
        <f t="shared" si="23"/>
        <v>0</v>
      </c>
      <c r="P62" s="120"/>
      <c r="Q62" s="84"/>
    </row>
    <row r="63" spans="1:17" ht="14.25">
      <c r="A63" s="102" t="s">
        <v>131</v>
      </c>
      <c r="B63" s="89" t="s">
        <v>132</v>
      </c>
      <c r="C63" s="14">
        <f t="shared" si="26"/>
        <v>0</v>
      </c>
      <c r="D63" s="14">
        <f t="shared" si="26"/>
        <v>0</v>
      </c>
      <c r="E63" s="14">
        <f t="shared" si="26"/>
        <v>0</v>
      </c>
      <c r="F63" s="14">
        <f t="shared" si="26"/>
        <v>0</v>
      </c>
      <c r="G63" s="14">
        <f t="shared" si="26"/>
        <v>0</v>
      </c>
      <c r="H63" s="14">
        <f t="shared" si="26"/>
        <v>0</v>
      </c>
      <c r="I63" s="14">
        <f t="shared" si="26"/>
        <v>0</v>
      </c>
      <c r="J63" s="14">
        <f t="shared" si="26"/>
        <v>0</v>
      </c>
      <c r="K63" s="14">
        <f t="shared" si="26"/>
        <v>0</v>
      </c>
      <c r="L63" s="14">
        <f t="shared" si="26"/>
        <v>0</v>
      </c>
      <c r="M63" s="14">
        <f t="shared" si="26"/>
        <v>0</v>
      </c>
      <c r="N63" s="14">
        <f t="shared" si="26"/>
        <v>0</v>
      </c>
      <c r="O63" s="14">
        <f t="shared" si="23"/>
        <v>0</v>
      </c>
      <c r="P63" s="120"/>
      <c r="Q63" s="84"/>
    </row>
    <row r="64" spans="1:17" ht="26.25">
      <c r="A64" s="102" t="s">
        <v>133</v>
      </c>
      <c r="B64" s="89" t="s">
        <v>134</v>
      </c>
      <c r="C64" s="14">
        <f t="shared" si="26"/>
        <v>0</v>
      </c>
      <c r="D64" s="14">
        <f t="shared" si="26"/>
        <v>0</v>
      </c>
      <c r="E64" s="14">
        <f t="shared" si="26"/>
        <v>0</v>
      </c>
      <c r="F64" s="14">
        <f t="shared" si="26"/>
        <v>0</v>
      </c>
      <c r="G64" s="14">
        <f t="shared" si="26"/>
        <v>0</v>
      </c>
      <c r="H64" s="14">
        <f t="shared" si="26"/>
        <v>0</v>
      </c>
      <c r="I64" s="14">
        <f t="shared" si="26"/>
        <v>0</v>
      </c>
      <c r="J64" s="14">
        <f t="shared" si="26"/>
        <v>0</v>
      </c>
      <c r="K64" s="14">
        <f t="shared" si="26"/>
        <v>0</v>
      </c>
      <c r="L64" s="14">
        <f t="shared" si="26"/>
        <v>0</v>
      </c>
      <c r="M64" s="14">
        <f t="shared" si="26"/>
        <v>0</v>
      </c>
      <c r="N64" s="14">
        <f t="shared" si="26"/>
        <v>0</v>
      </c>
      <c r="O64" s="14">
        <f t="shared" si="23"/>
        <v>0</v>
      </c>
      <c r="P64" s="120"/>
      <c r="Q64" s="84"/>
    </row>
    <row r="65" spans="1:17" ht="29.25" customHeight="1">
      <c r="A65" s="102" t="s">
        <v>340</v>
      </c>
      <c r="B65" s="89" t="s">
        <v>135</v>
      </c>
      <c r="C65" s="14">
        <f t="shared" si="26"/>
        <v>0</v>
      </c>
      <c r="D65" s="14">
        <f t="shared" si="26"/>
        <v>0</v>
      </c>
      <c r="E65" s="14">
        <f t="shared" si="26"/>
        <v>0</v>
      </c>
      <c r="F65" s="14">
        <f t="shared" si="26"/>
        <v>0</v>
      </c>
      <c r="G65" s="14">
        <f t="shared" si="26"/>
        <v>0</v>
      </c>
      <c r="H65" s="14">
        <f t="shared" si="26"/>
        <v>0</v>
      </c>
      <c r="I65" s="14">
        <f t="shared" si="26"/>
        <v>0</v>
      </c>
      <c r="J65" s="14">
        <f t="shared" si="26"/>
        <v>0</v>
      </c>
      <c r="K65" s="14">
        <f t="shared" si="26"/>
        <v>0</v>
      </c>
      <c r="L65" s="14">
        <f t="shared" si="26"/>
        <v>0</v>
      </c>
      <c r="M65" s="14">
        <f t="shared" si="26"/>
        <v>0</v>
      </c>
      <c r="N65" s="14">
        <f t="shared" si="26"/>
        <v>0</v>
      </c>
      <c r="O65" s="14">
        <f t="shared" si="23"/>
        <v>0</v>
      </c>
      <c r="P65" s="120"/>
      <c r="Q65" s="84"/>
    </row>
    <row r="66" spans="1:17" ht="26.25">
      <c r="A66" s="102" t="s">
        <v>366</v>
      </c>
      <c r="B66" s="89" t="s">
        <v>136</v>
      </c>
      <c r="C66" s="14">
        <f t="shared" si="26"/>
        <v>0</v>
      </c>
      <c r="D66" s="14">
        <f t="shared" si="26"/>
        <v>0</v>
      </c>
      <c r="E66" s="14">
        <f t="shared" si="26"/>
        <v>0</v>
      </c>
      <c r="F66" s="14">
        <f t="shared" si="26"/>
        <v>0</v>
      </c>
      <c r="G66" s="14">
        <f t="shared" si="26"/>
        <v>0</v>
      </c>
      <c r="H66" s="14">
        <f t="shared" si="26"/>
        <v>0</v>
      </c>
      <c r="I66" s="14">
        <f t="shared" si="26"/>
        <v>0</v>
      </c>
      <c r="J66" s="14">
        <f t="shared" si="26"/>
        <v>0</v>
      </c>
      <c r="K66" s="14">
        <f t="shared" si="26"/>
        <v>0</v>
      </c>
      <c r="L66" s="14">
        <f t="shared" si="26"/>
        <v>0</v>
      </c>
      <c r="M66" s="14">
        <f t="shared" si="26"/>
        <v>0</v>
      </c>
      <c r="N66" s="14">
        <f t="shared" si="26"/>
        <v>0</v>
      </c>
      <c r="O66" s="14">
        <f t="shared" si="23"/>
        <v>0</v>
      </c>
      <c r="P66" s="120"/>
      <c r="Q66" s="84"/>
    </row>
    <row r="67" spans="1:17" ht="14.25">
      <c r="A67" s="102" t="s">
        <v>341</v>
      </c>
      <c r="B67" s="89" t="s">
        <v>137</v>
      </c>
      <c r="C67" s="14">
        <f t="shared" si="26"/>
        <v>0</v>
      </c>
      <c r="D67" s="14">
        <f t="shared" si="26"/>
        <v>0</v>
      </c>
      <c r="E67" s="14">
        <f t="shared" si="26"/>
        <v>0</v>
      </c>
      <c r="F67" s="14">
        <f t="shared" si="26"/>
        <v>0</v>
      </c>
      <c r="G67" s="14">
        <f t="shared" si="26"/>
        <v>0</v>
      </c>
      <c r="H67" s="14">
        <f t="shared" si="26"/>
        <v>0</v>
      </c>
      <c r="I67" s="14">
        <f t="shared" si="26"/>
        <v>0</v>
      </c>
      <c r="J67" s="14">
        <f t="shared" si="26"/>
        <v>0</v>
      </c>
      <c r="K67" s="14">
        <f t="shared" si="26"/>
        <v>0</v>
      </c>
      <c r="L67" s="14">
        <f t="shared" si="26"/>
        <v>0</v>
      </c>
      <c r="M67" s="14">
        <f t="shared" si="26"/>
        <v>0</v>
      </c>
      <c r="N67" s="14">
        <f t="shared" si="26"/>
        <v>0</v>
      </c>
      <c r="O67" s="14">
        <f t="shared" si="23"/>
        <v>0</v>
      </c>
      <c r="P67" s="120"/>
      <c r="Q67" s="84"/>
    </row>
    <row r="68" spans="1:17" ht="26.25">
      <c r="A68" s="102" t="s">
        <v>367</v>
      </c>
      <c r="B68" s="89" t="s">
        <v>138</v>
      </c>
      <c r="C68" s="14">
        <f t="shared" si="26"/>
        <v>0</v>
      </c>
      <c r="D68" s="14">
        <f t="shared" si="26"/>
        <v>0</v>
      </c>
      <c r="E68" s="14">
        <f t="shared" si="26"/>
        <v>0</v>
      </c>
      <c r="F68" s="14">
        <f t="shared" si="26"/>
        <v>0</v>
      </c>
      <c r="G68" s="14">
        <f t="shared" si="26"/>
        <v>0</v>
      </c>
      <c r="H68" s="14">
        <f t="shared" si="26"/>
        <v>0</v>
      </c>
      <c r="I68" s="14">
        <f t="shared" si="26"/>
        <v>0</v>
      </c>
      <c r="J68" s="14">
        <f t="shared" si="26"/>
        <v>0</v>
      </c>
      <c r="K68" s="14">
        <f t="shared" si="26"/>
        <v>0</v>
      </c>
      <c r="L68" s="14">
        <f t="shared" si="26"/>
        <v>0</v>
      </c>
      <c r="M68" s="14">
        <f t="shared" si="26"/>
        <v>0</v>
      </c>
      <c r="N68" s="14">
        <f t="shared" si="26"/>
        <v>0</v>
      </c>
      <c r="O68" s="14">
        <f t="shared" si="23"/>
        <v>0</v>
      </c>
      <c r="P68" s="120"/>
      <c r="Q68" s="84"/>
    </row>
    <row r="69" spans="1:17" ht="31.5" customHeight="1">
      <c r="A69" s="102" t="s">
        <v>368</v>
      </c>
      <c r="B69" s="89" t="s">
        <v>139</v>
      </c>
      <c r="C69" s="14">
        <f t="shared" si="26"/>
        <v>0</v>
      </c>
      <c r="D69" s="14">
        <f t="shared" si="26"/>
        <v>0</v>
      </c>
      <c r="E69" s="14">
        <f t="shared" si="26"/>
        <v>0</v>
      </c>
      <c r="F69" s="14">
        <f t="shared" si="26"/>
        <v>0</v>
      </c>
      <c r="G69" s="14">
        <f t="shared" si="26"/>
        <v>0</v>
      </c>
      <c r="H69" s="14">
        <f t="shared" si="26"/>
        <v>0</v>
      </c>
      <c r="I69" s="14">
        <f t="shared" si="26"/>
        <v>0</v>
      </c>
      <c r="J69" s="14">
        <f t="shared" si="26"/>
        <v>0</v>
      </c>
      <c r="K69" s="14">
        <f t="shared" si="26"/>
        <v>0</v>
      </c>
      <c r="L69" s="14">
        <f t="shared" si="26"/>
        <v>0</v>
      </c>
      <c r="M69" s="14"/>
      <c r="N69" s="14">
        <f t="shared" si="26"/>
        <v>0</v>
      </c>
      <c r="O69" s="14">
        <f t="shared" si="23"/>
        <v>0</v>
      </c>
      <c r="P69" s="120"/>
      <c r="Q69" s="84"/>
    </row>
    <row r="70" spans="1:17" ht="14.25">
      <c r="A70" s="102" t="s">
        <v>140</v>
      </c>
      <c r="B70" s="89" t="s">
        <v>141</v>
      </c>
      <c r="C70" s="14">
        <f t="shared" si="26"/>
        <v>0</v>
      </c>
      <c r="D70" s="14">
        <f t="shared" si="26"/>
        <v>0</v>
      </c>
      <c r="E70" s="14">
        <f t="shared" si="26"/>
        <v>0</v>
      </c>
      <c r="F70" s="14">
        <f t="shared" si="26"/>
        <v>0</v>
      </c>
      <c r="G70" s="14">
        <f t="shared" si="26"/>
        <v>0</v>
      </c>
      <c r="H70" s="14">
        <f t="shared" si="26"/>
        <v>0</v>
      </c>
      <c r="I70" s="14">
        <f t="shared" si="26"/>
        <v>0</v>
      </c>
      <c r="J70" s="14">
        <f t="shared" si="26"/>
        <v>0</v>
      </c>
      <c r="K70" s="14">
        <f t="shared" si="26"/>
        <v>0</v>
      </c>
      <c r="L70" s="14">
        <f t="shared" si="26"/>
        <v>0</v>
      </c>
      <c r="M70" s="14">
        <f t="shared" si="26"/>
        <v>0</v>
      </c>
      <c r="N70" s="14">
        <f t="shared" si="26"/>
        <v>0</v>
      </c>
      <c r="O70" s="14">
        <f t="shared" si="23"/>
        <v>0</v>
      </c>
      <c r="P70" s="120"/>
      <c r="Q70" s="84"/>
    </row>
    <row r="71" spans="1:17" ht="14.25">
      <c r="A71" s="102" t="s">
        <v>142</v>
      </c>
      <c r="B71" s="89" t="s">
        <v>143</v>
      </c>
      <c r="C71" s="14">
        <f t="shared" si="26"/>
        <v>0</v>
      </c>
      <c r="D71" s="14">
        <f t="shared" si="26"/>
        <v>0</v>
      </c>
      <c r="E71" s="14">
        <f t="shared" si="26"/>
        <v>0</v>
      </c>
      <c r="F71" s="14">
        <f t="shared" si="26"/>
        <v>0</v>
      </c>
      <c r="G71" s="14">
        <f t="shared" si="26"/>
        <v>0</v>
      </c>
      <c r="H71" s="14">
        <f t="shared" si="26"/>
        <v>0</v>
      </c>
      <c r="I71" s="14">
        <f t="shared" si="26"/>
        <v>0</v>
      </c>
      <c r="J71" s="14">
        <f t="shared" si="26"/>
        <v>0</v>
      </c>
      <c r="K71" s="14">
        <f t="shared" si="26"/>
        <v>0</v>
      </c>
      <c r="L71" s="14">
        <f t="shared" si="26"/>
        <v>0</v>
      </c>
      <c r="M71" s="14">
        <f t="shared" si="26"/>
        <v>0</v>
      </c>
      <c r="N71" s="14">
        <f t="shared" si="26"/>
        <v>0</v>
      </c>
      <c r="O71" s="14">
        <f t="shared" si="23"/>
        <v>0</v>
      </c>
      <c r="P71" s="120"/>
      <c r="Q71" s="84"/>
    </row>
    <row r="72" spans="1:17" ht="14.25">
      <c r="A72" s="102" t="s">
        <v>369</v>
      </c>
      <c r="B72" s="89" t="s">
        <v>145</v>
      </c>
      <c r="C72" s="14">
        <f t="shared" si="26"/>
        <v>0</v>
      </c>
      <c r="D72" s="14">
        <f t="shared" si="26"/>
        <v>0</v>
      </c>
      <c r="E72" s="14">
        <f t="shared" si="26"/>
        <v>0</v>
      </c>
      <c r="F72" s="14">
        <f t="shared" si="26"/>
        <v>0</v>
      </c>
      <c r="G72" s="14">
        <f t="shared" si="26"/>
        <v>0</v>
      </c>
      <c r="H72" s="14">
        <f t="shared" si="26"/>
        <v>0</v>
      </c>
      <c r="I72" s="14">
        <f t="shared" si="26"/>
        <v>0</v>
      </c>
      <c r="J72" s="14">
        <f t="shared" si="26"/>
        <v>0</v>
      </c>
      <c r="K72" s="14">
        <f t="shared" si="26"/>
        <v>0</v>
      </c>
      <c r="L72" s="14">
        <f t="shared" si="26"/>
        <v>0</v>
      </c>
      <c r="M72" s="14">
        <f t="shared" si="26"/>
        <v>0</v>
      </c>
      <c r="N72" s="14">
        <f t="shared" si="26"/>
        <v>0</v>
      </c>
      <c r="O72" s="14">
        <f t="shared" si="23"/>
        <v>0</v>
      </c>
      <c r="P72" s="120"/>
      <c r="Q72" s="84"/>
    </row>
    <row r="73" spans="1:17" ht="14.25">
      <c r="A73" s="102" t="s">
        <v>19</v>
      </c>
      <c r="B73" s="89" t="s">
        <v>146</v>
      </c>
      <c r="C73" s="14">
        <f t="shared" si="26"/>
        <v>0</v>
      </c>
      <c r="D73" s="14">
        <f t="shared" si="26"/>
        <v>0</v>
      </c>
      <c r="E73" s="14">
        <f t="shared" si="26"/>
        <v>0</v>
      </c>
      <c r="F73" s="14">
        <f t="shared" si="26"/>
        <v>0</v>
      </c>
      <c r="G73" s="14">
        <f t="shared" si="26"/>
        <v>0</v>
      </c>
      <c r="H73" s="14">
        <f t="shared" si="26"/>
        <v>0</v>
      </c>
      <c r="I73" s="14">
        <f t="shared" si="26"/>
        <v>0</v>
      </c>
      <c r="J73" s="14">
        <f t="shared" si="26"/>
        <v>0</v>
      </c>
      <c r="K73" s="14">
        <f t="shared" si="26"/>
        <v>0</v>
      </c>
      <c r="L73" s="14">
        <f t="shared" si="26"/>
        <v>0</v>
      </c>
      <c r="M73" s="14">
        <f t="shared" si="26"/>
        <v>0</v>
      </c>
      <c r="N73" s="14">
        <f t="shared" si="26"/>
        <v>0</v>
      </c>
      <c r="O73" s="14">
        <f aca="true" t="shared" si="27" ref="O73:O136">SUM(C73:N73)</f>
        <v>0</v>
      </c>
      <c r="P73" s="120"/>
      <c r="Q73" s="84"/>
    </row>
    <row r="74" spans="1:17" ht="14.25">
      <c r="A74" s="102" t="s">
        <v>20</v>
      </c>
      <c r="B74" s="89" t="s">
        <v>146</v>
      </c>
      <c r="C74" s="14">
        <f t="shared" si="26"/>
        <v>0</v>
      </c>
      <c r="D74" s="14">
        <f t="shared" si="26"/>
        <v>0</v>
      </c>
      <c r="E74" s="14">
        <f t="shared" si="26"/>
        <v>0</v>
      </c>
      <c r="F74" s="14">
        <f t="shared" si="26"/>
        <v>0</v>
      </c>
      <c r="G74" s="14">
        <f t="shared" si="26"/>
        <v>0</v>
      </c>
      <c r="H74" s="14">
        <f t="shared" si="26"/>
        <v>0</v>
      </c>
      <c r="I74" s="14">
        <f t="shared" si="26"/>
        <v>0</v>
      </c>
      <c r="J74" s="14">
        <f t="shared" si="26"/>
        <v>0</v>
      </c>
      <c r="K74" s="14">
        <f t="shared" si="26"/>
        <v>0</v>
      </c>
      <c r="L74" s="14">
        <f t="shared" si="26"/>
        <v>0</v>
      </c>
      <c r="M74" s="14">
        <f t="shared" si="26"/>
        <v>0</v>
      </c>
      <c r="N74" s="14">
        <f t="shared" si="26"/>
        <v>0</v>
      </c>
      <c r="O74" s="14">
        <f t="shared" si="27"/>
        <v>0</v>
      </c>
      <c r="P74" s="120"/>
      <c r="Q74" s="84"/>
    </row>
    <row r="75" spans="1:17" ht="14.25">
      <c r="A75" s="101" t="s">
        <v>342</v>
      </c>
      <c r="B75" s="97" t="s">
        <v>147</v>
      </c>
      <c r="C75" s="14">
        <f aca="true" t="shared" si="28" ref="C75:O75">SUM(C67:C74)</f>
        <v>0</v>
      </c>
      <c r="D75" s="14">
        <f t="shared" si="28"/>
        <v>0</v>
      </c>
      <c r="E75" s="14">
        <f t="shared" si="28"/>
        <v>0</v>
      </c>
      <c r="F75" s="14">
        <f t="shared" si="28"/>
        <v>0</v>
      </c>
      <c r="G75" s="14">
        <f t="shared" si="28"/>
        <v>0</v>
      </c>
      <c r="H75" s="14">
        <f t="shared" si="28"/>
        <v>0</v>
      </c>
      <c r="I75" s="14">
        <f t="shared" si="28"/>
        <v>0</v>
      </c>
      <c r="J75" s="14">
        <f t="shared" si="28"/>
        <v>0</v>
      </c>
      <c r="K75" s="14">
        <f t="shared" si="28"/>
        <v>0</v>
      </c>
      <c r="L75" s="14">
        <f t="shared" si="28"/>
        <v>0</v>
      </c>
      <c r="M75" s="14">
        <f t="shared" si="28"/>
        <v>0</v>
      </c>
      <c r="N75" s="14">
        <f t="shared" si="28"/>
        <v>0</v>
      </c>
      <c r="O75" s="14">
        <f t="shared" si="28"/>
        <v>0</v>
      </c>
      <c r="P75" s="120"/>
      <c r="Q75" s="84"/>
    </row>
    <row r="76" spans="1:17" ht="15">
      <c r="A76" s="179" t="s">
        <v>9</v>
      </c>
      <c r="B76" s="9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f t="shared" si="27"/>
        <v>0</v>
      </c>
      <c r="P76" s="120"/>
      <c r="Q76" s="84"/>
    </row>
    <row r="77" spans="1:17" ht="14.25">
      <c r="A77" s="91" t="s">
        <v>148</v>
      </c>
      <c r="B77" s="89" t="s">
        <v>149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f t="shared" si="27"/>
        <v>0</v>
      </c>
      <c r="P77" s="120"/>
      <c r="Q77" s="84"/>
    </row>
    <row r="78" spans="1:17" ht="14.25">
      <c r="A78" s="91" t="s">
        <v>370</v>
      </c>
      <c r="B78" s="89" t="s">
        <v>150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f t="shared" si="27"/>
        <v>0</v>
      </c>
      <c r="P78" s="120"/>
      <c r="Q78" s="84"/>
    </row>
    <row r="79" spans="1:17" ht="14.25">
      <c r="A79" s="91" t="s">
        <v>151</v>
      </c>
      <c r="B79" s="89" t="s">
        <v>152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>
        <f t="shared" si="27"/>
        <v>0</v>
      </c>
      <c r="P79" s="120"/>
      <c r="Q79" s="84"/>
    </row>
    <row r="80" spans="1:17" ht="14.25">
      <c r="A80" s="91" t="s">
        <v>153</v>
      </c>
      <c r="B80" s="89" t="s">
        <v>154</v>
      </c>
      <c r="C80" s="14"/>
      <c r="D80" s="14"/>
      <c r="E80" s="14">
        <v>239470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20"/>
      <c r="Q80" s="84"/>
    </row>
    <row r="81" spans="1:17" ht="14.25">
      <c r="A81" s="91" t="s">
        <v>155</v>
      </c>
      <c r="B81" s="89" t="s">
        <v>156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f t="shared" si="27"/>
        <v>0</v>
      </c>
      <c r="P81" s="120"/>
      <c r="Q81" s="84"/>
    </row>
    <row r="82" spans="1:17" ht="14.25">
      <c r="A82" s="91" t="s">
        <v>157</v>
      </c>
      <c r="B82" s="89" t="s">
        <v>158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>
        <f t="shared" si="27"/>
        <v>0</v>
      </c>
      <c r="P82" s="120"/>
      <c r="Q82" s="84"/>
    </row>
    <row r="83" spans="1:17" ht="14.25">
      <c r="A83" s="91" t="s">
        <v>159</v>
      </c>
      <c r="B83" s="89" t="s">
        <v>160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>
        <f>SUM(C83:N83)</f>
        <v>0</v>
      </c>
      <c r="P83" s="120"/>
      <c r="Q83" s="84"/>
    </row>
    <row r="84" spans="1:17" ht="14.25">
      <c r="A84" s="98" t="s">
        <v>343</v>
      </c>
      <c r="B84" s="97" t="s">
        <v>161</v>
      </c>
      <c r="C84" s="14">
        <f>SUM(C77:C83)</f>
        <v>0</v>
      </c>
      <c r="D84" s="14">
        <f aca="true" t="shared" si="29" ref="D84:N84">SUM(D77:D83)</f>
        <v>0</v>
      </c>
      <c r="E84" s="14">
        <f t="shared" si="29"/>
        <v>239470</v>
      </c>
      <c r="F84" s="14">
        <f t="shared" si="29"/>
        <v>0</v>
      </c>
      <c r="G84" s="14">
        <f>SUM(G77:G83)</f>
        <v>0</v>
      </c>
      <c r="H84" s="14">
        <f t="shared" si="29"/>
        <v>0</v>
      </c>
      <c r="I84" s="14">
        <f t="shared" si="29"/>
        <v>0</v>
      </c>
      <c r="J84" s="14">
        <f t="shared" si="29"/>
        <v>0</v>
      </c>
      <c r="K84" s="14">
        <f t="shared" si="29"/>
        <v>0</v>
      </c>
      <c r="L84" s="14">
        <f t="shared" si="29"/>
        <v>0</v>
      </c>
      <c r="M84" s="14">
        <f t="shared" si="29"/>
        <v>0</v>
      </c>
      <c r="N84" s="14">
        <f t="shared" si="29"/>
        <v>0</v>
      </c>
      <c r="O84" s="14">
        <f>SUM(C84:N84)</f>
        <v>239470</v>
      </c>
      <c r="P84" s="120"/>
      <c r="Q84" s="84"/>
    </row>
    <row r="85" spans="1:17" ht="14.25">
      <c r="A85" s="15" t="s">
        <v>162</v>
      </c>
      <c r="B85" s="89" t="s">
        <v>163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>
        <f>SUM(C85:N85)</f>
        <v>0</v>
      </c>
      <c r="P85" s="120"/>
      <c r="Q85" s="84"/>
    </row>
    <row r="86" spans="1:17" ht="14.25">
      <c r="A86" s="15" t="s">
        <v>164</v>
      </c>
      <c r="B86" s="89" t="s">
        <v>165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>
        <f t="shared" si="27"/>
        <v>0</v>
      </c>
      <c r="P86" s="120"/>
      <c r="Q86" s="84"/>
    </row>
    <row r="87" spans="1:17" ht="14.25">
      <c r="A87" s="15" t="s">
        <v>166</v>
      </c>
      <c r="B87" s="89" t="s">
        <v>167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>
        <f t="shared" si="27"/>
        <v>0</v>
      </c>
      <c r="P87" s="120"/>
      <c r="Q87" s="84"/>
    </row>
    <row r="88" spans="1:17" ht="14.25">
      <c r="A88" s="15" t="s">
        <v>168</v>
      </c>
      <c r="B88" s="89" t="s">
        <v>169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>
        <f>SUM(C88:N88)</f>
        <v>0</v>
      </c>
      <c r="P88" s="120"/>
      <c r="Q88" s="84"/>
    </row>
    <row r="89" spans="1:17" ht="14.25">
      <c r="A89" s="101" t="s">
        <v>344</v>
      </c>
      <c r="B89" s="97" t="s">
        <v>170</v>
      </c>
      <c r="C89" s="14">
        <f>SUM(C85:C88)</f>
        <v>0</v>
      </c>
      <c r="D89" s="14">
        <f aca="true" t="shared" si="30" ref="D89:N89">SUM(D85:D88)</f>
        <v>0</v>
      </c>
      <c r="E89" s="14">
        <f t="shared" si="30"/>
        <v>0</v>
      </c>
      <c r="F89" s="14">
        <f t="shared" si="30"/>
        <v>0</v>
      </c>
      <c r="G89" s="14">
        <f>SUM(G85:G88)</f>
        <v>0</v>
      </c>
      <c r="H89" s="14">
        <f t="shared" si="30"/>
        <v>0</v>
      </c>
      <c r="I89" s="14">
        <f t="shared" si="30"/>
        <v>0</v>
      </c>
      <c r="J89" s="14">
        <f t="shared" si="30"/>
        <v>0</v>
      </c>
      <c r="K89" s="14">
        <f>SUM(K85:K88)</f>
        <v>0</v>
      </c>
      <c r="L89" s="14">
        <f t="shared" si="30"/>
        <v>0</v>
      </c>
      <c r="M89" s="14">
        <f>SUM(M85:M88)</f>
        <v>0</v>
      </c>
      <c r="N89" s="14">
        <f t="shared" si="30"/>
        <v>0</v>
      </c>
      <c r="O89" s="14">
        <f>SUM(C89:N89)</f>
        <v>0</v>
      </c>
      <c r="P89" s="120"/>
      <c r="Q89" s="84"/>
    </row>
    <row r="90" spans="1:17" ht="26.25">
      <c r="A90" s="15" t="s">
        <v>171</v>
      </c>
      <c r="B90" s="89" t="s">
        <v>172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>
        <f t="shared" si="27"/>
        <v>0</v>
      </c>
      <c r="P90" s="120"/>
      <c r="Q90" s="84"/>
    </row>
    <row r="91" spans="1:17" ht="26.25">
      <c r="A91" s="15" t="s">
        <v>371</v>
      </c>
      <c r="B91" s="89" t="s">
        <v>173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>
        <f t="shared" si="27"/>
        <v>0</v>
      </c>
      <c r="P91" s="120"/>
      <c r="Q91" s="84"/>
    </row>
    <row r="92" spans="1:17" ht="26.25">
      <c r="A92" s="15" t="s">
        <v>372</v>
      </c>
      <c r="B92" s="89" t="s">
        <v>174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>
        <f t="shared" si="27"/>
        <v>0</v>
      </c>
      <c r="P92" s="120"/>
      <c r="Q92" s="84"/>
    </row>
    <row r="93" spans="1:17" ht="14.25">
      <c r="A93" s="15" t="s">
        <v>373</v>
      </c>
      <c r="B93" s="89" t="s">
        <v>175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>
        <f t="shared" si="27"/>
        <v>0</v>
      </c>
      <c r="P93" s="120"/>
      <c r="Q93" s="84"/>
    </row>
    <row r="94" spans="1:17" ht="26.25">
      <c r="A94" s="15" t="s">
        <v>374</v>
      </c>
      <c r="B94" s="89" t="s">
        <v>176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>
        <f t="shared" si="27"/>
        <v>0</v>
      </c>
      <c r="P94" s="120"/>
      <c r="Q94" s="84"/>
    </row>
    <row r="95" spans="1:17" ht="26.25">
      <c r="A95" s="15" t="s">
        <v>375</v>
      </c>
      <c r="B95" s="89" t="s">
        <v>177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>
        <f t="shared" si="27"/>
        <v>0</v>
      </c>
      <c r="P95" s="120"/>
      <c r="Q95" s="84"/>
    </row>
    <row r="96" spans="1:17" ht="14.25">
      <c r="A96" s="15" t="s">
        <v>178</v>
      </c>
      <c r="B96" s="89" t="s">
        <v>179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>
        <f t="shared" si="27"/>
        <v>0</v>
      </c>
      <c r="P96" s="120"/>
      <c r="Q96" s="84"/>
    </row>
    <row r="97" spans="1:17" ht="14.25">
      <c r="A97" s="15" t="s">
        <v>376</v>
      </c>
      <c r="B97" s="89" t="s">
        <v>180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>
        <f t="shared" si="27"/>
        <v>0</v>
      </c>
      <c r="P97" s="120"/>
      <c r="Q97" s="84"/>
    </row>
    <row r="98" spans="1:17" ht="14.25">
      <c r="A98" s="101" t="s">
        <v>345</v>
      </c>
      <c r="B98" s="97" t="s">
        <v>181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>
        <f t="shared" si="27"/>
        <v>0</v>
      </c>
      <c r="P98" s="120"/>
      <c r="Q98" s="84"/>
    </row>
    <row r="99" spans="1:17" ht="15">
      <c r="A99" s="179" t="s">
        <v>8</v>
      </c>
      <c r="B99" s="97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>
        <f t="shared" si="27"/>
        <v>0</v>
      </c>
      <c r="P99" s="120"/>
      <c r="Q99" s="84"/>
    </row>
    <row r="100" spans="1:17" s="128" customFormat="1" ht="15">
      <c r="A100" s="113" t="s">
        <v>384</v>
      </c>
      <c r="B100" s="107" t="s">
        <v>182</v>
      </c>
      <c r="C100" s="16">
        <f>C52+C26+C27</f>
        <v>6846314.666666667</v>
      </c>
      <c r="D100" s="16">
        <f aca="true" t="shared" si="31" ref="D100:M100">D52+D26+D27</f>
        <v>6846314.666666667</v>
      </c>
      <c r="E100" s="16">
        <f t="shared" si="31"/>
        <v>6846314.666666667</v>
      </c>
      <c r="F100" s="16">
        <f t="shared" si="31"/>
        <v>6944208.666666667</v>
      </c>
      <c r="G100" s="16">
        <f t="shared" si="31"/>
        <v>6944208.666666667</v>
      </c>
      <c r="H100" s="16">
        <f t="shared" si="31"/>
        <v>6798420.666666667</v>
      </c>
      <c r="I100" s="16">
        <f t="shared" si="31"/>
        <v>16673808.666666668</v>
      </c>
      <c r="J100" s="16">
        <f t="shared" si="31"/>
        <v>6894208.666666667</v>
      </c>
      <c r="K100" s="16">
        <f t="shared" si="31"/>
        <v>6894208.666666667</v>
      </c>
      <c r="L100" s="16">
        <f t="shared" si="31"/>
        <v>6894208.666666667</v>
      </c>
      <c r="M100" s="16">
        <f t="shared" si="31"/>
        <v>6894208.666666667</v>
      </c>
      <c r="N100" s="16">
        <f>N52+N26+N27-3</f>
        <v>6894208.666666667</v>
      </c>
      <c r="O100" s="16">
        <f>O52+O27+O26+O84</f>
        <v>82830504</v>
      </c>
      <c r="P100" s="176">
        <f>C100+D100+E100+F100+G100+H100+I100+J100+K100+L100+M100+N100</f>
        <v>92370634.00000001</v>
      </c>
      <c r="Q100" s="127"/>
    </row>
    <row r="101" spans="1:17" ht="14.25">
      <c r="A101" s="15" t="s">
        <v>377</v>
      </c>
      <c r="B101" s="91" t="s">
        <v>183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>
        <f t="shared" si="27"/>
        <v>0</v>
      </c>
      <c r="P101" s="120"/>
      <c r="Q101" s="84"/>
    </row>
    <row r="102" spans="1:17" ht="14.25">
      <c r="A102" s="15" t="s">
        <v>184</v>
      </c>
      <c r="B102" s="91" t="s">
        <v>185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>
        <f t="shared" si="27"/>
        <v>0</v>
      </c>
      <c r="P102" s="120"/>
      <c r="Q102" s="84"/>
    </row>
    <row r="103" spans="1:17" ht="14.25">
      <c r="A103" s="15" t="s">
        <v>378</v>
      </c>
      <c r="B103" s="91" t="s">
        <v>186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>
        <f t="shared" si="27"/>
        <v>0</v>
      </c>
      <c r="P103" s="120"/>
      <c r="Q103" s="84"/>
    </row>
    <row r="104" spans="1:17" ht="14.25">
      <c r="A104" s="108" t="s">
        <v>346</v>
      </c>
      <c r="B104" s="95" t="s">
        <v>187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>
        <f t="shared" si="27"/>
        <v>0</v>
      </c>
      <c r="P104" s="120"/>
      <c r="Q104" s="84"/>
    </row>
    <row r="105" spans="1:17" ht="14.25">
      <c r="A105" s="15" t="s">
        <v>379</v>
      </c>
      <c r="B105" s="91" t="s">
        <v>188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>
        <f t="shared" si="27"/>
        <v>0</v>
      </c>
      <c r="P105" s="120"/>
      <c r="Q105" s="84"/>
    </row>
    <row r="106" spans="1:17" ht="14.25">
      <c r="A106" s="15" t="s">
        <v>349</v>
      </c>
      <c r="B106" s="91" t="s">
        <v>189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>
        <f t="shared" si="27"/>
        <v>0</v>
      </c>
      <c r="P106" s="120"/>
      <c r="Q106" s="84"/>
    </row>
    <row r="107" spans="1:17" ht="14.25">
      <c r="A107" s="15" t="s">
        <v>190</v>
      </c>
      <c r="B107" s="91" t="s">
        <v>191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>
        <f t="shared" si="27"/>
        <v>0</v>
      </c>
      <c r="P107" s="120"/>
      <c r="Q107" s="84"/>
    </row>
    <row r="108" spans="1:17" ht="14.25">
      <c r="A108" s="15" t="s">
        <v>380</v>
      </c>
      <c r="B108" s="91" t="s">
        <v>192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>
        <f t="shared" si="27"/>
        <v>0</v>
      </c>
      <c r="P108" s="120"/>
      <c r="Q108" s="84"/>
    </row>
    <row r="109" spans="1:17" ht="14.25">
      <c r="A109" s="108" t="s">
        <v>347</v>
      </c>
      <c r="B109" s="95" t="s">
        <v>193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>
        <f t="shared" si="27"/>
        <v>0</v>
      </c>
      <c r="P109" s="120"/>
      <c r="Q109" s="84"/>
    </row>
    <row r="110" spans="1:17" ht="14.25">
      <c r="A110" s="15" t="s">
        <v>194</v>
      </c>
      <c r="B110" s="91" t="s">
        <v>195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>
        <f t="shared" si="27"/>
        <v>0</v>
      </c>
      <c r="P110" s="120"/>
      <c r="Q110" s="84"/>
    </row>
    <row r="111" spans="1:17" ht="14.25">
      <c r="A111" s="15" t="s">
        <v>196</v>
      </c>
      <c r="B111" s="91" t="s">
        <v>197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>
        <f t="shared" si="27"/>
        <v>0</v>
      </c>
      <c r="P111" s="120"/>
      <c r="Q111" s="84"/>
    </row>
    <row r="112" spans="1:17" ht="14.25">
      <c r="A112" s="108" t="s">
        <v>198</v>
      </c>
      <c r="B112" s="95" t="s">
        <v>199</v>
      </c>
      <c r="C112" s="14"/>
      <c r="D112" s="14">
        <f aca="true" t="shared" si="32" ref="D112:N112">$P112/12</f>
        <v>0</v>
      </c>
      <c r="E112" s="14">
        <f t="shared" si="32"/>
        <v>0</v>
      </c>
      <c r="F112" s="14">
        <f t="shared" si="32"/>
        <v>0</v>
      </c>
      <c r="G112" s="14">
        <f t="shared" si="32"/>
        <v>0</v>
      </c>
      <c r="H112" s="14">
        <f t="shared" si="32"/>
        <v>0</v>
      </c>
      <c r="I112" s="14">
        <f t="shared" si="32"/>
        <v>0</v>
      </c>
      <c r="J112" s="14">
        <f t="shared" si="32"/>
        <v>0</v>
      </c>
      <c r="K112" s="14">
        <f t="shared" si="32"/>
        <v>0</v>
      </c>
      <c r="L112" s="14">
        <f t="shared" si="32"/>
        <v>0</v>
      </c>
      <c r="M112" s="14">
        <f t="shared" si="32"/>
        <v>0</v>
      </c>
      <c r="N112" s="14">
        <f t="shared" si="32"/>
        <v>0</v>
      </c>
      <c r="O112" s="14">
        <f>SUM(C112:N112)</f>
        <v>0</v>
      </c>
      <c r="P112" s="120"/>
      <c r="Q112" s="84"/>
    </row>
    <row r="113" spans="1:17" ht="14.25">
      <c r="A113" s="15" t="s">
        <v>200</v>
      </c>
      <c r="B113" s="91" t="s">
        <v>201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>
        <f t="shared" si="27"/>
        <v>0</v>
      </c>
      <c r="P113" s="120"/>
      <c r="Q113" s="84"/>
    </row>
    <row r="114" spans="1:17" ht="14.25">
      <c r="A114" s="15" t="s">
        <v>202</v>
      </c>
      <c r="B114" s="91" t="s">
        <v>203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>
        <f t="shared" si="27"/>
        <v>0</v>
      </c>
      <c r="P114" s="120"/>
      <c r="Q114" s="84"/>
    </row>
    <row r="115" spans="1:17" ht="14.25">
      <c r="A115" s="15" t="s">
        <v>204</v>
      </c>
      <c r="B115" s="91" t="s">
        <v>205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>
        <f t="shared" si="27"/>
        <v>0</v>
      </c>
      <c r="P115" s="120"/>
      <c r="Q115" s="84"/>
    </row>
    <row r="116" spans="1:17" ht="14.25">
      <c r="A116" s="101" t="s">
        <v>348</v>
      </c>
      <c r="B116" s="98" t="s">
        <v>206</v>
      </c>
      <c r="C116" s="14">
        <f aca="true" t="shared" si="33" ref="C116:N116">SUM(C112:C115)</f>
        <v>0</v>
      </c>
      <c r="D116" s="14">
        <f t="shared" si="33"/>
        <v>0</v>
      </c>
      <c r="E116" s="14">
        <f t="shared" si="33"/>
        <v>0</v>
      </c>
      <c r="F116" s="14">
        <f t="shared" si="33"/>
        <v>0</v>
      </c>
      <c r="G116" s="14">
        <f t="shared" si="33"/>
        <v>0</v>
      </c>
      <c r="H116" s="14">
        <f t="shared" si="33"/>
        <v>0</v>
      </c>
      <c r="I116" s="14">
        <f t="shared" si="33"/>
        <v>0</v>
      </c>
      <c r="J116" s="14">
        <f t="shared" si="33"/>
        <v>0</v>
      </c>
      <c r="K116" s="14">
        <f t="shared" si="33"/>
        <v>0</v>
      </c>
      <c r="L116" s="14">
        <f t="shared" si="33"/>
        <v>0</v>
      </c>
      <c r="M116" s="14">
        <f t="shared" si="33"/>
        <v>0</v>
      </c>
      <c r="N116" s="14">
        <f t="shared" si="33"/>
        <v>0</v>
      </c>
      <c r="O116" s="14">
        <f>SUM(C116:N116)</f>
        <v>0</v>
      </c>
      <c r="P116" s="120"/>
      <c r="Q116" s="84"/>
    </row>
    <row r="117" spans="1:17" ht="14.25">
      <c r="A117" s="15" t="s">
        <v>207</v>
      </c>
      <c r="B117" s="91" t="s">
        <v>208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>
        <f t="shared" si="27"/>
        <v>0</v>
      </c>
      <c r="P117" s="120"/>
      <c r="Q117" s="84"/>
    </row>
    <row r="118" spans="1:17" ht="14.25">
      <c r="A118" s="15" t="s">
        <v>209</v>
      </c>
      <c r="B118" s="91" t="s">
        <v>210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>
        <f t="shared" si="27"/>
        <v>0</v>
      </c>
      <c r="P118" s="120"/>
      <c r="Q118" s="84"/>
    </row>
    <row r="119" spans="1:17" ht="14.25">
      <c r="A119" s="15" t="s">
        <v>381</v>
      </c>
      <c r="B119" s="91" t="s">
        <v>211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>
        <f t="shared" si="27"/>
        <v>0</v>
      </c>
      <c r="P119" s="120"/>
      <c r="Q119" s="84"/>
    </row>
    <row r="120" spans="1:17" ht="14.25">
      <c r="A120" s="15" t="s">
        <v>350</v>
      </c>
      <c r="B120" s="91" t="s">
        <v>212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>
        <f t="shared" si="27"/>
        <v>0</v>
      </c>
      <c r="P120" s="120"/>
      <c r="Q120" s="84"/>
    </row>
    <row r="121" spans="1:17" ht="14.25">
      <c r="A121" s="101" t="s">
        <v>351</v>
      </c>
      <c r="B121" s="98" t="s">
        <v>213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>
        <f t="shared" si="27"/>
        <v>0</v>
      </c>
      <c r="P121" s="120"/>
      <c r="Q121" s="84"/>
    </row>
    <row r="122" spans="1:17" ht="14.25">
      <c r="A122" s="15" t="s">
        <v>214</v>
      </c>
      <c r="B122" s="91" t="s">
        <v>215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>
        <f t="shared" si="27"/>
        <v>0</v>
      </c>
      <c r="P122" s="120"/>
      <c r="Q122" s="84"/>
    </row>
    <row r="123" spans="1:17" ht="15">
      <c r="A123" s="116" t="s">
        <v>385</v>
      </c>
      <c r="B123" s="113" t="s">
        <v>216</v>
      </c>
      <c r="C123" s="14">
        <f>SUM(C116+C111)</f>
        <v>0</v>
      </c>
      <c r="D123" s="14">
        <f aca="true" t="shared" si="34" ref="D123:N123">SUM(D116)</f>
        <v>0</v>
      </c>
      <c r="E123" s="14">
        <f t="shared" si="34"/>
        <v>0</v>
      </c>
      <c r="F123" s="14">
        <f t="shared" si="34"/>
        <v>0</v>
      </c>
      <c r="G123" s="14">
        <f t="shared" si="34"/>
        <v>0</v>
      </c>
      <c r="H123" s="14">
        <f t="shared" si="34"/>
        <v>0</v>
      </c>
      <c r="I123" s="14">
        <f t="shared" si="34"/>
        <v>0</v>
      </c>
      <c r="J123" s="14">
        <f t="shared" si="34"/>
        <v>0</v>
      </c>
      <c r="K123" s="14">
        <f t="shared" si="34"/>
        <v>0</v>
      </c>
      <c r="L123" s="14">
        <f t="shared" si="34"/>
        <v>0</v>
      </c>
      <c r="M123" s="14">
        <f t="shared" si="34"/>
        <v>0</v>
      </c>
      <c r="N123" s="14">
        <f t="shared" si="34"/>
        <v>0</v>
      </c>
      <c r="O123" s="14">
        <f>SUM(C123:N123)</f>
        <v>0</v>
      </c>
      <c r="P123" s="120"/>
      <c r="Q123" s="84"/>
    </row>
    <row r="124" spans="1:17" s="128" customFormat="1" ht="15">
      <c r="A124" s="180" t="s">
        <v>422</v>
      </c>
      <c r="B124" s="130"/>
      <c r="C124" s="16">
        <f aca="true" t="shared" si="35" ref="C124:N124">SUM(C123+C100)</f>
        <v>6846314.666666667</v>
      </c>
      <c r="D124" s="16">
        <f t="shared" si="35"/>
        <v>6846314.666666667</v>
      </c>
      <c r="E124" s="16">
        <f t="shared" si="35"/>
        <v>6846314.666666667</v>
      </c>
      <c r="F124" s="16">
        <f t="shared" si="35"/>
        <v>6944208.666666667</v>
      </c>
      <c r="G124" s="16">
        <f t="shared" si="35"/>
        <v>6944208.666666667</v>
      </c>
      <c r="H124" s="16">
        <f t="shared" si="35"/>
        <v>6798420.666666667</v>
      </c>
      <c r="I124" s="16">
        <f t="shared" si="35"/>
        <v>16673808.666666668</v>
      </c>
      <c r="J124" s="16">
        <f t="shared" si="35"/>
        <v>6894208.666666667</v>
      </c>
      <c r="K124" s="16">
        <f t="shared" si="35"/>
        <v>6894208.666666667</v>
      </c>
      <c r="L124" s="16">
        <f t="shared" si="35"/>
        <v>6894208.666666667</v>
      </c>
      <c r="M124" s="16">
        <f t="shared" si="35"/>
        <v>6894208.666666667</v>
      </c>
      <c r="N124" s="16">
        <f t="shared" si="35"/>
        <v>6894208.666666667</v>
      </c>
      <c r="O124" s="16">
        <f>SUM(C124:N124)</f>
        <v>92370634.00000001</v>
      </c>
      <c r="P124" s="176">
        <f>C124+D124+E124+F124+G124+H124+I124+J124+K124+L124+M124+N124</f>
        <v>92370634.00000001</v>
      </c>
      <c r="Q124" s="127"/>
    </row>
    <row r="125" spans="1:17" ht="26.25">
      <c r="A125" s="88" t="s">
        <v>44</v>
      </c>
      <c r="B125" s="88" t="s">
        <v>415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>
        <f t="shared" si="27"/>
        <v>0</v>
      </c>
      <c r="P125" s="120"/>
      <c r="Q125" s="84"/>
    </row>
    <row r="126" spans="1:17" ht="14.25">
      <c r="A126" s="90" t="s">
        <v>217</v>
      </c>
      <c r="B126" s="94" t="s">
        <v>218</v>
      </c>
      <c r="C126" s="14">
        <f aca="true" t="shared" si="36" ref="C126:N131">$P126/12</f>
        <v>0</v>
      </c>
      <c r="D126" s="14">
        <f t="shared" si="36"/>
        <v>0</v>
      </c>
      <c r="E126" s="14">
        <f t="shared" si="36"/>
        <v>0</v>
      </c>
      <c r="F126" s="14">
        <f t="shared" si="36"/>
        <v>0</v>
      </c>
      <c r="G126" s="14">
        <f t="shared" si="36"/>
        <v>0</v>
      </c>
      <c r="H126" s="14">
        <f t="shared" si="36"/>
        <v>0</v>
      </c>
      <c r="I126" s="14">
        <f t="shared" si="36"/>
        <v>0</v>
      </c>
      <c r="J126" s="14">
        <f t="shared" si="36"/>
        <v>0</v>
      </c>
      <c r="K126" s="14">
        <f t="shared" si="36"/>
        <v>0</v>
      </c>
      <c r="L126" s="14">
        <f t="shared" si="36"/>
        <v>0</v>
      </c>
      <c r="M126" s="14">
        <f t="shared" si="36"/>
        <v>0</v>
      </c>
      <c r="N126" s="14">
        <f t="shared" si="36"/>
        <v>0</v>
      </c>
      <c r="O126" s="14">
        <f>SUM(C126:N126)</f>
        <v>0</v>
      </c>
      <c r="P126" s="120"/>
      <c r="Q126" s="84"/>
    </row>
    <row r="127" spans="1:17" ht="14.25">
      <c r="A127" s="91" t="s">
        <v>219</v>
      </c>
      <c r="B127" s="94" t="s">
        <v>220</v>
      </c>
      <c r="C127" s="14">
        <f t="shared" si="36"/>
        <v>0</v>
      </c>
      <c r="D127" s="14">
        <f t="shared" si="36"/>
        <v>0</v>
      </c>
      <c r="E127" s="14">
        <f t="shared" si="36"/>
        <v>0</v>
      </c>
      <c r="F127" s="14">
        <f t="shared" si="36"/>
        <v>0</v>
      </c>
      <c r="G127" s="14">
        <f t="shared" si="36"/>
        <v>0</v>
      </c>
      <c r="H127" s="14">
        <f t="shared" si="36"/>
        <v>0</v>
      </c>
      <c r="I127" s="14">
        <f t="shared" si="36"/>
        <v>0</v>
      </c>
      <c r="J127" s="14">
        <f t="shared" si="36"/>
        <v>0</v>
      </c>
      <c r="K127" s="14">
        <f t="shared" si="36"/>
        <v>0</v>
      </c>
      <c r="L127" s="14">
        <f t="shared" si="36"/>
        <v>0</v>
      </c>
      <c r="M127" s="14">
        <f t="shared" si="36"/>
        <v>0</v>
      </c>
      <c r="N127" s="14">
        <f t="shared" si="36"/>
        <v>0</v>
      </c>
      <c r="O127" s="14">
        <f>SUM(C127:N127)</f>
        <v>0</v>
      </c>
      <c r="P127" s="120"/>
      <c r="Q127" s="84"/>
    </row>
    <row r="128" spans="1:17" ht="14.25">
      <c r="A128" s="91" t="s">
        <v>221</v>
      </c>
      <c r="B128" s="94" t="s">
        <v>222</v>
      </c>
      <c r="C128" s="14">
        <f t="shared" si="36"/>
        <v>0</v>
      </c>
      <c r="D128" s="14">
        <f t="shared" si="36"/>
        <v>0</v>
      </c>
      <c r="E128" s="14">
        <f t="shared" si="36"/>
        <v>0</v>
      </c>
      <c r="F128" s="14">
        <f t="shared" si="36"/>
        <v>0</v>
      </c>
      <c r="G128" s="14">
        <f t="shared" si="36"/>
        <v>0</v>
      </c>
      <c r="H128" s="14">
        <f t="shared" si="36"/>
        <v>0</v>
      </c>
      <c r="I128" s="14">
        <f t="shared" si="36"/>
        <v>0</v>
      </c>
      <c r="J128" s="14">
        <f t="shared" si="36"/>
        <v>0</v>
      </c>
      <c r="K128" s="14">
        <f t="shared" si="36"/>
        <v>0</v>
      </c>
      <c r="L128" s="14">
        <f t="shared" si="36"/>
        <v>0</v>
      </c>
      <c r="M128" s="14">
        <f t="shared" si="36"/>
        <v>0</v>
      </c>
      <c r="N128" s="14">
        <f t="shared" si="36"/>
        <v>0</v>
      </c>
      <c r="O128" s="14">
        <f>SUM(C128:N128)</f>
        <v>0</v>
      </c>
      <c r="P128" s="120"/>
      <c r="Q128" s="84"/>
    </row>
    <row r="129" spans="1:17" ht="14.25">
      <c r="A129" s="91" t="s">
        <v>223</v>
      </c>
      <c r="B129" s="94" t="s">
        <v>224</v>
      </c>
      <c r="C129" s="14">
        <f t="shared" si="36"/>
        <v>0</v>
      </c>
      <c r="D129" s="14">
        <f t="shared" si="36"/>
        <v>0</v>
      </c>
      <c r="E129" s="14">
        <f t="shared" si="36"/>
        <v>0</v>
      </c>
      <c r="F129" s="14">
        <f t="shared" si="36"/>
        <v>0</v>
      </c>
      <c r="G129" s="14">
        <f t="shared" si="36"/>
        <v>0</v>
      </c>
      <c r="H129" s="14">
        <f t="shared" si="36"/>
        <v>0</v>
      </c>
      <c r="I129" s="14">
        <f t="shared" si="36"/>
        <v>0</v>
      </c>
      <c r="J129" s="14">
        <f t="shared" si="36"/>
        <v>0</v>
      </c>
      <c r="K129" s="14">
        <f t="shared" si="36"/>
        <v>0</v>
      </c>
      <c r="L129" s="14">
        <f t="shared" si="36"/>
        <v>0</v>
      </c>
      <c r="M129" s="14">
        <f t="shared" si="36"/>
        <v>0</v>
      </c>
      <c r="N129" s="14">
        <f t="shared" si="36"/>
        <v>0</v>
      </c>
      <c r="O129" s="14">
        <f>SUM(C129:N129)</f>
        <v>0</v>
      </c>
      <c r="P129" s="120"/>
      <c r="Q129" s="84"/>
    </row>
    <row r="130" spans="1:17" ht="14.25">
      <c r="A130" s="91" t="s">
        <v>225</v>
      </c>
      <c r="B130" s="94" t="s">
        <v>226</v>
      </c>
      <c r="C130" s="14">
        <f t="shared" si="36"/>
        <v>0</v>
      </c>
      <c r="D130" s="14">
        <f t="shared" si="36"/>
        <v>0</v>
      </c>
      <c r="E130" s="14">
        <f t="shared" si="36"/>
        <v>0</v>
      </c>
      <c r="F130" s="14">
        <f t="shared" si="36"/>
        <v>0</v>
      </c>
      <c r="G130" s="14">
        <f t="shared" si="36"/>
        <v>0</v>
      </c>
      <c r="H130" s="14">
        <f t="shared" si="36"/>
        <v>0</v>
      </c>
      <c r="I130" s="14">
        <f t="shared" si="36"/>
        <v>0</v>
      </c>
      <c r="J130" s="14">
        <f t="shared" si="36"/>
        <v>0</v>
      </c>
      <c r="K130" s="14">
        <f t="shared" si="36"/>
        <v>0</v>
      </c>
      <c r="L130" s="14">
        <f t="shared" si="36"/>
        <v>0</v>
      </c>
      <c r="M130" s="14">
        <f t="shared" si="36"/>
        <v>0</v>
      </c>
      <c r="N130" s="14">
        <f t="shared" si="36"/>
        <v>0</v>
      </c>
      <c r="O130" s="14"/>
      <c r="P130" s="120"/>
      <c r="Q130" s="84"/>
    </row>
    <row r="131" spans="1:17" ht="14.25">
      <c r="A131" s="91" t="s">
        <v>227</v>
      </c>
      <c r="B131" s="94" t="s">
        <v>228</v>
      </c>
      <c r="C131" s="14">
        <f t="shared" si="36"/>
        <v>0</v>
      </c>
      <c r="D131" s="14">
        <f t="shared" si="36"/>
        <v>0</v>
      </c>
      <c r="E131" s="14">
        <f t="shared" si="36"/>
        <v>0</v>
      </c>
      <c r="F131" s="14">
        <f t="shared" si="36"/>
        <v>0</v>
      </c>
      <c r="G131" s="14">
        <f t="shared" si="36"/>
        <v>0</v>
      </c>
      <c r="H131" s="14">
        <f t="shared" si="36"/>
        <v>0</v>
      </c>
      <c r="I131" s="14">
        <f t="shared" si="36"/>
        <v>0</v>
      </c>
      <c r="J131" s="14">
        <f t="shared" si="36"/>
        <v>0</v>
      </c>
      <c r="K131" s="14">
        <f t="shared" si="36"/>
        <v>0</v>
      </c>
      <c r="L131" s="14">
        <f t="shared" si="36"/>
        <v>0</v>
      </c>
      <c r="M131" s="14">
        <f t="shared" si="36"/>
        <v>0</v>
      </c>
      <c r="N131" s="14">
        <f t="shared" si="36"/>
        <v>0</v>
      </c>
      <c r="O131" s="14">
        <f>SUM(C131:N131)</f>
        <v>0</v>
      </c>
      <c r="P131" s="120"/>
      <c r="Q131" s="84"/>
    </row>
    <row r="132" spans="1:17" ht="14.25">
      <c r="A132" s="95" t="s">
        <v>424</v>
      </c>
      <c r="B132" s="114" t="s">
        <v>229</v>
      </c>
      <c r="C132" s="14">
        <f aca="true" t="shared" si="37" ref="C132:N132">SUM(C126:C131)</f>
        <v>0</v>
      </c>
      <c r="D132" s="14">
        <f t="shared" si="37"/>
        <v>0</v>
      </c>
      <c r="E132" s="14">
        <f t="shared" si="37"/>
        <v>0</v>
      </c>
      <c r="F132" s="14">
        <f t="shared" si="37"/>
        <v>0</v>
      </c>
      <c r="G132" s="14">
        <f t="shared" si="37"/>
        <v>0</v>
      </c>
      <c r="H132" s="14">
        <f t="shared" si="37"/>
        <v>0</v>
      </c>
      <c r="I132" s="14">
        <f t="shared" si="37"/>
        <v>0</v>
      </c>
      <c r="J132" s="14">
        <f t="shared" si="37"/>
        <v>0</v>
      </c>
      <c r="K132" s="14">
        <f t="shared" si="37"/>
        <v>0</v>
      </c>
      <c r="L132" s="14">
        <f t="shared" si="37"/>
        <v>0</v>
      </c>
      <c r="M132" s="14">
        <f t="shared" si="37"/>
        <v>0</v>
      </c>
      <c r="N132" s="14">
        <f t="shared" si="37"/>
        <v>0</v>
      </c>
      <c r="O132" s="14">
        <f>SUM(C132:N132)</f>
        <v>0</v>
      </c>
      <c r="P132" s="120"/>
      <c r="Q132" s="84"/>
    </row>
    <row r="133" spans="1:17" ht="14.25">
      <c r="A133" s="91" t="s">
        <v>230</v>
      </c>
      <c r="B133" s="94" t="s">
        <v>231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>
        <f t="shared" si="27"/>
        <v>0</v>
      </c>
      <c r="P133" s="120"/>
      <c r="Q133" s="84"/>
    </row>
    <row r="134" spans="1:17" ht="26.25">
      <c r="A134" s="91" t="s">
        <v>232</v>
      </c>
      <c r="B134" s="94" t="s">
        <v>233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>
        <f t="shared" si="27"/>
        <v>0</v>
      </c>
      <c r="P134" s="120"/>
      <c r="Q134" s="84"/>
    </row>
    <row r="135" spans="1:17" ht="26.25">
      <c r="A135" s="91" t="s">
        <v>386</v>
      </c>
      <c r="B135" s="94" t="s">
        <v>234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>
        <f t="shared" si="27"/>
        <v>0</v>
      </c>
      <c r="P135" s="120"/>
      <c r="Q135" s="84"/>
    </row>
    <row r="136" spans="1:17" ht="26.25">
      <c r="A136" s="91" t="s">
        <v>387</v>
      </c>
      <c r="B136" s="94" t="s">
        <v>235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>
        <f t="shared" si="27"/>
        <v>0</v>
      </c>
      <c r="P136" s="120"/>
      <c r="Q136" s="84"/>
    </row>
    <row r="137" spans="1:17" ht="14.25">
      <c r="A137" s="91" t="s">
        <v>388</v>
      </c>
      <c r="B137" s="94" t="s">
        <v>236</v>
      </c>
      <c r="C137" s="14">
        <f>$O137/12</f>
        <v>832143.6666666666</v>
      </c>
      <c r="D137" s="14">
        <f aca="true" t="shared" si="38" ref="D137:M137">$O137/12</f>
        <v>832143.6666666666</v>
      </c>
      <c r="E137" s="14">
        <f t="shared" si="38"/>
        <v>832143.6666666666</v>
      </c>
      <c r="F137" s="14">
        <f t="shared" si="38"/>
        <v>832143.6666666666</v>
      </c>
      <c r="G137" s="14">
        <f t="shared" si="38"/>
        <v>832143.6666666666</v>
      </c>
      <c r="H137" s="14">
        <f t="shared" si="38"/>
        <v>832143.6666666666</v>
      </c>
      <c r="I137" s="14">
        <f t="shared" si="38"/>
        <v>832143.6666666666</v>
      </c>
      <c r="J137" s="14">
        <f t="shared" si="38"/>
        <v>832143.6666666666</v>
      </c>
      <c r="K137" s="14">
        <f t="shared" si="38"/>
        <v>832143.6666666666</v>
      </c>
      <c r="L137" s="14">
        <f t="shared" si="38"/>
        <v>832143.6666666666</v>
      </c>
      <c r="M137" s="14">
        <f t="shared" si="38"/>
        <v>832143.6666666666</v>
      </c>
      <c r="N137" s="14">
        <f>$O137/12-4</f>
        <v>832139.6666666666</v>
      </c>
      <c r="O137" s="14">
        <v>9985724</v>
      </c>
      <c r="P137" s="120"/>
      <c r="Q137" s="84"/>
    </row>
    <row r="138" spans="1:17" s="128" customFormat="1" ht="14.25">
      <c r="A138" s="98" t="s">
        <v>425</v>
      </c>
      <c r="B138" s="105" t="s">
        <v>237</v>
      </c>
      <c r="C138" s="16">
        <f aca="true" t="shared" si="39" ref="C138:M138">SUM(C132:C137)</f>
        <v>832143.6666666666</v>
      </c>
      <c r="D138" s="16">
        <f t="shared" si="39"/>
        <v>832143.6666666666</v>
      </c>
      <c r="E138" s="16">
        <f t="shared" si="39"/>
        <v>832143.6666666666</v>
      </c>
      <c r="F138" s="16">
        <f t="shared" si="39"/>
        <v>832143.6666666666</v>
      </c>
      <c r="G138" s="16">
        <f t="shared" si="39"/>
        <v>832143.6666666666</v>
      </c>
      <c r="H138" s="16">
        <f t="shared" si="39"/>
        <v>832143.6666666666</v>
      </c>
      <c r="I138" s="16">
        <f t="shared" si="39"/>
        <v>832143.6666666666</v>
      </c>
      <c r="J138" s="16">
        <f t="shared" si="39"/>
        <v>832143.6666666666</v>
      </c>
      <c r="K138" s="16">
        <f t="shared" si="39"/>
        <v>832143.6666666666</v>
      </c>
      <c r="L138" s="16">
        <f t="shared" si="39"/>
        <v>832143.6666666666</v>
      </c>
      <c r="M138" s="16">
        <f t="shared" si="39"/>
        <v>832143.6666666666</v>
      </c>
      <c r="N138" s="16">
        <v>832140</v>
      </c>
      <c r="O138" s="16">
        <f>O137</f>
        <v>9985724</v>
      </c>
      <c r="P138" s="176"/>
      <c r="Q138" s="127"/>
    </row>
    <row r="139" spans="1:17" ht="14.25">
      <c r="A139" s="91" t="s">
        <v>392</v>
      </c>
      <c r="B139" s="94" t="s">
        <v>246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>
        <f aca="true" t="shared" si="40" ref="O139:O202">SUM(C139:N139)</f>
        <v>0</v>
      </c>
      <c r="P139" s="120"/>
      <c r="Q139" s="84"/>
    </row>
    <row r="140" spans="1:17" ht="14.25">
      <c r="A140" s="91" t="s">
        <v>393</v>
      </c>
      <c r="B140" s="94" t="s">
        <v>247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>
        <f t="shared" si="40"/>
        <v>0</v>
      </c>
      <c r="P140" s="120"/>
      <c r="Q140" s="84"/>
    </row>
    <row r="141" spans="1:17" ht="14.25">
      <c r="A141" s="95" t="s">
        <v>427</v>
      </c>
      <c r="B141" s="114" t="s">
        <v>248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>
        <f t="shared" si="40"/>
        <v>0</v>
      </c>
      <c r="P141" s="120"/>
      <c r="Q141" s="84"/>
    </row>
    <row r="142" spans="1:17" ht="14.25">
      <c r="A142" s="91" t="s">
        <v>394</v>
      </c>
      <c r="B142" s="94" t="s">
        <v>249</v>
      </c>
      <c r="C142" s="14">
        <f aca="true" t="shared" si="41" ref="C142:N151">$P142/12</f>
        <v>0</v>
      </c>
      <c r="D142" s="14">
        <f t="shared" si="41"/>
        <v>0</v>
      </c>
      <c r="E142" s="14">
        <f t="shared" si="41"/>
        <v>0</v>
      </c>
      <c r="F142" s="14">
        <f t="shared" si="41"/>
        <v>0</v>
      </c>
      <c r="G142" s="14">
        <f t="shared" si="41"/>
        <v>0</v>
      </c>
      <c r="H142" s="14">
        <f t="shared" si="41"/>
        <v>0</v>
      </c>
      <c r="I142" s="14">
        <f t="shared" si="41"/>
        <v>0</v>
      </c>
      <c r="J142" s="14">
        <f t="shared" si="41"/>
        <v>0</v>
      </c>
      <c r="K142" s="14">
        <f t="shared" si="41"/>
        <v>0</v>
      </c>
      <c r="L142" s="14">
        <f t="shared" si="41"/>
        <v>0</v>
      </c>
      <c r="M142" s="14">
        <f t="shared" si="41"/>
        <v>0</v>
      </c>
      <c r="N142" s="14">
        <f t="shared" si="41"/>
        <v>0</v>
      </c>
      <c r="O142" s="14">
        <f t="shared" si="40"/>
        <v>0</v>
      </c>
      <c r="P142" s="120"/>
      <c r="Q142" s="84"/>
    </row>
    <row r="143" spans="1:17" ht="14.25">
      <c r="A143" s="91" t="s">
        <v>395</v>
      </c>
      <c r="B143" s="94" t="s">
        <v>250</v>
      </c>
      <c r="C143" s="14">
        <f t="shared" si="41"/>
        <v>0</v>
      </c>
      <c r="D143" s="14">
        <f t="shared" si="41"/>
        <v>0</v>
      </c>
      <c r="E143" s="14">
        <f t="shared" si="41"/>
        <v>0</v>
      </c>
      <c r="F143" s="14">
        <f t="shared" si="41"/>
        <v>0</v>
      </c>
      <c r="G143" s="14">
        <f t="shared" si="41"/>
        <v>0</v>
      </c>
      <c r="H143" s="14">
        <f t="shared" si="41"/>
        <v>0</v>
      </c>
      <c r="I143" s="14">
        <f t="shared" si="41"/>
        <v>0</v>
      </c>
      <c r="J143" s="14">
        <f t="shared" si="41"/>
        <v>0</v>
      </c>
      <c r="K143" s="14">
        <f t="shared" si="41"/>
        <v>0</v>
      </c>
      <c r="L143" s="14">
        <f t="shared" si="41"/>
        <v>0</v>
      </c>
      <c r="M143" s="14">
        <f t="shared" si="41"/>
        <v>0</v>
      </c>
      <c r="N143" s="14">
        <f t="shared" si="41"/>
        <v>0</v>
      </c>
      <c r="O143" s="14">
        <f t="shared" si="40"/>
        <v>0</v>
      </c>
      <c r="P143" s="120"/>
      <c r="Q143" s="84"/>
    </row>
    <row r="144" spans="1:17" ht="14.25">
      <c r="A144" s="91" t="s">
        <v>396</v>
      </c>
      <c r="B144" s="94" t="s">
        <v>251</v>
      </c>
      <c r="C144" s="14">
        <f t="shared" si="41"/>
        <v>0</v>
      </c>
      <c r="D144" s="14">
        <f t="shared" si="41"/>
        <v>0</v>
      </c>
      <c r="E144" s="14">
        <f t="shared" si="41"/>
        <v>0</v>
      </c>
      <c r="F144" s="14">
        <f t="shared" si="41"/>
        <v>0</v>
      </c>
      <c r="G144" s="14">
        <f t="shared" si="41"/>
        <v>0</v>
      </c>
      <c r="H144" s="14">
        <f t="shared" si="41"/>
        <v>0</v>
      </c>
      <c r="I144" s="14">
        <f t="shared" si="41"/>
        <v>0</v>
      </c>
      <c r="J144" s="14">
        <f t="shared" si="41"/>
        <v>0</v>
      </c>
      <c r="K144" s="14">
        <f t="shared" si="41"/>
        <v>0</v>
      </c>
      <c r="L144" s="14">
        <f t="shared" si="41"/>
        <v>0</v>
      </c>
      <c r="M144" s="14">
        <f t="shared" si="41"/>
        <v>0</v>
      </c>
      <c r="N144" s="14">
        <f t="shared" si="41"/>
        <v>0</v>
      </c>
      <c r="O144" s="14">
        <f t="shared" si="40"/>
        <v>0</v>
      </c>
      <c r="P144" s="120"/>
      <c r="Q144" s="84"/>
    </row>
    <row r="145" spans="1:17" ht="14.25">
      <c r="A145" s="91" t="s">
        <v>397</v>
      </c>
      <c r="B145" s="94" t="s">
        <v>252</v>
      </c>
      <c r="C145" s="14">
        <f t="shared" si="41"/>
        <v>0</v>
      </c>
      <c r="D145" s="14">
        <f t="shared" si="41"/>
        <v>0</v>
      </c>
      <c r="E145" s="14">
        <f t="shared" si="41"/>
        <v>0</v>
      </c>
      <c r="F145" s="14">
        <f t="shared" si="41"/>
        <v>0</v>
      </c>
      <c r="G145" s="14">
        <f t="shared" si="41"/>
        <v>0</v>
      </c>
      <c r="H145" s="14">
        <f t="shared" si="41"/>
        <v>0</v>
      </c>
      <c r="I145" s="14">
        <f t="shared" si="41"/>
        <v>0</v>
      </c>
      <c r="J145" s="14">
        <f t="shared" si="41"/>
        <v>0</v>
      </c>
      <c r="K145" s="14">
        <f t="shared" si="41"/>
        <v>0</v>
      </c>
      <c r="L145" s="14">
        <f t="shared" si="41"/>
        <v>0</v>
      </c>
      <c r="M145" s="14">
        <f t="shared" si="41"/>
        <v>0</v>
      </c>
      <c r="N145" s="14">
        <f t="shared" si="41"/>
        <v>0</v>
      </c>
      <c r="O145" s="14">
        <f>SUM(C145:N145)</f>
        <v>0</v>
      </c>
      <c r="P145" s="120"/>
      <c r="Q145" s="84"/>
    </row>
    <row r="146" spans="1:17" ht="14.25">
      <c r="A146" s="91" t="s">
        <v>398</v>
      </c>
      <c r="B146" s="94" t="s">
        <v>253</v>
      </c>
      <c r="C146" s="14">
        <f t="shared" si="41"/>
        <v>0</v>
      </c>
      <c r="D146" s="14">
        <f t="shared" si="41"/>
        <v>0</v>
      </c>
      <c r="E146" s="14">
        <f t="shared" si="41"/>
        <v>0</v>
      </c>
      <c r="F146" s="14">
        <f t="shared" si="41"/>
        <v>0</v>
      </c>
      <c r="G146" s="14">
        <f t="shared" si="41"/>
        <v>0</v>
      </c>
      <c r="H146" s="14">
        <f t="shared" si="41"/>
        <v>0</v>
      </c>
      <c r="I146" s="14">
        <f t="shared" si="41"/>
        <v>0</v>
      </c>
      <c r="J146" s="14">
        <f t="shared" si="41"/>
        <v>0</v>
      </c>
      <c r="K146" s="14">
        <f t="shared" si="41"/>
        <v>0</v>
      </c>
      <c r="L146" s="14">
        <f t="shared" si="41"/>
        <v>0</v>
      </c>
      <c r="M146" s="14">
        <f t="shared" si="41"/>
        <v>0</v>
      </c>
      <c r="N146" s="14">
        <f t="shared" si="41"/>
        <v>0</v>
      </c>
      <c r="O146" s="14">
        <f t="shared" si="40"/>
        <v>0</v>
      </c>
      <c r="P146" s="120"/>
      <c r="Q146" s="84"/>
    </row>
    <row r="147" spans="1:17" ht="14.25">
      <c r="A147" s="91" t="s">
        <v>254</v>
      </c>
      <c r="B147" s="94" t="s">
        <v>255</v>
      </c>
      <c r="C147" s="14">
        <f t="shared" si="41"/>
        <v>0</v>
      </c>
      <c r="D147" s="14">
        <f t="shared" si="41"/>
        <v>0</v>
      </c>
      <c r="E147" s="14">
        <f t="shared" si="41"/>
        <v>0</v>
      </c>
      <c r="F147" s="14">
        <f t="shared" si="41"/>
        <v>0</v>
      </c>
      <c r="G147" s="14">
        <f t="shared" si="41"/>
        <v>0</v>
      </c>
      <c r="H147" s="14">
        <f t="shared" si="41"/>
        <v>0</v>
      </c>
      <c r="I147" s="14">
        <f t="shared" si="41"/>
        <v>0</v>
      </c>
      <c r="J147" s="14">
        <f t="shared" si="41"/>
        <v>0</v>
      </c>
      <c r="K147" s="14">
        <f t="shared" si="41"/>
        <v>0</v>
      </c>
      <c r="L147" s="14">
        <f t="shared" si="41"/>
        <v>0</v>
      </c>
      <c r="M147" s="14">
        <f t="shared" si="41"/>
        <v>0</v>
      </c>
      <c r="N147" s="14">
        <f t="shared" si="41"/>
        <v>0</v>
      </c>
      <c r="O147" s="14">
        <f t="shared" si="40"/>
        <v>0</v>
      </c>
      <c r="P147" s="120"/>
      <c r="Q147" s="84"/>
    </row>
    <row r="148" spans="1:17" ht="14.25">
      <c r="A148" s="91" t="s">
        <v>399</v>
      </c>
      <c r="B148" s="94" t="s">
        <v>256</v>
      </c>
      <c r="C148" s="14">
        <f t="shared" si="41"/>
        <v>0</v>
      </c>
      <c r="D148" s="14">
        <f t="shared" si="41"/>
        <v>0</v>
      </c>
      <c r="E148" s="14">
        <f t="shared" si="41"/>
        <v>0</v>
      </c>
      <c r="F148" s="14">
        <f t="shared" si="41"/>
        <v>0</v>
      </c>
      <c r="G148" s="14">
        <f t="shared" si="41"/>
        <v>0</v>
      </c>
      <c r="H148" s="14">
        <f t="shared" si="41"/>
        <v>0</v>
      </c>
      <c r="I148" s="14">
        <f t="shared" si="41"/>
        <v>0</v>
      </c>
      <c r="J148" s="14">
        <f t="shared" si="41"/>
        <v>0</v>
      </c>
      <c r="K148" s="14">
        <f t="shared" si="41"/>
        <v>0</v>
      </c>
      <c r="L148" s="14">
        <f t="shared" si="41"/>
        <v>0</v>
      </c>
      <c r="M148" s="14">
        <f t="shared" si="41"/>
        <v>0</v>
      </c>
      <c r="N148" s="14">
        <f t="shared" si="41"/>
        <v>0</v>
      </c>
      <c r="O148" s="14">
        <f>SUM(C148:N148)</f>
        <v>0</v>
      </c>
      <c r="P148" s="120"/>
      <c r="Q148" s="84"/>
    </row>
    <row r="149" spans="1:17" ht="14.25">
      <c r="A149" s="91" t="s">
        <v>400</v>
      </c>
      <c r="B149" s="94" t="s">
        <v>257</v>
      </c>
      <c r="C149" s="14">
        <f t="shared" si="41"/>
        <v>0</v>
      </c>
      <c r="D149" s="14">
        <f t="shared" si="41"/>
        <v>0</v>
      </c>
      <c r="E149" s="14">
        <f t="shared" si="41"/>
        <v>0</v>
      </c>
      <c r="F149" s="14">
        <f t="shared" si="41"/>
        <v>0</v>
      </c>
      <c r="G149" s="14">
        <f t="shared" si="41"/>
        <v>0</v>
      </c>
      <c r="H149" s="14">
        <f t="shared" si="41"/>
        <v>0</v>
      </c>
      <c r="I149" s="14">
        <f t="shared" si="41"/>
        <v>0</v>
      </c>
      <c r="J149" s="14">
        <f t="shared" si="41"/>
        <v>0</v>
      </c>
      <c r="K149" s="14">
        <f t="shared" si="41"/>
        <v>0</v>
      </c>
      <c r="L149" s="14">
        <f t="shared" si="41"/>
        <v>0</v>
      </c>
      <c r="M149" s="14">
        <f t="shared" si="41"/>
        <v>0</v>
      </c>
      <c r="N149" s="14">
        <f t="shared" si="41"/>
        <v>0</v>
      </c>
      <c r="O149" s="14">
        <f>SUM(C149:N149)</f>
        <v>0</v>
      </c>
      <c r="P149" s="120"/>
      <c r="Q149" s="84"/>
    </row>
    <row r="150" spans="1:17" ht="14.25">
      <c r="A150" s="95" t="s">
        <v>428</v>
      </c>
      <c r="B150" s="114" t="s">
        <v>258</v>
      </c>
      <c r="C150" s="14">
        <f>SUM(C142:C149)</f>
        <v>0</v>
      </c>
      <c r="D150" s="14">
        <f>SUM(D142:D149)</f>
        <v>0</v>
      </c>
      <c r="E150" s="14">
        <f>SUM(E140:E149)</f>
        <v>0</v>
      </c>
      <c r="F150" s="14">
        <f aca="true" t="shared" si="42" ref="F150:N150">SUM(F142:F149)</f>
        <v>0</v>
      </c>
      <c r="G150" s="14">
        <f t="shared" si="42"/>
        <v>0</v>
      </c>
      <c r="H150" s="14">
        <f t="shared" si="42"/>
        <v>0</v>
      </c>
      <c r="I150" s="14">
        <f t="shared" si="42"/>
        <v>0</v>
      </c>
      <c r="J150" s="14">
        <f t="shared" si="42"/>
        <v>0</v>
      </c>
      <c r="K150" s="14">
        <f t="shared" si="42"/>
        <v>0</v>
      </c>
      <c r="L150" s="14">
        <f t="shared" si="42"/>
        <v>0</v>
      </c>
      <c r="M150" s="14">
        <f t="shared" si="42"/>
        <v>0</v>
      </c>
      <c r="N150" s="14">
        <f t="shared" si="42"/>
        <v>0</v>
      </c>
      <c r="O150" s="14">
        <f>SUM(C150:N150)</f>
        <v>0</v>
      </c>
      <c r="P150" s="120"/>
      <c r="Q150" s="84"/>
    </row>
    <row r="151" spans="1:17" ht="14.25">
      <c r="A151" s="91" t="s">
        <v>401</v>
      </c>
      <c r="B151" s="94" t="s">
        <v>259</v>
      </c>
      <c r="C151" s="14">
        <f t="shared" si="41"/>
        <v>0</v>
      </c>
      <c r="D151" s="14">
        <f t="shared" si="41"/>
        <v>0</v>
      </c>
      <c r="E151" s="14">
        <f t="shared" si="41"/>
        <v>0</v>
      </c>
      <c r="F151" s="14">
        <f t="shared" si="41"/>
        <v>0</v>
      </c>
      <c r="G151" s="14">
        <f t="shared" si="41"/>
        <v>0</v>
      </c>
      <c r="H151" s="14">
        <f t="shared" si="41"/>
        <v>0</v>
      </c>
      <c r="I151" s="14">
        <f t="shared" si="41"/>
        <v>0</v>
      </c>
      <c r="J151" s="14">
        <f t="shared" si="41"/>
        <v>0</v>
      </c>
      <c r="K151" s="14">
        <f t="shared" si="41"/>
        <v>0</v>
      </c>
      <c r="L151" s="14">
        <f t="shared" si="41"/>
        <v>0</v>
      </c>
      <c r="M151" s="14">
        <f t="shared" si="41"/>
        <v>0</v>
      </c>
      <c r="N151" s="14">
        <f t="shared" si="41"/>
        <v>0</v>
      </c>
      <c r="O151" s="14">
        <f t="shared" si="40"/>
        <v>0</v>
      </c>
      <c r="P151" s="120"/>
      <c r="Q151" s="84"/>
    </row>
    <row r="152" spans="1:17" ht="14.25">
      <c r="A152" s="98" t="s">
        <v>429</v>
      </c>
      <c r="B152" s="105" t="s">
        <v>260</v>
      </c>
      <c r="C152" s="14">
        <f>SUM(C150+C151)</f>
        <v>0</v>
      </c>
      <c r="D152" s="14">
        <f aca="true" t="shared" si="43" ref="D152:N152">SUM(D150+D151)</f>
        <v>0</v>
      </c>
      <c r="E152" s="14">
        <f t="shared" si="43"/>
        <v>0</v>
      </c>
      <c r="F152" s="14">
        <f t="shared" si="43"/>
        <v>0</v>
      </c>
      <c r="G152" s="14">
        <f t="shared" si="43"/>
        <v>0</v>
      </c>
      <c r="H152" s="14">
        <f t="shared" si="43"/>
        <v>0</v>
      </c>
      <c r="I152" s="14">
        <f t="shared" si="43"/>
        <v>0</v>
      </c>
      <c r="J152" s="14">
        <f t="shared" si="43"/>
        <v>0</v>
      </c>
      <c r="K152" s="14">
        <f t="shared" si="43"/>
        <v>0</v>
      </c>
      <c r="L152" s="14">
        <f t="shared" si="43"/>
        <v>0</v>
      </c>
      <c r="M152" s="14">
        <f t="shared" si="43"/>
        <v>0</v>
      </c>
      <c r="N152" s="14">
        <f t="shared" si="43"/>
        <v>0</v>
      </c>
      <c r="O152" s="14">
        <f>SUM(C152:N152)</f>
        <v>0</v>
      </c>
      <c r="P152" s="120"/>
      <c r="Q152" s="84"/>
    </row>
    <row r="153" spans="1:17" ht="14.25">
      <c r="A153" s="15" t="s">
        <v>261</v>
      </c>
      <c r="B153" s="94" t="s">
        <v>262</v>
      </c>
      <c r="C153" s="14">
        <f aca="true" t="shared" si="44" ref="C153:N163">$P153/12</f>
        <v>0</v>
      </c>
      <c r="D153" s="14">
        <f t="shared" si="44"/>
        <v>0</v>
      </c>
      <c r="E153" s="14">
        <f t="shared" si="44"/>
        <v>0</v>
      </c>
      <c r="F153" s="14">
        <f t="shared" si="44"/>
        <v>0</v>
      </c>
      <c r="G153" s="14">
        <f t="shared" si="44"/>
        <v>0</v>
      </c>
      <c r="H153" s="14">
        <f t="shared" si="44"/>
        <v>0</v>
      </c>
      <c r="I153" s="14">
        <f t="shared" si="44"/>
        <v>0</v>
      </c>
      <c r="J153" s="14">
        <f t="shared" si="44"/>
        <v>0</v>
      </c>
      <c r="K153" s="14">
        <f t="shared" si="44"/>
        <v>0</v>
      </c>
      <c r="L153" s="14">
        <f t="shared" si="44"/>
        <v>0</v>
      </c>
      <c r="M153" s="14">
        <f t="shared" si="44"/>
        <v>0</v>
      </c>
      <c r="N153" s="14">
        <f t="shared" si="44"/>
        <v>0</v>
      </c>
      <c r="O153" s="14">
        <f t="shared" si="40"/>
        <v>0</v>
      </c>
      <c r="P153" s="120"/>
      <c r="Q153" s="84"/>
    </row>
    <row r="154" spans="1:17" ht="14.25">
      <c r="A154" s="15" t="s">
        <v>402</v>
      </c>
      <c r="B154" s="94" t="s">
        <v>263</v>
      </c>
      <c r="C154" s="14">
        <f t="shared" si="44"/>
        <v>0</v>
      </c>
      <c r="D154" s="14">
        <f t="shared" si="44"/>
        <v>0</v>
      </c>
      <c r="E154" s="14">
        <f t="shared" si="44"/>
        <v>0</v>
      </c>
      <c r="F154" s="14">
        <f t="shared" si="44"/>
        <v>0</v>
      </c>
      <c r="G154" s="14">
        <f t="shared" si="44"/>
        <v>0</v>
      </c>
      <c r="H154" s="14">
        <f t="shared" si="44"/>
        <v>0</v>
      </c>
      <c r="I154" s="14">
        <f t="shared" si="44"/>
        <v>0</v>
      </c>
      <c r="J154" s="14">
        <f t="shared" si="44"/>
        <v>0</v>
      </c>
      <c r="K154" s="14">
        <f t="shared" si="44"/>
        <v>0</v>
      </c>
      <c r="L154" s="14">
        <f t="shared" si="44"/>
        <v>0</v>
      </c>
      <c r="M154" s="14">
        <f t="shared" si="44"/>
        <v>0</v>
      </c>
      <c r="N154" s="14">
        <f t="shared" si="44"/>
        <v>0</v>
      </c>
      <c r="O154" s="14">
        <f t="shared" si="40"/>
        <v>0</v>
      </c>
      <c r="P154" s="120"/>
      <c r="Q154" s="84"/>
    </row>
    <row r="155" spans="1:17" ht="14.25">
      <c r="A155" s="15" t="s">
        <v>403</v>
      </c>
      <c r="B155" s="94" t="s">
        <v>264</v>
      </c>
      <c r="C155" s="14">
        <f t="shared" si="44"/>
        <v>0</v>
      </c>
      <c r="D155" s="14">
        <f t="shared" si="44"/>
        <v>0</v>
      </c>
      <c r="E155" s="14">
        <f t="shared" si="44"/>
        <v>0</v>
      </c>
      <c r="F155" s="14">
        <f t="shared" si="44"/>
        <v>0</v>
      </c>
      <c r="G155" s="14">
        <f t="shared" si="44"/>
        <v>0</v>
      </c>
      <c r="H155" s="14">
        <f t="shared" si="44"/>
        <v>0</v>
      </c>
      <c r="I155" s="14">
        <f t="shared" si="44"/>
        <v>0</v>
      </c>
      <c r="J155" s="14">
        <f t="shared" si="44"/>
        <v>0</v>
      </c>
      <c r="K155" s="14">
        <f t="shared" si="44"/>
        <v>0</v>
      </c>
      <c r="L155" s="14">
        <f t="shared" si="44"/>
        <v>0</v>
      </c>
      <c r="M155" s="14">
        <f t="shared" si="44"/>
        <v>0</v>
      </c>
      <c r="N155" s="14">
        <f t="shared" si="44"/>
        <v>0</v>
      </c>
      <c r="O155" s="14">
        <f t="shared" si="40"/>
        <v>0</v>
      </c>
      <c r="P155" s="120"/>
      <c r="Q155" s="84"/>
    </row>
    <row r="156" spans="1:17" ht="14.25">
      <c r="A156" s="15" t="s">
        <v>404</v>
      </c>
      <c r="B156" s="94" t="s">
        <v>265</v>
      </c>
      <c r="C156" s="14">
        <f t="shared" si="44"/>
        <v>0</v>
      </c>
      <c r="D156" s="14">
        <f t="shared" si="44"/>
        <v>0</v>
      </c>
      <c r="E156" s="14">
        <f t="shared" si="44"/>
        <v>0</v>
      </c>
      <c r="F156" s="14">
        <f t="shared" si="44"/>
        <v>0</v>
      </c>
      <c r="G156" s="14">
        <f t="shared" si="44"/>
        <v>0</v>
      </c>
      <c r="H156" s="14">
        <f t="shared" si="44"/>
        <v>0</v>
      </c>
      <c r="I156" s="14">
        <f t="shared" si="44"/>
        <v>0</v>
      </c>
      <c r="J156" s="14">
        <f t="shared" si="44"/>
        <v>0</v>
      </c>
      <c r="K156" s="14">
        <f t="shared" si="44"/>
        <v>0</v>
      </c>
      <c r="L156" s="14">
        <f t="shared" si="44"/>
        <v>0</v>
      </c>
      <c r="M156" s="14">
        <f t="shared" si="44"/>
        <v>0</v>
      </c>
      <c r="N156" s="14">
        <f t="shared" si="44"/>
        <v>0</v>
      </c>
      <c r="O156" s="14">
        <f>SUM(C156:N156)</f>
        <v>0</v>
      </c>
      <c r="P156" s="120"/>
      <c r="Q156" s="84"/>
    </row>
    <row r="157" spans="1:17" ht="14.25">
      <c r="A157" s="15" t="s">
        <v>266</v>
      </c>
      <c r="B157" s="94" t="s">
        <v>267</v>
      </c>
      <c r="C157" s="14">
        <f t="shared" si="44"/>
        <v>0</v>
      </c>
      <c r="D157" s="14">
        <f t="shared" si="44"/>
        <v>0</v>
      </c>
      <c r="E157" s="14">
        <f t="shared" si="44"/>
        <v>0</v>
      </c>
      <c r="F157" s="14">
        <f t="shared" si="44"/>
        <v>0</v>
      </c>
      <c r="G157" s="14">
        <f t="shared" si="44"/>
        <v>0</v>
      </c>
      <c r="H157" s="14">
        <f t="shared" si="44"/>
        <v>0</v>
      </c>
      <c r="I157" s="14">
        <f t="shared" si="44"/>
        <v>0</v>
      </c>
      <c r="J157" s="14">
        <f t="shared" si="44"/>
        <v>0</v>
      </c>
      <c r="K157" s="14">
        <f t="shared" si="44"/>
        <v>0</v>
      </c>
      <c r="L157" s="14">
        <f t="shared" si="44"/>
        <v>0</v>
      </c>
      <c r="M157" s="14">
        <f t="shared" si="44"/>
        <v>0</v>
      </c>
      <c r="N157" s="14">
        <f t="shared" si="44"/>
        <v>0</v>
      </c>
      <c r="O157" s="14"/>
      <c r="P157" s="120"/>
      <c r="Q157" s="84"/>
    </row>
    <row r="158" spans="1:17" ht="14.25">
      <c r="A158" s="15" t="s">
        <v>268</v>
      </c>
      <c r="B158" s="94" t="s">
        <v>269</v>
      </c>
      <c r="C158" s="14">
        <f t="shared" si="44"/>
        <v>0</v>
      </c>
      <c r="D158" s="14">
        <f t="shared" si="44"/>
        <v>0</v>
      </c>
      <c r="E158" s="14">
        <f t="shared" si="44"/>
        <v>0</v>
      </c>
      <c r="F158" s="14">
        <f t="shared" si="44"/>
        <v>0</v>
      </c>
      <c r="G158" s="14">
        <f t="shared" si="44"/>
        <v>0</v>
      </c>
      <c r="H158" s="14">
        <f t="shared" si="44"/>
        <v>0</v>
      </c>
      <c r="I158" s="14">
        <f t="shared" si="44"/>
        <v>0</v>
      </c>
      <c r="J158" s="14">
        <f t="shared" si="44"/>
        <v>0</v>
      </c>
      <c r="K158" s="14">
        <f t="shared" si="44"/>
        <v>0</v>
      </c>
      <c r="L158" s="14">
        <f t="shared" si="44"/>
        <v>0</v>
      </c>
      <c r="M158" s="14">
        <f t="shared" si="44"/>
        <v>0</v>
      </c>
      <c r="N158" s="14">
        <f t="shared" si="44"/>
        <v>0</v>
      </c>
      <c r="O158" s="14">
        <f t="shared" si="40"/>
        <v>0</v>
      </c>
      <c r="P158" s="120"/>
      <c r="Q158" s="84"/>
    </row>
    <row r="159" spans="1:17" ht="14.25">
      <c r="A159" s="15" t="s">
        <v>270</v>
      </c>
      <c r="B159" s="94" t="s">
        <v>271</v>
      </c>
      <c r="C159" s="14">
        <f t="shared" si="44"/>
        <v>0</v>
      </c>
      <c r="D159" s="14">
        <f t="shared" si="44"/>
        <v>0</v>
      </c>
      <c r="E159" s="14">
        <f t="shared" si="44"/>
        <v>0</v>
      </c>
      <c r="F159" s="14">
        <f t="shared" si="44"/>
        <v>0</v>
      </c>
      <c r="G159" s="14">
        <f t="shared" si="44"/>
        <v>0</v>
      </c>
      <c r="H159" s="14">
        <f t="shared" si="44"/>
        <v>0</v>
      </c>
      <c r="I159" s="14">
        <f t="shared" si="44"/>
        <v>0</v>
      </c>
      <c r="J159" s="14">
        <f t="shared" si="44"/>
        <v>0</v>
      </c>
      <c r="K159" s="14">
        <f t="shared" si="44"/>
        <v>0</v>
      </c>
      <c r="L159" s="14">
        <f t="shared" si="44"/>
        <v>0</v>
      </c>
      <c r="M159" s="14">
        <f t="shared" si="44"/>
        <v>0</v>
      </c>
      <c r="N159" s="14">
        <f t="shared" si="44"/>
        <v>0</v>
      </c>
      <c r="O159" s="14">
        <f t="shared" si="40"/>
        <v>0</v>
      </c>
      <c r="P159" s="120"/>
      <c r="Q159" s="84"/>
    </row>
    <row r="160" spans="1:17" ht="14.25">
      <c r="A160" s="15" t="s">
        <v>405</v>
      </c>
      <c r="B160" s="94" t="s">
        <v>272</v>
      </c>
      <c r="C160" s="14">
        <f t="shared" si="44"/>
        <v>0</v>
      </c>
      <c r="D160" s="14">
        <f t="shared" si="44"/>
        <v>0</v>
      </c>
      <c r="E160" s="14">
        <f t="shared" si="44"/>
        <v>0</v>
      </c>
      <c r="F160" s="14">
        <f t="shared" si="44"/>
        <v>0</v>
      </c>
      <c r="G160" s="14">
        <f t="shared" si="44"/>
        <v>0</v>
      </c>
      <c r="H160" s="14">
        <f t="shared" si="44"/>
        <v>0</v>
      </c>
      <c r="I160" s="14">
        <f t="shared" si="44"/>
        <v>0</v>
      </c>
      <c r="J160" s="14">
        <f t="shared" si="44"/>
        <v>0</v>
      </c>
      <c r="K160" s="14">
        <f t="shared" si="44"/>
        <v>0</v>
      </c>
      <c r="L160" s="14">
        <f t="shared" si="44"/>
        <v>0</v>
      </c>
      <c r="M160" s="14">
        <f t="shared" si="44"/>
        <v>0</v>
      </c>
      <c r="N160" s="14">
        <f t="shared" si="44"/>
        <v>0</v>
      </c>
      <c r="O160" s="14">
        <f t="shared" si="40"/>
        <v>0</v>
      </c>
      <c r="P160" s="120"/>
      <c r="Q160" s="84"/>
    </row>
    <row r="161" spans="1:17" ht="14.25">
      <c r="A161" s="15" t="s">
        <v>406</v>
      </c>
      <c r="B161" s="94" t="s">
        <v>273</v>
      </c>
      <c r="C161" s="14">
        <f t="shared" si="44"/>
        <v>0</v>
      </c>
      <c r="D161" s="14">
        <f t="shared" si="44"/>
        <v>0</v>
      </c>
      <c r="E161" s="14">
        <f t="shared" si="44"/>
        <v>0</v>
      </c>
      <c r="F161" s="14">
        <f t="shared" si="44"/>
        <v>0</v>
      </c>
      <c r="G161" s="14">
        <f t="shared" si="44"/>
        <v>0</v>
      </c>
      <c r="H161" s="14">
        <f t="shared" si="44"/>
        <v>0</v>
      </c>
      <c r="I161" s="14">
        <f t="shared" si="44"/>
        <v>0</v>
      </c>
      <c r="J161" s="14">
        <f t="shared" si="44"/>
        <v>0</v>
      </c>
      <c r="K161" s="14">
        <f t="shared" si="44"/>
        <v>0</v>
      </c>
      <c r="L161" s="14">
        <f t="shared" si="44"/>
        <v>0</v>
      </c>
      <c r="M161" s="14">
        <f t="shared" si="44"/>
        <v>0</v>
      </c>
      <c r="N161" s="14">
        <f t="shared" si="44"/>
        <v>0</v>
      </c>
      <c r="O161" s="14">
        <f t="shared" si="40"/>
        <v>0</v>
      </c>
      <c r="P161" s="120"/>
      <c r="Q161" s="84"/>
    </row>
    <row r="162" spans="1:17" ht="14.25">
      <c r="A162" s="15" t="s">
        <v>445</v>
      </c>
      <c r="B162" s="94" t="s">
        <v>274</v>
      </c>
      <c r="C162" s="14">
        <f t="shared" si="44"/>
        <v>0</v>
      </c>
      <c r="D162" s="14">
        <f t="shared" si="44"/>
        <v>0</v>
      </c>
      <c r="E162" s="14">
        <f t="shared" si="44"/>
        <v>0</v>
      </c>
      <c r="F162" s="14">
        <f t="shared" si="44"/>
        <v>0</v>
      </c>
      <c r="G162" s="14">
        <f t="shared" si="44"/>
        <v>0</v>
      </c>
      <c r="H162" s="14">
        <f t="shared" si="44"/>
        <v>0</v>
      </c>
      <c r="I162" s="14">
        <f t="shared" si="44"/>
        <v>0</v>
      </c>
      <c r="J162" s="14">
        <f t="shared" si="44"/>
        <v>0</v>
      </c>
      <c r="K162" s="14">
        <f t="shared" si="44"/>
        <v>0</v>
      </c>
      <c r="L162" s="14">
        <f t="shared" si="44"/>
        <v>0</v>
      </c>
      <c r="M162" s="14">
        <f t="shared" si="44"/>
        <v>0</v>
      </c>
      <c r="N162" s="14">
        <f t="shared" si="44"/>
        <v>0</v>
      </c>
      <c r="O162" s="14"/>
      <c r="P162" s="120"/>
      <c r="Q162" s="84"/>
    </row>
    <row r="163" spans="1:17" ht="14.25">
      <c r="A163" s="15" t="s">
        <v>407</v>
      </c>
      <c r="B163" s="94" t="s">
        <v>436</v>
      </c>
      <c r="C163" s="14">
        <f t="shared" si="44"/>
        <v>0</v>
      </c>
      <c r="D163" s="14">
        <f t="shared" si="44"/>
        <v>0</v>
      </c>
      <c r="E163" s="14">
        <f t="shared" si="44"/>
        <v>0</v>
      </c>
      <c r="F163" s="14">
        <f t="shared" si="44"/>
        <v>0</v>
      </c>
      <c r="G163" s="14">
        <f t="shared" si="44"/>
        <v>0</v>
      </c>
      <c r="H163" s="14">
        <f t="shared" si="44"/>
        <v>0</v>
      </c>
      <c r="I163" s="14">
        <f t="shared" si="44"/>
        <v>0</v>
      </c>
      <c r="J163" s="14">
        <f t="shared" si="44"/>
        <v>0</v>
      </c>
      <c r="K163" s="14">
        <f t="shared" si="44"/>
        <v>0</v>
      </c>
      <c r="L163" s="14">
        <f t="shared" si="44"/>
        <v>0</v>
      </c>
      <c r="M163" s="14">
        <f t="shared" si="44"/>
        <v>0</v>
      </c>
      <c r="N163" s="14">
        <f t="shared" si="44"/>
        <v>0</v>
      </c>
      <c r="O163" s="14">
        <f>SUM(C163:N163)</f>
        <v>0</v>
      </c>
      <c r="P163" s="120"/>
      <c r="Q163" s="84"/>
    </row>
    <row r="164" spans="1:17" ht="14.25">
      <c r="A164" s="101" t="s">
        <v>430</v>
      </c>
      <c r="B164" s="105" t="s">
        <v>275</v>
      </c>
      <c r="C164" s="14">
        <f aca="true" t="shared" si="45" ref="C164:N164">SUM(C153:C163)</f>
        <v>0</v>
      </c>
      <c r="D164" s="14">
        <f t="shared" si="45"/>
        <v>0</v>
      </c>
      <c r="E164" s="14">
        <f t="shared" si="45"/>
        <v>0</v>
      </c>
      <c r="F164" s="14">
        <f t="shared" si="45"/>
        <v>0</v>
      </c>
      <c r="G164" s="14">
        <f t="shared" si="45"/>
        <v>0</v>
      </c>
      <c r="H164" s="14">
        <f t="shared" si="45"/>
        <v>0</v>
      </c>
      <c r="I164" s="14">
        <f t="shared" si="45"/>
        <v>0</v>
      </c>
      <c r="J164" s="14">
        <f t="shared" si="45"/>
        <v>0</v>
      </c>
      <c r="K164" s="14">
        <f t="shared" si="45"/>
        <v>0</v>
      </c>
      <c r="L164" s="14">
        <f t="shared" si="45"/>
        <v>0</v>
      </c>
      <c r="M164" s="14">
        <f t="shared" si="45"/>
        <v>0</v>
      </c>
      <c r="N164" s="14">
        <f t="shared" si="45"/>
        <v>0</v>
      </c>
      <c r="O164" s="14">
        <f>SUM(C164:N164)</f>
        <v>0</v>
      </c>
      <c r="P164" s="120"/>
      <c r="Q164" s="84"/>
    </row>
    <row r="165" spans="1:17" ht="26.25">
      <c r="A165" s="15" t="s">
        <v>284</v>
      </c>
      <c r="B165" s="94" t="s">
        <v>285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>
        <f t="shared" si="40"/>
        <v>0</v>
      </c>
      <c r="P165" s="120"/>
      <c r="Q165" s="84"/>
    </row>
    <row r="166" spans="1:17" ht="26.25">
      <c r="A166" s="91" t="s">
        <v>411</v>
      </c>
      <c r="B166" s="94" t="s">
        <v>286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>
        <f t="shared" si="40"/>
        <v>0</v>
      </c>
      <c r="P166" s="120"/>
      <c r="Q166" s="84"/>
    </row>
    <row r="167" spans="1:17" ht="14.25">
      <c r="A167" s="15" t="s">
        <v>412</v>
      </c>
      <c r="B167" s="94" t="s">
        <v>287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20"/>
      <c r="Q167" s="84"/>
    </row>
    <row r="168" spans="1:17" ht="14.25">
      <c r="A168" s="98" t="s">
        <v>432</v>
      </c>
      <c r="B168" s="105" t="s">
        <v>288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20"/>
      <c r="Q168" s="84"/>
    </row>
    <row r="169" spans="1:17" ht="15">
      <c r="A169" s="179" t="s">
        <v>9</v>
      </c>
      <c r="B169" s="115"/>
      <c r="C169" s="14">
        <f aca="true" t="shared" si="46" ref="C169:N169">SUM(C164+C152+C138)</f>
        <v>832143.6666666666</v>
      </c>
      <c r="D169" s="14">
        <f t="shared" si="46"/>
        <v>832143.6666666666</v>
      </c>
      <c r="E169" s="14">
        <f t="shared" si="46"/>
        <v>832143.6666666666</v>
      </c>
      <c r="F169" s="14">
        <f t="shared" si="46"/>
        <v>832143.6666666666</v>
      </c>
      <c r="G169" s="14">
        <f t="shared" si="46"/>
        <v>832143.6666666666</v>
      </c>
      <c r="H169" s="14">
        <f t="shared" si="46"/>
        <v>832143.6666666666</v>
      </c>
      <c r="I169" s="14">
        <f t="shared" si="46"/>
        <v>832143.6666666666</v>
      </c>
      <c r="J169" s="14">
        <f t="shared" si="46"/>
        <v>832143.6666666666</v>
      </c>
      <c r="K169" s="14">
        <f t="shared" si="46"/>
        <v>832143.6666666666</v>
      </c>
      <c r="L169" s="14">
        <f t="shared" si="46"/>
        <v>832143.6666666666</v>
      </c>
      <c r="M169" s="14">
        <f t="shared" si="46"/>
        <v>832143.6666666666</v>
      </c>
      <c r="N169" s="14">
        <f t="shared" si="46"/>
        <v>832140</v>
      </c>
      <c r="O169" s="14">
        <f>O138</f>
        <v>9985724</v>
      </c>
      <c r="P169" s="120"/>
      <c r="Q169" s="84"/>
    </row>
    <row r="170" spans="1:17" ht="14.25">
      <c r="A170" s="91" t="s">
        <v>238</v>
      </c>
      <c r="B170" s="94" t="s">
        <v>239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>
        <f t="shared" si="40"/>
        <v>0</v>
      </c>
      <c r="P170" s="120"/>
      <c r="Q170" s="84"/>
    </row>
    <row r="171" spans="1:17" ht="26.25">
      <c r="A171" s="91" t="s">
        <v>240</v>
      </c>
      <c r="B171" s="94" t="s">
        <v>241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>
        <f t="shared" si="40"/>
        <v>0</v>
      </c>
      <c r="P171" s="120"/>
      <c r="Q171" s="84"/>
    </row>
    <row r="172" spans="1:17" ht="26.25">
      <c r="A172" s="91" t="s">
        <v>389</v>
      </c>
      <c r="B172" s="94" t="s">
        <v>242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>
        <f t="shared" si="40"/>
        <v>0</v>
      </c>
      <c r="P172" s="120"/>
      <c r="Q172" s="84"/>
    </row>
    <row r="173" spans="1:17" ht="26.25">
      <c r="A173" s="91" t="s">
        <v>390</v>
      </c>
      <c r="B173" s="94" t="s">
        <v>243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>
        <f t="shared" si="40"/>
        <v>0</v>
      </c>
      <c r="P173" s="120"/>
      <c r="Q173" s="84"/>
    </row>
    <row r="174" spans="1:17" ht="14.25">
      <c r="A174" s="91" t="s">
        <v>391</v>
      </c>
      <c r="B174" s="94" t="s">
        <v>244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>
        <f>SUM(C174:N174)</f>
        <v>0</v>
      </c>
      <c r="P174" s="120"/>
      <c r="Q174" s="84"/>
    </row>
    <row r="175" spans="1:17" ht="14.25">
      <c r="A175" s="98" t="s">
        <v>426</v>
      </c>
      <c r="B175" s="105" t="s">
        <v>245</v>
      </c>
      <c r="C175" s="14">
        <f aca="true" t="shared" si="47" ref="C175:N175">SUM(C170:C174)</f>
        <v>0</v>
      </c>
      <c r="D175" s="14">
        <f t="shared" si="47"/>
        <v>0</v>
      </c>
      <c r="E175" s="14">
        <f t="shared" si="47"/>
        <v>0</v>
      </c>
      <c r="F175" s="14">
        <f t="shared" si="47"/>
        <v>0</v>
      </c>
      <c r="G175" s="14">
        <f t="shared" si="47"/>
        <v>0</v>
      </c>
      <c r="H175" s="14">
        <f t="shared" si="47"/>
        <v>0</v>
      </c>
      <c r="I175" s="14">
        <f t="shared" si="47"/>
        <v>0</v>
      </c>
      <c r="J175" s="14">
        <f t="shared" si="47"/>
        <v>0</v>
      </c>
      <c r="K175" s="14">
        <f t="shared" si="47"/>
        <v>0</v>
      </c>
      <c r="L175" s="14">
        <f t="shared" si="47"/>
        <v>0</v>
      </c>
      <c r="M175" s="14">
        <f t="shared" si="47"/>
        <v>0</v>
      </c>
      <c r="N175" s="14">
        <f t="shared" si="47"/>
        <v>0</v>
      </c>
      <c r="O175" s="14">
        <f>SUM(C175:N175)</f>
        <v>0</v>
      </c>
      <c r="P175" s="120"/>
      <c r="Q175" s="84"/>
    </row>
    <row r="176" spans="1:17" ht="14.25">
      <c r="A176" s="15" t="s">
        <v>408</v>
      </c>
      <c r="B176" s="94" t="s">
        <v>276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>
        <f t="shared" si="40"/>
        <v>0</v>
      </c>
      <c r="P176" s="120"/>
      <c r="Q176" s="84"/>
    </row>
    <row r="177" spans="1:17" ht="14.25">
      <c r="A177" s="15" t="s">
        <v>409</v>
      </c>
      <c r="B177" s="94" t="s">
        <v>277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20"/>
      <c r="Q177" s="84"/>
    </row>
    <row r="178" spans="1:17" ht="14.25">
      <c r="A178" s="15" t="s">
        <v>278</v>
      </c>
      <c r="B178" s="94" t="s">
        <v>279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>
        <f t="shared" si="40"/>
        <v>0</v>
      </c>
      <c r="P178" s="120"/>
      <c r="Q178" s="84"/>
    </row>
    <row r="179" spans="1:17" ht="14.25">
      <c r="A179" s="15" t="s">
        <v>410</v>
      </c>
      <c r="B179" s="94" t="s">
        <v>280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>
        <f t="shared" si="40"/>
        <v>0</v>
      </c>
      <c r="P179" s="120"/>
      <c r="Q179" s="84"/>
    </row>
    <row r="180" spans="1:17" ht="14.25">
      <c r="A180" s="15" t="s">
        <v>281</v>
      </c>
      <c r="B180" s="94" t="s">
        <v>282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>
        <f t="shared" si="40"/>
        <v>0</v>
      </c>
      <c r="P180" s="120"/>
      <c r="Q180" s="84"/>
    </row>
    <row r="181" spans="1:17" ht="14.25">
      <c r="A181" s="98" t="s">
        <v>431</v>
      </c>
      <c r="B181" s="105" t="s">
        <v>283</v>
      </c>
      <c r="C181" s="14">
        <f>SUM(C176:C180)</f>
        <v>0</v>
      </c>
      <c r="D181" s="14">
        <f aca="true" t="shared" si="48" ref="D181:N181">SUM(D176:D180)</f>
        <v>0</v>
      </c>
      <c r="E181" s="14">
        <f t="shared" si="48"/>
        <v>0</v>
      </c>
      <c r="F181" s="14">
        <f t="shared" si="48"/>
        <v>0</v>
      </c>
      <c r="G181" s="14">
        <f t="shared" si="48"/>
        <v>0</v>
      </c>
      <c r="H181" s="14">
        <f t="shared" si="48"/>
        <v>0</v>
      </c>
      <c r="I181" s="14">
        <f t="shared" si="48"/>
        <v>0</v>
      </c>
      <c r="J181" s="14">
        <f t="shared" si="48"/>
        <v>0</v>
      </c>
      <c r="K181" s="14"/>
      <c r="L181" s="14">
        <f t="shared" si="48"/>
        <v>0</v>
      </c>
      <c r="M181" s="14">
        <f t="shared" si="48"/>
        <v>0</v>
      </c>
      <c r="N181" s="14">
        <f t="shared" si="48"/>
        <v>0</v>
      </c>
      <c r="O181" s="14"/>
      <c r="P181" s="120"/>
      <c r="Q181" s="84"/>
    </row>
    <row r="182" spans="1:17" ht="26.25">
      <c r="A182" s="15" t="s">
        <v>289</v>
      </c>
      <c r="B182" s="94" t="s">
        <v>290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>
        <f t="shared" si="40"/>
        <v>0</v>
      </c>
      <c r="P182" s="120"/>
      <c r="Q182" s="84"/>
    </row>
    <row r="183" spans="1:17" ht="26.25">
      <c r="A183" s="91" t="s">
        <v>413</v>
      </c>
      <c r="B183" s="94" t="s">
        <v>291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>
        <f t="shared" si="40"/>
        <v>0</v>
      </c>
      <c r="P183" s="120"/>
      <c r="Q183" s="84"/>
    </row>
    <row r="184" spans="1:17" ht="14.25">
      <c r="A184" s="15" t="s">
        <v>414</v>
      </c>
      <c r="B184" s="94" t="s">
        <v>292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>
        <f t="shared" si="40"/>
        <v>0</v>
      </c>
      <c r="P184" s="120"/>
      <c r="Q184" s="84"/>
    </row>
    <row r="185" spans="1:17" ht="14.25">
      <c r="A185" s="98" t="s">
        <v>1</v>
      </c>
      <c r="B185" s="105" t="s">
        <v>293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>
        <f t="shared" si="40"/>
        <v>0</v>
      </c>
      <c r="P185" s="120"/>
      <c r="Q185" s="84"/>
    </row>
    <row r="186" spans="1:17" ht="15">
      <c r="A186" s="179" t="s">
        <v>8</v>
      </c>
      <c r="B186" s="11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>
        <f t="shared" si="40"/>
        <v>0</v>
      </c>
      <c r="P186" s="120"/>
      <c r="Q186" s="84"/>
    </row>
    <row r="187" spans="1:17" s="128" customFormat="1" ht="15">
      <c r="A187" s="116" t="s">
        <v>0</v>
      </c>
      <c r="B187" s="106" t="s">
        <v>294</v>
      </c>
      <c r="C187" s="16">
        <f aca="true" t="shared" si="49" ref="C187:N187">SUM(C181+C185+C175+C168+C164+C152+C138)</f>
        <v>832143.6666666666</v>
      </c>
      <c r="D187" s="16">
        <f t="shared" si="49"/>
        <v>832143.6666666666</v>
      </c>
      <c r="E187" s="16">
        <f t="shared" si="49"/>
        <v>832143.6666666666</v>
      </c>
      <c r="F187" s="16">
        <f t="shared" si="49"/>
        <v>832143.6666666666</v>
      </c>
      <c r="G187" s="16">
        <f t="shared" si="49"/>
        <v>832143.6666666666</v>
      </c>
      <c r="H187" s="16">
        <f t="shared" si="49"/>
        <v>832143.6666666666</v>
      </c>
      <c r="I187" s="16">
        <f t="shared" si="49"/>
        <v>832143.6666666666</v>
      </c>
      <c r="J187" s="16">
        <f t="shared" si="49"/>
        <v>832143.6666666666</v>
      </c>
      <c r="K187" s="16">
        <f t="shared" si="49"/>
        <v>832143.6666666666</v>
      </c>
      <c r="L187" s="16">
        <f t="shared" si="49"/>
        <v>832143.6666666666</v>
      </c>
      <c r="M187" s="16">
        <f t="shared" si="49"/>
        <v>832143.6666666666</v>
      </c>
      <c r="N187" s="16">
        <f t="shared" si="49"/>
        <v>832140</v>
      </c>
      <c r="O187" s="16">
        <f>O169</f>
        <v>9985724</v>
      </c>
      <c r="P187" s="176"/>
      <c r="Q187" s="127"/>
    </row>
    <row r="188" spans="1:17" ht="15">
      <c r="A188" s="181" t="s">
        <v>17</v>
      </c>
      <c r="B188" s="118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>
        <f t="shared" si="40"/>
        <v>0</v>
      </c>
      <c r="P188" s="120"/>
      <c r="Q188" s="84"/>
    </row>
    <row r="189" spans="1:17" ht="15">
      <c r="A189" s="181" t="s">
        <v>18</v>
      </c>
      <c r="B189" s="118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>
        <f t="shared" si="40"/>
        <v>0</v>
      </c>
      <c r="P189" s="120"/>
      <c r="Q189" s="84"/>
    </row>
    <row r="190" spans="1:17" ht="14.25">
      <c r="A190" s="15" t="s">
        <v>416</v>
      </c>
      <c r="B190" s="91" t="s">
        <v>295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>
        <f t="shared" si="40"/>
        <v>0</v>
      </c>
      <c r="P190" s="120"/>
      <c r="Q190" s="84"/>
    </row>
    <row r="191" spans="1:17" ht="14.25">
      <c r="A191" s="15" t="s">
        <v>296</v>
      </c>
      <c r="B191" s="91" t="s">
        <v>297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>
        <f t="shared" si="40"/>
        <v>0</v>
      </c>
      <c r="P191" s="120"/>
      <c r="Q191" s="84"/>
    </row>
    <row r="192" spans="1:17" ht="14.25">
      <c r="A192" s="15" t="s">
        <v>417</v>
      </c>
      <c r="B192" s="91" t="s">
        <v>298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>
        <f t="shared" si="40"/>
        <v>0</v>
      </c>
      <c r="P192" s="120"/>
      <c r="Q192" s="84"/>
    </row>
    <row r="193" spans="1:17" ht="14.25">
      <c r="A193" s="108" t="s">
        <v>2</v>
      </c>
      <c r="B193" s="95" t="s">
        <v>299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>
        <f t="shared" si="40"/>
        <v>0</v>
      </c>
      <c r="P193" s="120"/>
      <c r="Q193" s="84"/>
    </row>
    <row r="194" spans="1:17" ht="14.25">
      <c r="A194" s="15" t="s">
        <v>418</v>
      </c>
      <c r="B194" s="91" t="s">
        <v>300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>
        <f t="shared" si="40"/>
        <v>0</v>
      </c>
      <c r="P194" s="120"/>
      <c r="Q194" s="84"/>
    </row>
    <row r="195" spans="1:17" ht="14.25">
      <c r="A195" s="15" t="s">
        <v>301</v>
      </c>
      <c r="B195" s="91" t="s">
        <v>302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>
        <f t="shared" si="40"/>
        <v>0</v>
      </c>
      <c r="P195" s="120"/>
      <c r="Q195" s="84"/>
    </row>
    <row r="196" spans="1:17" ht="14.25">
      <c r="A196" s="15" t="s">
        <v>419</v>
      </c>
      <c r="B196" s="91" t="s">
        <v>303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>
        <f t="shared" si="40"/>
        <v>0</v>
      </c>
      <c r="P196" s="120"/>
      <c r="Q196" s="84"/>
    </row>
    <row r="197" spans="1:17" ht="14.25">
      <c r="A197" s="15" t="s">
        <v>304</v>
      </c>
      <c r="B197" s="91" t="s">
        <v>305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>
        <f t="shared" si="40"/>
        <v>0</v>
      </c>
      <c r="P197" s="120"/>
      <c r="Q197" s="84"/>
    </row>
    <row r="198" spans="1:17" ht="14.25">
      <c r="A198" s="108" t="s">
        <v>3</v>
      </c>
      <c r="B198" s="95" t="s">
        <v>306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>
        <f t="shared" si="40"/>
        <v>0</v>
      </c>
      <c r="P198" s="120"/>
      <c r="Q198" s="84"/>
    </row>
    <row r="199" spans="1:17" ht="14.25">
      <c r="A199" s="91" t="s">
        <v>15</v>
      </c>
      <c r="B199" s="91" t="s">
        <v>307</v>
      </c>
      <c r="C199" s="14">
        <v>845797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>
        <f>SUM(C199:N199)</f>
        <v>845797</v>
      </c>
      <c r="P199" s="120"/>
      <c r="Q199" s="84"/>
    </row>
    <row r="200" spans="1:17" ht="14.25">
      <c r="A200" s="91" t="s">
        <v>16</v>
      </c>
      <c r="B200" s="91" t="s">
        <v>307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>
        <f>SUM(C200:N200)</f>
        <v>0</v>
      </c>
      <c r="P200" s="120"/>
      <c r="Q200" s="84"/>
    </row>
    <row r="201" spans="1:17" ht="14.25">
      <c r="A201" s="91" t="s">
        <v>13</v>
      </c>
      <c r="B201" s="91" t="s">
        <v>308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>
        <f t="shared" si="40"/>
        <v>0</v>
      </c>
      <c r="P201" s="120"/>
      <c r="Q201" s="84"/>
    </row>
    <row r="202" spans="1:17" ht="14.25">
      <c r="A202" s="91" t="s">
        <v>14</v>
      </c>
      <c r="B202" s="91" t="s">
        <v>308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>
        <f t="shared" si="40"/>
        <v>0</v>
      </c>
      <c r="P202" s="120"/>
      <c r="Q202" s="84"/>
    </row>
    <row r="203" spans="1:17" ht="14.25">
      <c r="A203" s="95" t="s">
        <v>4</v>
      </c>
      <c r="B203" s="95" t="s">
        <v>309</v>
      </c>
      <c r="C203" s="14">
        <f>SUM(C199:C202)</f>
        <v>845797</v>
      </c>
      <c r="D203" s="14">
        <f aca="true" t="shared" si="50" ref="D203:M203">SUM(D199:D202)</f>
        <v>0</v>
      </c>
      <c r="E203" s="14">
        <f t="shared" si="50"/>
        <v>0</v>
      </c>
      <c r="F203" s="14">
        <f t="shared" si="50"/>
        <v>0</v>
      </c>
      <c r="G203" s="14">
        <f t="shared" si="50"/>
        <v>0</v>
      </c>
      <c r="H203" s="14">
        <f t="shared" si="50"/>
        <v>0</v>
      </c>
      <c r="I203" s="14">
        <f t="shared" si="50"/>
        <v>0</v>
      </c>
      <c r="J203" s="14">
        <f t="shared" si="50"/>
        <v>0</v>
      </c>
      <c r="K203" s="14">
        <f t="shared" si="50"/>
        <v>0</v>
      </c>
      <c r="L203" s="14">
        <f t="shared" si="50"/>
        <v>0</v>
      </c>
      <c r="M203" s="14">
        <f t="shared" si="50"/>
        <v>0</v>
      </c>
      <c r="N203" s="14"/>
      <c r="O203" s="14">
        <f>SUM(C203:N203)</f>
        <v>845797</v>
      </c>
      <c r="P203" s="120"/>
      <c r="Q203" s="84"/>
    </row>
    <row r="204" spans="1:17" ht="14.25">
      <c r="A204" s="15" t="s">
        <v>310</v>
      </c>
      <c r="B204" s="91" t="s">
        <v>311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>
        <f aca="true" t="shared" si="51" ref="O204:O215">SUM(C204:N204)</f>
        <v>0</v>
      </c>
      <c r="P204" s="120"/>
      <c r="Q204" s="84"/>
    </row>
    <row r="205" spans="1:17" ht="14.25">
      <c r="A205" s="15" t="s">
        <v>312</v>
      </c>
      <c r="B205" s="91" t="s">
        <v>313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>
        <f t="shared" si="51"/>
        <v>0</v>
      </c>
      <c r="P205" s="120"/>
      <c r="Q205" s="84"/>
    </row>
    <row r="206" spans="1:17" ht="14.25">
      <c r="A206" s="15" t="s">
        <v>314</v>
      </c>
      <c r="B206" s="91" t="s">
        <v>315</v>
      </c>
      <c r="C206" s="14">
        <f>$O206/12-783647</f>
        <v>5216268.25</v>
      </c>
      <c r="D206" s="14">
        <f>$O206/12+62150</f>
        <v>6062065.25</v>
      </c>
      <c r="E206" s="14">
        <f>$O206/12+62150</f>
        <v>6062065.25</v>
      </c>
      <c r="F206" s="14">
        <f>$O206/12+112150+9779600</f>
        <v>15891665.25</v>
      </c>
      <c r="G206" s="14">
        <f>$O206/12+112150</f>
        <v>6112065.25</v>
      </c>
      <c r="H206" s="14">
        <f aca="true" t="shared" si="52" ref="H206:M206">$O206/12+62150</f>
        <v>6062065.25</v>
      </c>
      <c r="I206" s="14">
        <f t="shared" si="52"/>
        <v>6062065.25</v>
      </c>
      <c r="J206" s="14">
        <f t="shared" si="52"/>
        <v>6062065.25</v>
      </c>
      <c r="K206" s="14">
        <f t="shared" si="52"/>
        <v>6062065.25</v>
      </c>
      <c r="L206" s="14">
        <f t="shared" si="52"/>
        <v>6062065.25</v>
      </c>
      <c r="M206" s="14">
        <f t="shared" si="52"/>
        <v>6062065.25</v>
      </c>
      <c r="N206" s="14">
        <f>$O206/12-5+62158</f>
        <v>6062068.25</v>
      </c>
      <c r="O206" s="14">
        <f>62219383+9779600</f>
        <v>71998983</v>
      </c>
      <c r="P206" s="120"/>
      <c r="Q206" s="84"/>
    </row>
    <row r="207" spans="1:17" ht="14.25">
      <c r="A207" s="15" t="s">
        <v>316</v>
      </c>
      <c r="B207" s="91" t="s">
        <v>317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>
        <f t="shared" si="51"/>
        <v>0</v>
      </c>
      <c r="P207" s="120"/>
      <c r="Q207" s="84"/>
    </row>
    <row r="208" spans="1:17" ht="14.25">
      <c r="A208" s="15" t="s">
        <v>420</v>
      </c>
      <c r="B208" s="91" t="s">
        <v>318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>
        <f t="shared" si="51"/>
        <v>0</v>
      </c>
      <c r="P208" s="120"/>
      <c r="Q208" s="84"/>
    </row>
    <row r="209" spans="1:17" ht="14.25">
      <c r="A209" s="108" t="s">
        <v>5</v>
      </c>
      <c r="B209" s="95" t="s">
        <v>319</v>
      </c>
      <c r="C209" s="14">
        <f>SUM(C193+C198+C203+C206)</f>
        <v>6062065.25</v>
      </c>
      <c r="D209" s="14">
        <f aca="true" t="shared" si="53" ref="D209:N209">SUM(D193+D198+D203+D206)</f>
        <v>6062065.25</v>
      </c>
      <c r="E209" s="14">
        <f t="shared" si="53"/>
        <v>6062065.25</v>
      </c>
      <c r="F209" s="14">
        <f t="shared" si="53"/>
        <v>15891665.25</v>
      </c>
      <c r="G209" s="14">
        <f t="shared" si="53"/>
        <v>6112065.25</v>
      </c>
      <c r="H209" s="14">
        <f t="shared" si="53"/>
        <v>6062065.25</v>
      </c>
      <c r="I209" s="14">
        <f t="shared" si="53"/>
        <v>6062065.25</v>
      </c>
      <c r="J209" s="14">
        <f t="shared" si="53"/>
        <v>6062065.25</v>
      </c>
      <c r="K209" s="14">
        <f t="shared" si="53"/>
        <v>6062065.25</v>
      </c>
      <c r="L209" s="14">
        <f t="shared" si="53"/>
        <v>6062065.25</v>
      </c>
      <c r="M209" s="14">
        <f t="shared" si="53"/>
        <v>6062065.25</v>
      </c>
      <c r="N209" s="14">
        <f t="shared" si="53"/>
        <v>6062068.25</v>
      </c>
      <c r="O209" s="14">
        <f>O206+O203</f>
        <v>72844780</v>
      </c>
      <c r="P209" s="120"/>
      <c r="Q209" s="84"/>
    </row>
    <row r="210" spans="1:17" ht="14.25">
      <c r="A210" s="15" t="s">
        <v>320</v>
      </c>
      <c r="B210" s="91" t="s">
        <v>321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>
        <f t="shared" si="51"/>
        <v>0</v>
      </c>
      <c r="P210" s="120"/>
      <c r="Q210" s="84"/>
    </row>
    <row r="211" spans="1:17" ht="14.25">
      <c r="A211" s="15" t="s">
        <v>322</v>
      </c>
      <c r="B211" s="91" t="s">
        <v>323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>
        <f t="shared" si="51"/>
        <v>0</v>
      </c>
      <c r="P211" s="120"/>
      <c r="Q211" s="84"/>
    </row>
    <row r="212" spans="1:17" ht="14.25">
      <c r="A212" s="15" t="s">
        <v>324</v>
      </c>
      <c r="B212" s="91" t="s">
        <v>325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>
        <f t="shared" si="51"/>
        <v>0</v>
      </c>
      <c r="P212" s="120"/>
      <c r="Q212" s="84"/>
    </row>
    <row r="213" spans="1:17" ht="14.25">
      <c r="A213" s="15" t="s">
        <v>421</v>
      </c>
      <c r="B213" s="91" t="s">
        <v>326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>
        <f t="shared" si="51"/>
        <v>0</v>
      </c>
      <c r="P213" s="120"/>
      <c r="Q213" s="84"/>
    </row>
    <row r="214" spans="1:17" ht="14.25">
      <c r="A214" s="108" t="s">
        <v>6</v>
      </c>
      <c r="B214" s="95" t="s">
        <v>327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>
        <f t="shared" si="51"/>
        <v>0</v>
      </c>
      <c r="P214" s="120"/>
      <c r="Q214" s="84"/>
    </row>
    <row r="215" spans="1:17" ht="14.25">
      <c r="A215" s="108" t="s">
        <v>328</v>
      </c>
      <c r="B215" s="95" t="s">
        <v>329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>
        <f t="shared" si="51"/>
        <v>0</v>
      </c>
      <c r="P215" s="120"/>
      <c r="Q215" s="84"/>
    </row>
    <row r="216" spans="1:17" s="128" customFormat="1" ht="15">
      <c r="A216" s="116" t="s">
        <v>7</v>
      </c>
      <c r="B216" s="113" t="s">
        <v>330</v>
      </c>
      <c r="C216" s="16">
        <f>SUM(C209)</f>
        <v>6062065.25</v>
      </c>
      <c r="D216" s="16">
        <f>SUM(D209+D214+D215)</f>
        <v>6062065.25</v>
      </c>
      <c r="E216" s="16">
        <f aca="true" t="shared" si="54" ref="E216:N216">SUM(E209+E214+E215)</f>
        <v>6062065.25</v>
      </c>
      <c r="F216" s="16">
        <f t="shared" si="54"/>
        <v>15891665.25</v>
      </c>
      <c r="G216" s="16">
        <f t="shared" si="54"/>
        <v>6112065.25</v>
      </c>
      <c r="H216" s="16">
        <f t="shared" si="54"/>
        <v>6062065.25</v>
      </c>
      <c r="I216" s="16">
        <f t="shared" si="54"/>
        <v>6062065.25</v>
      </c>
      <c r="J216" s="16">
        <f t="shared" si="54"/>
        <v>6062065.25</v>
      </c>
      <c r="K216" s="16">
        <f t="shared" si="54"/>
        <v>6062065.25</v>
      </c>
      <c r="L216" s="16">
        <f t="shared" si="54"/>
        <v>6062065.25</v>
      </c>
      <c r="M216" s="16">
        <f t="shared" si="54"/>
        <v>6062065.25</v>
      </c>
      <c r="N216" s="16">
        <f t="shared" si="54"/>
        <v>6062068.25</v>
      </c>
      <c r="O216" s="16">
        <f>O209</f>
        <v>72844780</v>
      </c>
      <c r="P216" s="176"/>
      <c r="Q216" s="127"/>
    </row>
    <row r="217" spans="1:17" s="128" customFormat="1" ht="15">
      <c r="A217" s="180" t="s">
        <v>423</v>
      </c>
      <c r="B217" s="130"/>
      <c r="C217" s="16">
        <f aca="true" t="shared" si="55" ref="C217:N217">SUM(C187+C216)</f>
        <v>6894208.916666667</v>
      </c>
      <c r="D217" s="16">
        <f t="shared" si="55"/>
        <v>6894208.916666667</v>
      </c>
      <c r="E217" s="16">
        <f t="shared" si="55"/>
        <v>6894208.916666667</v>
      </c>
      <c r="F217" s="16">
        <f t="shared" si="55"/>
        <v>16723808.916666666</v>
      </c>
      <c r="G217" s="16">
        <f t="shared" si="55"/>
        <v>6944208.916666667</v>
      </c>
      <c r="H217" s="16">
        <f t="shared" si="55"/>
        <v>6894208.916666667</v>
      </c>
      <c r="I217" s="16">
        <f t="shared" si="55"/>
        <v>6894208.916666667</v>
      </c>
      <c r="J217" s="16">
        <f t="shared" si="55"/>
        <v>6894208.916666667</v>
      </c>
      <c r="K217" s="16">
        <f t="shared" si="55"/>
        <v>6894208.916666667</v>
      </c>
      <c r="L217" s="16">
        <f t="shared" si="55"/>
        <v>6894208.916666667</v>
      </c>
      <c r="M217" s="16">
        <f t="shared" si="55"/>
        <v>6894208.916666667</v>
      </c>
      <c r="N217" s="16">
        <f t="shared" si="55"/>
        <v>6894208.25</v>
      </c>
      <c r="O217" s="16">
        <f>O216+O138</f>
        <v>82830504</v>
      </c>
      <c r="P217" s="176"/>
      <c r="Q217" s="127"/>
    </row>
    <row r="218" spans="2:17" ht="14.25">
      <c r="B218" s="84"/>
      <c r="C218" s="84">
        <f>C217-C124</f>
        <v>47894.25</v>
      </c>
      <c r="D218" s="84">
        <f aca="true" t="shared" si="56" ref="D218:N218">D217-D124</f>
        <v>47894.25</v>
      </c>
      <c r="E218" s="84">
        <f t="shared" si="56"/>
        <v>47894.25</v>
      </c>
      <c r="F218" s="84">
        <f t="shared" si="56"/>
        <v>9779600.25</v>
      </c>
      <c r="G218" s="84">
        <f t="shared" si="56"/>
        <v>0.25</v>
      </c>
      <c r="H218" s="84">
        <f>H217-H124</f>
        <v>95788.25</v>
      </c>
      <c r="I218" s="84">
        <f t="shared" si="56"/>
        <v>-9779599.75</v>
      </c>
      <c r="J218" s="84">
        <f t="shared" si="56"/>
        <v>0.25</v>
      </c>
      <c r="K218" s="84">
        <f t="shared" si="56"/>
        <v>0.25</v>
      </c>
      <c r="L218" s="84">
        <f t="shared" si="56"/>
        <v>0.25</v>
      </c>
      <c r="M218" s="84">
        <f t="shared" si="56"/>
        <v>0.25</v>
      </c>
      <c r="N218" s="84">
        <f t="shared" si="56"/>
        <v>-0.4166666669771075</v>
      </c>
      <c r="O218" s="84"/>
      <c r="P218" s="120"/>
      <c r="Q218" s="84"/>
    </row>
    <row r="219" spans="2:17" ht="14.25"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120"/>
      <c r="Q219" s="84"/>
    </row>
    <row r="220" spans="2:17" ht="14.25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120"/>
      <c r="Q220" s="84"/>
    </row>
    <row r="221" spans="2:17" ht="14.25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120"/>
      <c r="Q221" s="84"/>
    </row>
    <row r="222" spans="2:17" ht="14.25"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120"/>
      <c r="Q222" s="84"/>
    </row>
    <row r="223" spans="2:17" ht="14.25"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120"/>
      <c r="Q223" s="84"/>
    </row>
    <row r="224" spans="2:17" ht="14.25"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120"/>
      <c r="Q224" s="84"/>
    </row>
    <row r="225" spans="2:17" ht="14.25"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120"/>
      <c r="Q225" s="84"/>
    </row>
    <row r="226" spans="2:17" ht="14.25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120"/>
      <c r="Q226" s="84"/>
    </row>
    <row r="227" spans="2:17" ht="14.25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120"/>
      <c r="Q227" s="84"/>
    </row>
    <row r="228" spans="2:17" ht="14.25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120"/>
      <c r="Q228" s="84"/>
    </row>
    <row r="229" spans="2:17" ht="14.25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120"/>
      <c r="Q229" s="84"/>
    </row>
    <row r="230" spans="2:17" ht="14.25"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120"/>
      <c r="Q230" s="84"/>
    </row>
  </sheetData>
  <sheetProtection/>
  <mergeCells count="3">
    <mergeCell ref="A3:O3"/>
    <mergeCell ref="A4:O4"/>
    <mergeCell ref="A2:O2"/>
  </mergeCells>
  <printOptions/>
  <pageMargins left="0.31496062992125984" right="0.31496062992125984" top="0.7480314960629921" bottom="0.7480314960629921" header="0.31496062992125984" footer="0.31496062992125984"/>
  <pageSetup fitToHeight="2" horizontalDpi="600" verticalDpi="600" orientation="landscape" paperSize="9" scale="4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2019-09-25T11:09:36Z</cp:lastPrinted>
  <dcterms:created xsi:type="dcterms:W3CDTF">2014-01-03T21:48:14Z</dcterms:created>
  <dcterms:modified xsi:type="dcterms:W3CDTF">2020-05-21T14:57:04Z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