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/>
  </bookViews>
  <sheets>
    <sheet name="3amell_zárszám_2015" sheetId="2" r:id="rId1"/>
    <sheet name="3mell_zárszám_2015" sheetId="1" r:id="rId2"/>
  </sheets>
  <definedNames>
    <definedName name="_xlnm.Print_Area" localSheetId="0">'3amell_zárszám_2015'!$A$1:$Q$737</definedName>
  </definedNames>
  <calcPr calcId="152511"/>
</workbook>
</file>

<file path=xl/calcChain.xml><?xml version="1.0" encoding="utf-8"?>
<calcChain xmlns="http://schemas.openxmlformats.org/spreadsheetml/2006/main">
  <c r="P349" i="2" l="1"/>
  <c r="P674" i="2"/>
  <c r="H103" i="1" l="1"/>
  <c r="H104" i="1"/>
  <c r="H105" i="1"/>
  <c r="H106" i="1"/>
  <c r="H108" i="1"/>
  <c r="H110" i="1"/>
  <c r="H112" i="1"/>
  <c r="H113" i="1"/>
  <c r="H116" i="1"/>
  <c r="H118" i="1"/>
  <c r="H120" i="1"/>
  <c r="H121" i="1"/>
  <c r="H122" i="1"/>
  <c r="H123" i="1"/>
  <c r="H128" i="1"/>
  <c r="H130" i="1"/>
  <c r="H133" i="1"/>
  <c r="H135" i="1"/>
  <c r="H136" i="1"/>
  <c r="H102" i="1"/>
  <c r="H11" i="1"/>
  <c r="H12" i="1"/>
  <c r="H13" i="1"/>
  <c r="H14" i="1"/>
  <c r="H15" i="1"/>
  <c r="H16" i="1"/>
  <c r="H17" i="1"/>
  <c r="H20" i="1"/>
  <c r="H22" i="1"/>
  <c r="H23" i="1"/>
  <c r="H24" i="1"/>
  <c r="H25" i="1"/>
  <c r="H29" i="1"/>
  <c r="H30" i="1"/>
  <c r="H31" i="1"/>
  <c r="H32" i="1"/>
  <c r="H33" i="1"/>
  <c r="H34" i="1"/>
  <c r="H35" i="1"/>
  <c r="H36" i="1"/>
  <c r="H38" i="1"/>
  <c r="H39" i="1"/>
  <c r="H40" i="1"/>
  <c r="H41" i="1"/>
  <c r="H42" i="1"/>
  <c r="H43" i="1"/>
  <c r="H44" i="1"/>
  <c r="H45" i="1"/>
  <c r="H50" i="1"/>
  <c r="H52" i="1"/>
  <c r="H56" i="1"/>
  <c r="H57" i="1"/>
  <c r="H58" i="1"/>
  <c r="H59" i="1"/>
  <c r="H61" i="1"/>
  <c r="H63" i="1"/>
  <c r="H64" i="1"/>
  <c r="H66" i="1"/>
  <c r="H67" i="1"/>
  <c r="H68" i="1"/>
  <c r="H70" i="1"/>
  <c r="H72" i="1"/>
  <c r="H80" i="1"/>
  <c r="H81" i="1"/>
  <c r="H82" i="1"/>
  <c r="H83" i="1"/>
  <c r="H98" i="1"/>
  <c r="H99" i="1"/>
  <c r="H10" i="1"/>
  <c r="G134" i="1"/>
  <c r="H134" i="1" s="1"/>
  <c r="G118" i="1"/>
  <c r="F17" i="1"/>
  <c r="G17" i="1"/>
  <c r="G31" i="1"/>
  <c r="G67" i="1"/>
  <c r="G85" i="1"/>
  <c r="G98" i="1"/>
  <c r="G80" i="1"/>
  <c r="G81" i="1"/>
  <c r="G68" i="1"/>
  <c r="G61" i="1"/>
  <c r="G56" i="1"/>
  <c r="G50" i="1"/>
  <c r="G38" i="1"/>
  <c r="G24" i="1"/>
  <c r="G10" i="1"/>
  <c r="G66" i="1" s="1"/>
  <c r="G99" i="1" s="1"/>
  <c r="G137" i="1" l="1"/>
  <c r="Q658" i="2"/>
  <c r="Q629" i="2"/>
  <c r="Q550" i="2"/>
  <c r="Q548" i="2"/>
  <c r="Q538" i="2"/>
  <c r="Q533" i="2"/>
  <c r="Q534" i="2"/>
  <c r="Q532" i="2"/>
  <c r="Q526" i="2"/>
  <c r="Q528" i="2"/>
  <c r="Q525" i="2"/>
  <c r="Q521" i="2"/>
  <c r="Q505" i="2"/>
  <c r="Q506" i="2"/>
  <c r="Q507" i="2"/>
  <c r="Q503" i="2"/>
  <c r="Q478" i="2"/>
  <c r="Q477" i="2"/>
  <c r="Q456" i="2"/>
  <c r="Q457" i="2"/>
  <c r="Q460" i="2"/>
  <c r="Q455" i="2"/>
  <c r="Q448" i="2"/>
  <c r="Q447" i="2"/>
  <c r="Q443" i="2"/>
  <c r="Q434" i="2"/>
  <c r="Q433" i="2"/>
  <c r="Q421" i="2"/>
  <c r="Q425" i="2"/>
  <c r="Q427" i="2"/>
  <c r="Q420" i="2"/>
  <c r="Q394" i="2"/>
  <c r="Q395" i="2"/>
  <c r="Q272" i="2"/>
  <c r="Q274" i="2"/>
  <c r="Q266" i="2"/>
  <c r="Q188" i="2"/>
  <c r="Q180" i="2"/>
  <c r="Q174" i="2"/>
  <c r="Q164" i="2"/>
  <c r="Q156" i="2"/>
  <c r="Q143" i="2"/>
  <c r="Q132" i="2"/>
  <c r="Q131" i="2"/>
  <c r="Q123" i="2"/>
  <c r="Q115" i="2"/>
  <c r="Q114" i="2"/>
  <c r="Q110" i="2"/>
  <c r="Q93" i="2"/>
  <c r="Q95" i="2"/>
  <c r="Q96" i="2"/>
  <c r="Q91" i="2"/>
  <c r="Q80" i="2"/>
  <c r="Q76" i="2"/>
  <c r="Q75" i="2"/>
  <c r="Q65" i="2"/>
  <c r="Q64" i="2"/>
  <c r="Q31" i="2"/>
  <c r="Q32" i="2"/>
  <c r="Q35" i="2"/>
  <c r="Q39" i="2"/>
  <c r="Q49" i="2"/>
  <c r="Q23" i="2"/>
  <c r="Q24" i="2"/>
  <c r="Q21" i="2"/>
  <c r="P399" i="2"/>
  <c r="P724" i="2" s="1"/>
  <c r="P377" i="2"/>
  <c r="P596" i="2"/>
  <c r="P362" i="2"/>
  <c r="P687" i="2" s="1"/>
  <c r="P361" i="2"/>
  <c r="P686" i="2" s="1"/>
  <c r="P593" i="2"/>
  <c r="P684" i="2" s="1"/>
  <c r="P359" i="2"/>
  <c r="P592" i="2"/>
  <c r="P358" i="2"/>
  <c r="P474" i="2"/>
  <c r="P357" i="2"/>
  <c r="P591" i="2"/>
  <c r="P354" i="2"/>
  <c r="P587" i="2"/>
  <c r="P353" i="2"/>
  <c r="P352" i="2"/>
  <c r="G138" i="1" l="1"/>
  <c r="H138" i="1" s="1"/>
  <c r="H137" i="1"/>
  <c r="P682" i="2"/>
  <c r="P348" i="2"/>
  <c r="P350" i="2"/>
  <c r="P675" i="2" s="1"/>
  <c r="P346" i="2"/>
  <c r="P347" i="2"/>
  <c r="P345" i="2"/>
  <c r="P342" i="2"/>
  <c r="O576" i="2"/>
  <c r="P671" i="2"/>
  <c r="P672" i="2"/>
  <c r="P678" i="2"/>
  <c r="P683" i="2"/>
  <c r="P690" i="2"/>
  <c r="P720" i="2"/>
  <c r="P721" i="2"/>
  <c r="P560" i="2"/>
  <c r="P562" i="2"/>
  <c r="P569" i="2"/>
  <c r="P570" i="2"/>
  <c r="P577" i="2"/>
  <c r="P586" i="2"/>
  <c r="P588" i="2"/>
  <c r="P589" i="2"/>
  <c r="P590" i="2"/>
  <c r="P605" i="2"/>
  <c r="P606" i="2"/>
  <c r="P610" i="2"/>
  <c r="P611" i="2"/>
  <c r="P628" i="2"/>
  <c r="P324" i="2"/>
  <c r="P325" i="2"/>
  <c r="P326" i="2"/>
  <c r="P327" i="2"/>
  <c r="P328" i="2"/>
  <c r="P329" i="2"/>
  <c r="P331" i="2"/>
  <c r="P656" i="2" s="1"/>
  <c r="P333" i="2"/>
  <c r="P335" i="2"/>
  <c r="P338" i="2"/>
  <c r="P343" i="2"/>
  <c r="P355" i="2"/>
  <c r="P356" i="2"/>
  <c r="P365" i="2"/>
  <c r="P370" i="2"/>
  <c r="Q370" i="2" s="1"/>
  <c r="P371" i="2"/>
  <c r="P383" i="2"/>
  <c r="P396" i="2"/>
  <c r="P551" i="2"/>
  <c r="P275" i="2"/>
  <c r="P321" i="2"/>
  <c r="P313" i="2"/>
  <c r="P269" i="2"/>
  <c r="P539" i="2"/>
  <c r="P535" i="2"/>
  <c r="P250" i="2"/>
  <c r="P239" i="2"/>
  <c r="P529" i="2"/>
  <c r="P222" i="2"/>
  <c r="P213" i="2"/>
  <c r="P522" i="2"/>
  <c r="P514" i="2"/>
  <c r="P508" i="2"/>
  <c r="P484" i="2"/>
  <c r="P189" i="2"/>
  <c r="P181" i="2"/>
  <c r="P175" i="2"/>
  <c r="P440" i="2"/>
  <c r="P58" i="2"/>
  <c r="P59" i="2" s="1"/>
  <c r="P165" i="2"/>
  <c r="P464" i="2"/>
  <c r="O465" i="2"/>
  <c r="P461" i="2"/>
  <c r="O459" i="2"/>
  <c r="Q459" i="2" s="1"/>
  <c r="P450" i="2"/>
  <c r="O370" i="2"/>
  <c r="O355" i="2"/>
  <c r="P161" i="2"/>
  <c r="P136" i="2"/>
  <c r="P128" i="2"/>
  <c r="P444" i="2"/>
  <c r="P118" i="2"/>
  <c r="P77" i="2"/>
  <c r="Q77" i="2" s="1"/>
  <c r="P67" i="2"/>
  <c r="P98" i="2"/>
  <c r="P88" i="2"/>
  <c r="N88" i="2"/>
  <c r="P435" i="2"/>
  <c r="P50" i="2"/>
  <c r="P43" i="2"/>
  <c r="P36" i="2"/>
  <c r="P27" i="2"/>
  <c r="P430" i="2"/>
  <c r="P40" i="2" l="1"/>
  <c r="P465" i="2"/>
  <c r="Q465" i="2" s="1"/>
  <c r="Q464" i="2"/>
  <c r="P385" i="2"/>
  <c r="P653" i="2"/>
  <c r="P651" i="2"/>
  <c r="P649" i="2"/>
  <c r="P719" i="2"/>
  <c r="P708" i="2"/>
  <c r="P701" i="2"/>
  <c r="P696" i="2"/>
  <c r="P681" i="2"/>
  <c r="P668" i="2"/>
  <c r="P661" i="2"/>
  <c r="P576" i="2"/>
  <c r="P680" i="2"/>
  <c r="Q355" i="2"/>
  <c r="P652" i="2"/>
  <c r="P650" i="2"/>
  <c r="P645" i="2"/>
  <c r="P613" i="2"/>
  <c r="P702" i="2"/>
  <c r="P697" i="2"/>
  <c r="P695" i="2"/>
  <c r="P679" i="2"/>
  <c r="P677" i="2"/>
  <c r="P673" i="2"/>
  <c r="P663" i="2"/>
  <c r="P660" i="2"/>
  <c r="P654" i="2"/>
  <c r="P670" i="2"/>
  <c r="P379" i="2"/>
  <c r="P646" i="2"/>
  <c r="P411" i="2"/>
  <c r="P54" i="2"/>
  <c r="H338" i="2"/>
  <c r="H269" i="2"/>
  <c r="H686" i="2"/>
  <c r="H558" i="2"/>
  <c r="H559" i="2"/>
  <c r="H560" i="2"/>
  <c r="H566" i="2"/>
  <c r="H568" i="2"/>
  <c r="H572" i="2"/>
  <c r="H576" i="2"/>
  <c r="H577" i="2"/>
  <c r="H578" i="2"/>
  <c r="H579" i="2"/>
  <c r="H585" i="2"/>
  <c r="H587" i="2"/>
  <c r="H589" i="2"/>
  <c r="I554" i="2"/>
  <c r="H555" i="2"/>
  <c r="I548" i="2"/>
  <c r="I546" i="2"/>
  <c r="H551" i="2"/>
  <c r="I539" i="2"/>
  <c r="I540" i="2"/>
  <c r="I542" i="2"/>
  <c r="I538" i="2"/>
  <c r="H543" i="2"/>
  <c r="H535" i="2"/>
  <c r="I526" i="2"/>
  <c r="H529" i="2"/>
  <c r="I521" i="2"/>
  <c r="H522" i="2"/>
  <c r="H518" i="2"/>
  <c r="I512" i="2"/>
  <c r="I513" i="2"/>
  <c r="I511" i="2"/>
  <c r="H514" i="2"/>
  <c r="I504" i="2"/>
  <c r="I505" i="2"/>
  <c r="I503" i="2"/>
  <c r="H507" i="2"/>
  <c r="I498" i="2"/>
  <c r="I496" i="2"/>
  <c r="H500" i="2"/>
  <c r="H491" i="2"/>
  <c r="I478" i="2"/>
  <c r="I479" i="2"/>
  <c r="I481" i="2"/>
  <c r="I482" i="2"/>
  <c r="I477" i="2"/>
  <c r="H484" i="2"/>
  <c r="I471" i="2"/>
  <c r="H472" i="2"/>
  <c r="I465" i="2"/>
  <c r="I467" i="2"/>
  <c r="I464" i="2"/>
  <c r="H468" i="2"/>
  <c r="I454" i="2"/>
  <c r="I455" i="2"/>
  <c r="I457" i="2"/>
  <c r="I458" i="2"/>
  <c r="I459" i="2"/>
  <c r="I453" i="2"/>
  <c r="H461" i="2"/>
  <c r="I448" i="2"/>
  <c r="I449" i="2"/>
  <c r="I447" i="2"/>
  <c r="H450" i="2"/>
  <c r="I443" i="2"/>
  <c r="H444" i="2"/>
  <c r="I421" i="2"/>
  <c r="I424" i="2"/>
  <c r="I425" i="2"/>
  <c r="I428" i="2"/>
  <c r="I429" i="2"/>
  <c r="I420" i="2"/>
  <c r="H426" i="2"/>
  <c r="H430" i="2" s="1"/>
  <c r="I361" i="2"/>
  <c r="H360" i="2"/>
  <c r="H359" i="2" s="1"/>
  <c r="H342" i="2"/>
  <c r="H343" i="2"/>
  <c r="H344" i="2"/>
  <c r="H345" i="2"/>
  <c r="H351" i="2"/>
  <c r="H356" i="2"/>
  <c r="H330" i="2"/>
  <c r="H655" i="2" s="1"/>
  <c r="H332" i="2"/>
  <c r="H334" i="2"/>
  <c r="H335" i="2"/>
  <c r="H339" i="2"/>
  <c r="H664" i="2" s="1"/>
  <c r="H324" i="2"/>
  <c r="H649" i="2" s="1"/>
  <c r="H325" i="2"/>
  <c r="H326" i="2"/>
  <c r="H651" i="2" s="1"/>
  <c r="H327" i="2"/>
  <c r="H652" i="2" s="1"/>
  <c r="H328" i="2"/>
  <c r="H653" i="2" s="1"/>
  <c r="I272" i="2"/>
  <c r="H275" i="2"/>
  <c r="I267" i="2"/>
  <c r="I265" i="2"/>
  <c r="I284" i="2"/>
  <c r="H285" i="2"/>
  <c r="I292" i="2"/>
  <c r="H293" i="2"/>
  <c r="I288" i="2"/>
  <c r="H289" i="2"/>
  <c r="I304" i="2"/>
  <c r="H305" i="2"/>
  <c r="I280" i="2"/>
  <c r="I278" i="2"/>
  <c r="H281" i="2"/>
  <c r="I296" i="2"/>
  <c r="H297" i="2"/>
  <c r="I300" i="2"/>
  <c r="H301" i="2"/>
  <c r="H250" i="2"/>
  <c r="H237" i="2"/>
  <c r="I229" i="2"/>
  <c r="I232" i="2"/>
  <c r="H233" i="2"/>
  <c r="I220" i="2"/>
  <c r="I222" i="2"/>
  <c r="I224" i="2"/>
  <c r="I219" i="2"/>
  <c r="H225" i="2"/>
  <c r="I215" i="2"/>
  <c r="H216" i="2"/>
  <c r="I207" i="2"/>
  <c r="I206" i="2"/>
  <c r="H208" i="2"/>
  <c r="I197" i="2"/>
  <c r="I198" i="2"/>
  <c r="I202" i="2"/>
  <c r="I196" i="2"/>
  <c r="H203" i="2"/>
  <c r="I189" i="2"/>
  <c r="I190" i="2"/>
  <c r="I192" i="2"/>
  <c r="I188" i="2"/>
  <c r="H193" i="2"/>
  <c r="I181" i="2"/>
  <c r="I182" i="2"/>
  <c r="I184" i="2"/>
  <c r="I180" i="2"/>
  <c r="H185" i="2"/>
  <c r="I175" i="2"/>
  <c r="I176" i="2"/>
  <c r="I174" i="2"/>
  <c r="H177" i="2"/>
  <c r="I170" i="2"/>
  <c r="H171" i="2"/>
  <c r="I165" i="2"/>
  <c r="I166" i="2"/>
  <c r="I164" i="2"/>
  <c r="H167" i="2"/>
  <c r="I158" i="2"/>
  <c r="I159" i="2"/>
  <c r="H161" i="2"/>
  <c r="H140" i="2"/>
  <c r="I133" i="2"/>
  <c r="I134" i="2"/>
  <c r="H136" i="2"/>
  <c r="I124" i="2"/>
  <c r="I127" i="2"/>
  <c r="I123" i="2"/>
  <c r="H128" i="2"/>
  <c r="I110" i="2"/>
  <c r="I113" i="2"/>
  <c r="I114" i="2"/>
  <c r="I115" i="2"/>
  <c r="I108" i="2"/>
  <c r="H118" i="2"/>
  <c r="I103" i="2"/>
  <c r="I102" i="2"/>
  <c r="H104" i="2"/>
  <c r="H76" i="2"/>
  <c r="H72" i="2"/>
  <c r="I64" i="2"/>
  <c r="I65" i="2"/>
  <c r="H67" i="2"/>
  <c r="I92" i="2"/>
  <c r="I98" i="2"/>
  <c r="I91" i="2"/>
  <c r="H99" i="2"/>
  <c r="I81" i="2"/>
  <c r="H88" i="2"/>
  <c r="I56" i="2"/>
  <c r="H59" i="2"/>
  <c r="I33" i="2"/>
  <c r="H54" i="2"/>
  <c r="H27" i="2"/>
  <c r="I308" i="2"/>
  <c r="H309" i="2"/>
  <c r="I14" i="2"/>
  <c r="I17" i="2"/>
  <c r="I13" i="2"/>
  <c r="H18" i="2"/>
  <c r="P412" i="2" l="1"/>
  <c r="P667" i="2"/>
  <c r="Q576" i="2"/>
  <c r="P710" i="2"/>
  <c r="H676" i="2"/>
  <c r="P704" i="2"/>
  <c r="H685" i="2"/>
  <c r="I685" i="2" s="1"/>
  <c r="H669" i="2"/>
  <c r="H667" i="2"/>
  <c r="H660" i="2"/>
  <c r="H681" i="2"/>
  <c r="H357" i="2"/>
  <c r="H678" i="2"/>
  <c r="H670" i="2"/>
  <c r="H668" i="2"/>
  <c r="H657" i="2"/>
  <c r="H574" i="2"/>
  <c r="H650" i="2"/>
  <c r="H663" i="2"/>
  <c r="H591" i="2"/>
  <c r="H340" i="2"/>
  <c r="H659" i="2"/>
  <c r="H592" i="2"/>
  <c r="N736" i="2"/>
  <c r="N704" i="2"/>
  <c r="N737" i="2" s="1"/>
  <c r="N645" i="2"/>
  <c r="N613" i="2"/>
  <c r="N551" i="2"/>
  <c r="N535" i="2"/>
  <c r="N529" i="2"/>
  <c r="N508" i="2"/>
  <c r="N500" i="2"/>
  <c r="N484" i="2"/>
  <c r="N474" i="2"/>
  <c r="N461" i="2"/>
  <c r="N450" i="2"/>
  <c r="N444" i="2"/>
  <c r="N430" i="2"/>
  <c r="N411" i="2"/>
  <c r="N412" i="2" s="1"/>
  <c r="N379" i="2"/>
  <c r="N245" i="2"/>
  <c r="N239" i="2"/>
  <c r="N189" i="2"/>
  <c r="N181" i="2"/>
  <c r="N161" i="2"/>
  <c r="N136" i="2"/>
  <c r="N128" i="2"/>
  <c r="N118" i="2"/>
  <c r="N77" i="2"/>
  <c r="N67" i="2"/>
  <c r="N40" i="2"/>
  <c r="N54" i="2" s="1"/>
  <c r="N36" i="2"/>
  <c r="N27" i="2"/>
  <c r="F682" i="2"/>
  <c r="F665" i="2"/>
  <c r="F683" i="2" s="1"/>
  <c r="F737" i="2" s="1"/>
  <c r="F591" i="2"/>
  <c r="F574" i="2"/>
  <c r="F592" i="2" s="1"/>
  <c r="F646" i="2" s="1"/>
  <c r="F535" i="2"/>
  <c r="F529" i="2"/>
  <c r="F518" i="2"/>
  <c r="F514" i="2"/>
  <c r="F507" i="2"/>
  <c r="F500" i="2"/>
  <c r="F491" i="2"/>
  <c r="F484" i="2"/>
  <c r="F472" i="2"/>
  <c r="F468" i="2"/>
  <c r="F461" i="2"/>
  <c r="F450" i="2"/>
  <c r="F444" i="2"/>
  <c r="F430" i="2"/>
  <c r="F426" i="2"/>
  <c r="F359" i="2"/>
  <c r="F357" i="2"/>
  <c r="F340" i="2"/>
  <c r="F269" i="2"/>
  <c r="F262" i="2"/>
  <c r="F258" i="2"/>
  <c r="F254" i="2"/>
  <c r="F250" i="2"/>
  <c r="F243" i="2"/>
  <c r="F237" i="2"/>
  <c r="F225" i="2"/>
  <c r="F208" i="2"/>
  <c r="F203" i="2"/>
  <c r="F193" i="2"/>
  <c r="F185" i="2"/>
  <c r="F171" i="2"/>
  <c r="F161" i="2"/>
  <c r="F140" i="2"/>
  <c r="F136" i="2"/>
  <c r="F128" i="2"/>
  <c r="F118" i="2"/>
  <c r="F104" i="2"/>
  <c r="F88" i="2"/>
  <c r="F76" i="2"/>
  <c r="F72" i="2"/>
  <c r="F67" i="2"/>
  <c r="F59" i="2"/>
  <c r="F54" i="2"/>
  <c r="F27" i="2"/>
  <c r="F18" i="2"/>
  <c r="H358" i="2" l="1"/>
  <c r="H412" i="2" s="1"/>
  <c r="P736" i="2"/>
  <c r="H646" i="2"/>
  <c r="F358" i="2"/>
  <c r="F412" i="2" s="1"/>
  <c r="N646" i="2"/>
  <c r="H682" i="2"/>
  <c r="H665" i="2"/>
  <c r="E134" i="1"/>
  <c r="E137" i="1" s="1"/>
  <c r="E138" i="1" s="1"/>
  <c r="E118" i="1"/>
  <c r="E68" i="1"/>
  <c r="E80" i="1"/>
  <c r="E67" i="1" s="1"/>
  <c r="E98" i="1" s="1"/>
  <c r="E24" i="1"/>
  <c r="E61" i="1"/>
  <c r="E66" i="1" s="1"/>
  <c r="E56" i="1"/>
  <c r="E50" i="1"/>
  <c r="E38" i="1"/>
  <c r="E31" i="1"/>
  <c r="E17" i="1"/>
  <c r="E10" i="1"/>
  <c r="E99" i="1" l="1"/>
  <c r="P737" i="2"/>
  <c r="H683" i="2"/>
  <c r="G490" i="2"/>
  <c r="I490" i="2" s="1"/>
  <c r="G199" i="2"/>
  <c r="I199" i="2" s="1"/>
  <c r="G517" i="2"/>
  <c r="I517" i="2" s="1"/>
  <c r="G249" i="2"/>
  <c r="I249" i="2" s="1"/>
  <c r="G253" i="2"/>
  <c r="G261" i="2"/>
  <c r="G266" i="2"/>
  <c r="I266" i="2" s="1"/>
  <c r="G230" i="2"/>
  <c r="I230" i="2" s="1"/>
  <c r="G228" i="2"/>
  <c r="I228" i="2" s="1"/>
  <c r="G213" i="2"/>
  <c r="I213" i="2" s="1"/>
  <c r="G212" i="2"/>
  <c r="I212" i="2" s="1"/>
  <c r="G211" i="2"/>
  <c r="I211" i="2" s="1"/>
  <c r="G144" i="2"/>
  <c r="G143" i="2"/>
  <c r="I143" i="2" s="1"/>
  <c r="G139" i="2"/>
  <c r="I139" i="2" s="1"/>
  <c r="G75" i="2"/>
  <c r="I75" i="2" s="1"/>
  <c r="G62" i="2"/>
  <c r="I62" i="2" s="1"/>
  <c r="G221" i="2"/>
  <c r="I221" i="2" s="1"/>
  <c r="G93" i="2"/>
  <c r="I93" i="2" s="1"/>
  <c r="G30" i="2"/>
  <c r="I30" i="2" s="1"/>
  <c r="G21" i="2"/>
  <c r="I21" i="2" s="1"/>
  <c r="G309" i="2"/>
  <c r="I309" i="2" s="1"/>
  <c r="G15" i="2"/>
  <c r="I15" i="2" s="1"/>
  <c r="H737" i="2" l="1"/>
  <c r="G325" i="2"/>
  <c r="I325" i="2" s="1"/>
  <c r="I144" i="2"/>
  <c r="G555" i="2"/>
  <c r="I555" i="2" s="1"/>
  <c r="F45" i="1" l="1"/>
  <c r="G338" i="2"/>
  <c r="I338" i="2" s="1"/>
  <c r="G351" i="2"/>
  <c r="I351" i="2" s="1"/>
  <c r="G332" i="2"/>
  <c r="I332" i="2" s="1"/>
  <c r="G109" i="2"/>
  <c r="I109" i="2" s="1"/>
  <c r="G31" i="2"/>
  <c r="I31" i="2" s="1"/>
  <c r="G527" i="2"/>
  <c r="I527" i="2" s="1"/>
  <c r="G26" i="2"/>
  <c r="G66" i="2"/>
  <c r="I66" i="2" s="1"/>
  <c r="G525" i="2"/>
  <c r="I525" i="2" s="1"/>
  <c r="G203" i="2" l="1"/>
  <c r="I203" i="2" s="1"/>
  <c r="G225" i="2" l="1"/>
  <c r="I225" i="2" s="1"/>
  <c r="G87" i="2"/>
  <c r="I87" i="2" s="1"/>
  <c r="G25" i="2"/>
  <c r="I25" i="2" s="1"/>
  <c r="G126" i="2"/>
  <c r="I126" i="2" s="1"/>
  <c r="G305" i="2"/>
  <c r="I305" i="2" s="1"/>
  <c r="G301" i="2"/>
  <c r="I301" i="2" s="1"/>
  <c r="G297" i="2"/>
  <c r="I297" i="2" s="1"/>
  <c r="G293" i="2"/>
  <c r="I293" i="2" s="1"/>
  <c r="G289" i="2"/>
  <c r="I289" i="2" s="1"/>
  <c r="G285" i="2"/>
  <c r="I285" i="2" s="1"/>
  <c r="G281" i="2"/>
  <c r="I281" i="2" s="1"/>
  <c r="G342" i="2" l="1"/>
  <c r="I342" i="2" s="1"/>
  <c r="G18" i="2"/>
  <c r="I18" i="2" s="1"/>
  <c r="G70" i="2" l="1"/>
  <c r="I70" i="2" s="1"/>
  <c r="G147" i="2"/>
  <c r="I147" i="2" s="1"/>
  <c r="G233" i="2"/>
  <c r="I233" i="2" s="1"/>
  <c r="G216" i="2"/>
  <c r="I216" i="2" s="1"/>
  <c r="G82" i="2"/>
  <c r="I82" i="2" s="1"/>
  <c r="G80" i="2"/>
  <c r="I80" i="2" s="1"/>
  <c r="G131" i="2"/>
  <c r="I131" i="2" s="1"/>
  <c r="G532" i="2"/>
  <c r="G236" i="2"/>
  <c r="I236" i="2" s="1"/>
  <c r="O128" i="2"/>
  <c r="Q128" i="2" s="1"/>
  <c r="O26" i="2"/>
  <c r="Q26" i="2" s="1"/>
  <c r="O46" i="2"/>
  <c r="O42" i="2"/>
  <c r="Q42" i="2" s="1"/>
  <c r="O34" i="2"/>
  <c r="Q34" i="2" s="1"/>
  <c r="O33" i="2"/>
  <c r="Q33" i="2" s="1"/>
  <c r="O30" i="2"/>
  <c r="Q30" i="2" s="1"/>
  <c r="I532" i="2" l="1"/>
  <c r="G560" i="2"/>
  <c r="I560" i="2" s="1"/>
  <c r="G326" i="2"/>
  <c r="I326" i="2" s="1"/>
  <c r="O606" i="2"/>
  <c r="Q606" i="2" s="1"/>
  <c r="O522" i="2"/>
  <c r="Q522" i="2" s="1"/>
  <c r="G572" i="2"/>
  <c r="I572" i="2" s="1"/>
  <c r="G522" i="2"/>
  <c r="I522" i="2" s="1"/>
  <c r="G118" i="2"/>
  <c r="I118" i="2" s="1"/>
  <c r="O720" i="2" l="1"/>
  <c r="Q720" i="2" s="1"/>
  <c r="O697" i="2"/>
  <c r="Q697" i="2" s="1"/>
  <c r="G686" i="2"/>
  <c r="I686" i="2" s="1"/>
  <c r="O628" i="2"/>
  <c r="O611" i="2"/>
  <c r="O610" i="2"/>
  <c r="O605" i="2"/>
  <c r="Q605" i="2" s="1"/>
  <c r="O592" i="2"/>
  <c r="Q592" i="2" s="1"/>
  <c r="O591" i="2"/>
  <c r="Q591" i="2" s="1"/>
  <c r="O590" i="2"/>
  <c r="Q590" i="2" s="1"/>
  <c r="O589" i="2"/>
  <c r="G589" i="2"/>
  <c r="O588" i="2"/>
  <c r="O587" i="2"/>
  <c r="Q587" i="2" s="1"/>
  <c r="G587" i="2"/>
  <c r="O586" i="2"/>
  <c r="Q586" i="2" s="1"/>
  <c r="G585" i="2"/>
  <c r="I585" i="2" s="1"/>
  <c r="G579" i="2"/>
  <c r="I579" i="2" s="1"/>
  <c r="G578" i="2"/>
  <c r="I578" i="2" s="1"/>
  <c r="O577" i="2"/>
  <c r="Q577" i="2" s="1"/>
  <c r="G577" i="2"/>
  <c r="I577" i="2" s="1"/>
  <c r="G576" i="2"/>
  <c r="I576" i="2" s="1"/>
  <c r="O570" i="2"/>
  <c r="O569" i="2"/>
  <c r="Q569" i="2" s="1"/>
  <c r="G568" i="2"/>
  <c r="I568" i="2" s="1"/>
  <c r="G566" i="2"/>
  <c r="I566" i="2" s="1"/>
  <c r="O562" i="2"/>
  <c r="Q562" i="2" s="1"/>
  <c r="O560" i="2"/>
  <c r="Q560" i="2" s="1"/>
  <c r="G559" i="2"/>
  <c r="I559" i="2" s="1"/>
  <c r="G558" i="2"/>
  <c r="I558" i="2" s="1"/>
  <c r="O551" i="2"/>
  <c r="Q551" i="2" s="1"/>
  <c r="G551" i="2"/>
  <c r="I551" i="2" s="1"/>
  <c r="G543" i="2"/>
  <c r="I543" i="2" s="1"/>
  <c r="O539" i="2"/>
  <c r="Q539" i="2" s="1"/>
  <c r="O535" i="2"/>
  <c r="Q535" i="2" s="1"/>
  <c r="G535" i="2"/>
  <c r="I535" i="2" s="1"/>
  <c r="O529" i="2"/>
  <c r="Q529" i="2" s="1"/>
  <c r="G529" i="2"/>
  <c r="I529" i="2" s="1"/>
  <c r="G518" i="2"/>
  <c r="I518" i="2" s="1"/>
  <c r="G514" i="2"/>
  <c r="I514" i="2" s="1"/>
  <c r="O508" i="2"/>
  <c r="G507" i="2"/>
  <c r="I507" i="2" s="1"/>
  <c r="O500" i="2"/>
  <c r="G500" i="2"/>
  <c r="I500" i="2" s="1"/>
  <c r="G491" i="2"/>
  <c r="I491" i="2" s="1"/>
  <c r="O484" i="2"/>
  <c r="Q484" i="2" s="1"/>
  <c r="G484" i="2"/>
  <c r="I484" i="2" s="1"/>
  <c r="O474" i="2"/>
  <c r="G472" i="2"/>
  <c r="I472" i="2" s="1"/>
  <c r="G468" i="2"/>
  <c r="I468" i="2" s="1"/>
  <c r="O461" i="2"/>
  <c r="Q461" i="2" s="1"/>
  <c r="G461" i="2"/>
  <c r="I461" i="2" s="1"/>
  <c r="O450" i="2"/>
  <c r="Q450" i="2" s="1"/>
  <c r="G450" i="2"/>
  <c r="I450" i="2" s="1"/>
  <c r="O444" i="2"/>
  <c r="Q444" i="2" s="1"/>
  <c r="G444" i="2"/>
  <c r="I444" i="2" s="1"/>
  <c r="O435" i="2"/>
  <c r="Q435" i="2" s="1"/>
  <c r="O430" i="2"/>
  <c r="Q430" i="2" s="1"/>
  <c r="G426" i="2"/>
  <c r="O396" i="2"/>
  <c r="O383" i="2"/>
  <c r="O371" i="2"/>
  <c r="Q371" i="2" s="1"/>
  <c r="O695" i="2"/>
  <c r="Q695" i="2" s="1"/>
  <c r="O365" i="2"/>
  <c r="G360" i="2"/>
  <c r="I360" i="2" s="1"/>
  <c r="G356" i="2"/>
  <c r="O353" i="2"/>
  <c r="Q353" i="2" s="1"/>
  <c r="O352" i="2"/>
  <c r="Q352" i="2" s="1"/>
  <c r="O349" i="2"/>
  <c r="O348" i="2"/>
  <c r="O347" i="2"/>
  <c r="O346" i="2"/>
  <c r="O345" i="2"/>
  <c r="G345" i="2"/>
  <c r="I345" i="2" s="1"/>
  <c r="G344" i="2"/>
  <c r="I344" i="2" s="1"/>
  <c r="O343" i="2"/>
  <c r="Q343" i="2" s="1"/>
  <c r="G343" i="2"/>
  <c r="I343" i="2" s="1"/>
  <c r="O342" i="2"/>
  <c r="Q342" i="2" s="1"/>
  <c r="G339" i="2"/>
  <c r="G664" i="2" s="1"/>
  <c r="O338" i="2"/>
  <c r="G663" i="2"/>
  <c r="I663" i="2" s="1"/>
  <c r="O335" i="2"/>
  <c r="Q335" i="2" s="1"/>
  <c r="G335" i="2"/>
  <c r="G334" i="2"/>
  <c r="I334" i="2" s="1"/>
  <c r="O333" i="2"/>
  <c r="Q333" i="2" s="1"/>
  <c r="O331" i="2"/>
  <c r="O656" i="2" s="1"/>
  <c r="G330" i="2"/>
  <c r="O329" i="2"/>
  <c r="O328" i="2"/>
  <c r="Q328" i="2" s="1"/>
  <c r="G328" i="2"/>
  <c r="O327" i="2"/>
  <c r="O326" i="2"/>
  <c r="Q326" i="2" s="1"/>
  <c r="G651" i="2"/>
  <c r="I651" i="2" s="1"/>
  <c r="O325" i="2"/>
  <c r="O324" i="2"/>
  <c r="G324" i="2"/>
  <c r="I324" i="2" s="1"/>
  <c r="O275" i="2"/>
  <c r="Q275" i="2" s="1"/>
  <c r="G275" i="2"/>
  <c r="I275" i="2" s="1"/>
  <c r="O269" i="2"/>
  <c r="Q269" i="2" s="1"/>
  <c r="G269" i="2"/>
  <c r="I269" i="2" s="1"/>
  <c r="G262" i="2"/>
  <c r="G254" i="2"/>
  <c r="G250" i="2"/>
  <c r="I250" i="2" s="1"/>
  <c r="O245" i="2"/>
  <c r="G243" i="2"/>
  <c r="O238" i="2"/>
  <c r="Q238" i="2" s="1"/>
  <c r="O237" i="2"/>
  <c r="G237" i="2"/>
  <c r="I237" i="2" s="1"/>
  <c r="O236" i="2"/>
  <c r="G208" i="2"/>
  <c r="I208" i="2" s="1"/>
  <c r="G193" i="2"/>
  <c r="I193" i="2" s="1"/>
  <c r="O189" i="2"/>
  <c r="Q189" i="2" s="1"/>
  <c r="G185" i="2"/>
  <c r="I185" i="2" s="1"/>
  <c r="O181" i="2"/>
  <c r="Q181" i="2" s="1"/>
  <c r="G177" i="2"/>
  <c r="I177" i="2" s="1"/>
  <c r="O175" i="2"/>
  <c r="Q175" i="2" s="1"/>
  <c r="G171" i="2"/>
  <c r="I171" i="2" s="1"/>
  <c r="G167" i="2"/>
  <c r="I167" i="2" s="1"/>
  <c r="O165" i="2"/>
  <c r="Q165" i="2" s="1"/>
  <c r="O161" i="2"/>
  <c r="Q161" i="2" s="1"/>
  <c r="G161" i="2"/>
  <c r="I161" i="2" s="1"/>
  <c r="G140" i="2"/>
  <c r="I140" i="2" s="1"/>
  <c r="O136" i="2"/>
  <c r="Q136" i="2" s="1"/>
  <c r="G136" i="2"/>
  <c r="I136" i="2" s="1"/>
  <c r="G128" i="2"/>
  <c r="I128" i="2" s="1"/>
  <c r="O118" i="2"/>
  <c r="Q118" i="2" s="1"/>
  <c r="G104" i="2"/>
  <c r="I104" i="2" s="1"/>
  <c r="G99" i="2"/>
  <c r="I99" i="2" s="1"/>
  <c r="O98" i="2"/>
  <c r="Q98" i="2" s="1"/>
  <c r="O88" i="2"/>
  <c r="Q88" i="2" s="1"/>
  <c r="G88" i="2"/>
  <c r="I88" i="2" s="1"/>
  <c r="G76" i="2"/>
  <c r="I76" i="2" s="1"/>
  <c r="G72" i="2"/>
  <c r="I72" i="2" s="1"/>
  <c r="O67" i="2"/>
  <c r="Q67" i="2" s="1"/>
  <c r="G67" i="2"/>
  <c r="I67" i="2" s="1"/>
  <c r="G59" i="2"/>
  <c r="I59" i="2" s="1"/>
  <c r="G54" i="2"/>
  <c r="I54" i="2" s="1"/>
  <c r="O50" i="2"/>
  <c r="O43" i="2"/>
  <c r="Q43" i="2" s="1"/>
  <c r="O36" i="2"/>
  <c r="O27" i="2"/>
  <c r="Q27" i="2" s="1"/>
  <c r="G27" i="2"/>
  <c r="I27" i="2" s="1"/>
  <c r="O18" i="2"/>
  <c r="F134" i="1"/>
  <c r="F118" i="1"/>
  <c r="F81" i="1"/>
  <c r="F80" i="1" s="1"/>
  <c r="F98" i="1" s="1"/>
  <c r="F68" i="1"/>
  <c r="F61" i="1"/>
  <c r="F56" i="1"/>
  <c r="F50" i="1"/>
  <c r="F38" i="1"/>
  <c r="F31" i="1"/>
  <c r="F24" i="1"/>
  <c r="F10" i="1"/>
  <c r="O650" i="2" l="1"/>
  <c r="Q650" i="2" s="1"/>
  <c r="Q325" i="2"/>
  <c r="O654" i="2"/>
  <c r="Q654" i="2" s="1"/>
  <c r="Q329" i="2"/>
  <c r="O663" i="2"/>
  <c r="Q663" i="2" s="1"/>
  <c r="Q338" i="2"/>
  <c r="O671" i="2"/>
  <c r="Q671" i="2" s="1"/>
  <c r="Q346" i="2"/>
  <c r="O673" i="2"/>
  <c r="Q673" i="2" s="1"/>
  <c r="Q348" i="2"/>
  <c r="O690" i="2"/>
  <c r="Q690" i="2" s="1"/>
  <c r="Q365" i="2"/>
  <c r="O721" i="2"/>
  <c r="Q721" i="2" s="1"/>
  <c r="Q396" i="2"/>
  <c r="O701" i="2"/>
  <c r="Q701" i="2" s="1"/>
  <c r="Q610" i="2"/>
  <c r="O719" i="2"/>
  <c r="Q719" i="2" s="1"/>
  <c r="Q628" i="2"/>
  <c r="O40" i="2"/>
  <c r="Q40" i="2" s="1"/>
  <c r="Q36" i="2"/>
  <c r="O356" i="2"/>
  <c r="Q356" i="2" s="1"/>
  <c r="Q236" i="2"/>
  <c r="O357" i="2"/>
  <c r="Q357" i="2" s="1"/>
  <c r="Q237" i="2"/>
  <c r="O649" i="2"/>
  <c r="Q649" i="2" s="1"/>
  <c r="Q324" i="2"/>
  <c r="O652" i="2"/>
  <c r="Q652" i="2" s="1"/>
  <c r="Q327" i="2"/>
  <c r="O670" i="2"/>
  <c r="Q670" i="2" s="1"/>
  <c r="Q345" i="2"/>
  <c r="O672" i="2"/>
  <c r="Q672" i="2" s="1"/>
  <c r="Q347" i="2"/>
  <c r="O674" i="2"/>
  <c r="Q674" i="2" s="1"/>
  <c r="Q349" i="2"/>
  <c r="O411" i="2"/>
  <c r="Q411" i="2" s="1"/>
  <c r="Q383" i="2"/>
  <c r="O661" i="2"/>
  <c r="Q661" i="2" s="1"/>
  <c r="Q570" i="2"/>
  <c r="O679" i="2"/>
  <c r="Q679" i="2" s="1"/>
  <c r="Q588" i="2"/>
  <c r="O680" i="2"/>
  <c r="Q680" i="2" s="1"/>
  <c r="Q589" i="2"/>
  <c r="O702" i="2"/>
  <c r="Q702" i="2" s="1"/>
  <c r="Q611" i="2"/>
  <c r="O651" i="2"/>
  <c r="Q651" i="2" s="1"/>
  <c r="G676" i="2"/>
  <c r="I676" i="2" s="1"/>
  <c r="O677" i="2"/>
  <c r="Q677" i="2" s="1"/>
  <c r="O681" i="2"/>
  <c r="Q681" i="2" s="1"/>
  <c r="G653" i="2"/>
  <c r="I653" i="2" s="1"/>
  <c r="I328" i="2"/>
  <c r="G430" i="2"/>
  <c r="I430" i="2" s="1"/>
  <c r="I426" i="2"/>
  <c r="O678" i="2"/>
  <c r="Q678" i="2" s="1"/>
  <c r="O653" i="2"/>
  <c r="Q653" i="2" s="1"/>
  <c r="G655" i="2"/>
  <c r="I655" i="2" s="1"/>
  <c r="I330" i="2"/>
  <c r="G660" i="2"/>
  <c r="I660" i="2" s="1"/>
  <c r="I335" i="2"/>
  <c r="G681" i="2"/>
  <c r="I681" i="2" s="1"/>
  <c r="I356" i="2"/>
  <c r="G678" i="2"/>
  <c r="I678" i="2" s="1"/>
  <c r="I587" i="2"/>
  <c r="O682" i="2"/>
  <c r="Q682" i="2" s="1"/>
  <c r="G357" i="2"/>
  <c r="I357" i="2" s="1"/>
  <c r="F67" i="1"/>
  <c r="O645" i="2"/>
  <c r="Q645" i="2" s="1"/>
  <c r="O358" i="2"/>
  <c r="G659" i="2"/>
  <c r="I659" i="2" s="1"/>
  <c r="O667" i="2"/>
  <c r="Q667" i="2" s="1"/>
  <c r="O668" i="2"/>
  <c r="Q668" i="2" s="1"/>
  <c r="O54" i="2"/>
  <c r="Q54" i="2" s="1"/>
  <c r="O239" i="2"/>
  <c r="Q239" i="2" s="1"/>
  <c r="O385" i="2"/>
  <c r="O613" i="2"/>
  <c r="Q613" i="2" s="1"/>
  <c r="G668" i="2"/>
  <c r="I668" i="2" s="1"/>
  <c r="G669" i="2"/>
  <c r="I669" i="2" s="1"/>
  <c r="O696" i="2"/>
  <c r="Q696" i="2" s="1"/>
  <c r="O708" i="2"/>
  <c r="Q708" i="2" s="1"/>
  <c r="F137" i="1"/>
  <c r="F138" i="1" s="1"/>
  <c r="F66" i="1"/>
  <c r="F99" i="1" s="1"/>
  <c r="O660" i="2"/>
  <c r="Q660" i="2" s="1"/>
  <c r="G650" i="2"/>
  <c r="I650" i="2" s="1"/>
  <c r="G574" i="2"/>
  <c r="I574" i="2" s="1"/>
  <c r="G670" i="2"/>
  <c r="I670" i="2" s="1"/>
  <c r="G667" i="2"/>
  <c r="I667" i="2" s="1"/>
  <c r="G657" i="2"/>
  <c r="I657" i="2" s="1"/>
  <c r="G327" i="2"/>
  <c r="O379" i="2"/>
  <c r="G591" i="2"/>
  <c r="I591" i="2" s="1"/>
  <c r="G649" i="2"/>
  <c r="I649" i="2" s="1"/>
  <c r="G359" i="2"/>
  <c r="I359" i="2" s="1"/>
  <c r="O412" i="2" l="1"/>
  <c r="Q412" i="2" s="1"/>
  <c r="Q379" i="2"/>
  <c r="O710" i="2"/>
  <c r="Q710" i="2" s="1"/>
  <c r="Q385" i="2"/>
  <c r="O683" i="2"/>
  <c r="Q683" i="2" s="1"/>
  <c r="Q358" i="2"/>
  <c r="O646" i="2"/>
  <c r="Q646" i="2" s="1"/>
  <c r="G652" i="2"/>
  <c r="I652" i="2" s="1"/>
  <c r="I327" i="2"/>
  <c r="G682" i="2"/>
  <c r="I682" i="2" s="1"/>
  <c r="O704" i="2"/>
  <c r="Q704" i="2" s="1"/>
  <c r="G665" i="2"/>
  <c r="I665" i="2" s="1"/>
  <c r="O736" i="2"/>
  <c r="Q736" i="2" s="1"/>
  <c r="G592" i="2"/>
  <c r="G340" i="2"/>
  <c r="G358" i="2" l="1"/>
  <c r="I340" i="2"/>
  <c r="G646" i="2"/>
  <c r="I646" i="2" s="1"/>
  <c r="I592" i="2"/>
  <c r="O737" i="2"/>
  <c r="Q737" i="2" s="1"/>
  <c r="G683" i="2"/>
  <c r="G737" i="2" l="1"/>
  <c r="I737" i="2" s="1"/>
  <c r="I683" i="2"/>
  <c r="G412" i="2"/>
  <c r="I412" i="2" s="1"/>
  <c r="I358" i="2"/>
</calcChain>
</file>

<file path=xl/sharedStrings.xml><?xml version="1.0" encoding="utf-8"?>
<sst xmlns="http://schemas.openxmlformats.org/spreadsheetml/2006/main" count="2071" uniqueCount="446">
  <si>
    <t>3. számú melléklet</t>
  </si>
  <si>
    <t>TAMÁSI VÁROS ÖNKORMÁNYZAT 2015. ÉVI KÖLTSÉGVETÉSE ELŐIRÁNYZATCSOPORTOK ÉS KIEMELT ELŐIRÁNYZATOK SZERINTI BONTÁSBAN</t>
  </si>
  <si>
    <t>Ezer forintban</t>
  </si>
  <si>
    <t>Megnevezés</t>
  </si>
  <si>
    <t>Önkormányzat</t>
  </si>
  <si>
    <t>Száma</t>
  </si>
  <si>
    <t>Előirányzat-csoport, kiemelt előirányzat megnevezése</t>
  </si>
  <si>
    <t>Bevételek</t>
  </si>
  <si>
    <t xml:space="preserve"> 1.1.</t>
  </si>
  <si>
    <t>Önkormányzat működési támogatása:</t>
  </si>
  <si>
    <t xml:space="preserve"> 1.1.1.</t>
  </si>
  <si>
    <t>Helyi önkormányzatok működésének általános támogatása</t>
  </si>
  <si>
    <t xml:space="preserve"> 1.1.2</t>
  </si>
  <si>
    <t>Önkormányzatok egyes köznevelési feladatainak támogatása</t>
  </si>
  <si>
    <t>1.1.3</t>
  </si>
  <si>
    <t>Önkormányzatok szociális, gyermekjóléti és gyermekétkeztetési feladatainak támogatása</t>
  </si>
  <si>
    <t>1.1.4</t>
  </si>
  <si>
    <t>Önkormányzatok kulturális feladatainak támogatása</t>
  </si>
  <si>
    <t>1.1.5</t>
  </si>
  <si>
    <t>Helyi önkormányzatok működési c. költségvetési tám. és kieg.tám.</t>
  </si>
  <si>
    <t>1.1.6</t>
  </si>
  <si>
    <t>Elszámolásból származó bevételek</t>
  </si>
  <si>
    <t>1.2.</t>
  </si>
  <si>
    <t>Működési célú támogatások ÁH-on belülről:</t>
  </si>
  <si>
    <t>1.2.1</t>
  </si>
  <si>
    <t>Elvonások és befizetések bevételei</t>
  </si>
  <si>
    <t>1.2.2</t>
  </si>
  <si>
    <t>Működési célú garancia- és kezességvállalásból megtérülések</t>
  </si>
  <si>
    <t>1.2.3</t>
  </si>
  <si>
    <t>Működési célú visszatérítendő támogatások, kölcsönök visszatérülése</t>
  </si>
  <si>
    <t>1.2.4</t>
  </si>
  <si>
    <t>Működési célú visszatérítendő támogatások, kölcsönök igénybevétele</t>
  </si>
  <si>
    <t>1.2.5</t>
  </si>
  <si>
    <t>Egyéb működési célú támogatások bevételei</t>
  </si>
  <si>
    <t>1.2.6</t>
  </si>
  <si>
    <t xml:space="preserve">Ebből: EU-s támogatás </t>
  </si>
  <si>
    <t>2.</t>
  </si>
  <si>
    <t>Felhalmozási célú támogatások ÁH-on belülről:</t>
  </si>
  <si>
    <t>2.1</t>
  </si>
  <si>
    <t>Felhalmozási célú önkormányzati támogatások</t>
  </si>
  <si>
    <t>2.2</t>
  </si>
  <si>
    <t>Felhalmozási célú garancia- és kezességvállalásból megtérülések</t>
  </si>
  <si>
    <t>2.3</t>
  </si>
  <si>
    <t>Felhalmozási célú visszatérítendő támogatások, kölcsönök visszatérülése</t>
  </si>
  <si>
    <t>2.4</t>
  </si>
  <si>
    <t>Felhalmozási célú visszatérítendő támogatások, kölcsönök igénybevétele</t>
  </si>
  <si>
    <t>2.5</t>
  </si>
  <si>
    <t>Egyéb felhalmozási célú támogatások bevételei</t>
  </si>
  <si>
    <t>2.6</t>
  </si>
  <si>
    <t>3.</t>
  </si>
  <si>
    <t>Közhatalmi bevételek:</t>
  </si>
  <si>
    <t>3.1.</t>
  </si>
  <si>
    <t>Vagyoni típusú adók (építményadó, telekadó)</t>
  </si>
  <si>
    <t>3.2.</t>
  </si>
  <si>
    <t>Értékesítési és forgalmi adók  (iparűzési adó)</t>
  </si>
  <si>
    <t>3.3.</t>
  </si>
  <si>
    <t>Gépjárműadók</t>
  </si>
  <si>
    <t>3.4.</t>
  </si>
  <si>
    <t>Egyéb áruhasználati és szolgáltatási adók (tartózkodás után fizetett idegenforgalmi adó,talajterhelési díj)</t>
  </si>
  <si>
    <t>3.5.</t>
  </si>
  <si>
    <t>Egyéb közhatalmi bevételek (környezetvédelmi bírság, szabálysértési pénz- és helyszíni bírság, közlekedési szabálysértések közig.bírság helyi önkormányzatot megillető része,  vagyoni, jövedelmi típusú és egyéb települési adó,késedelmi és önellenőrzési pótlék, stb.)</t>
  </si>
  <si>
    <t>4.</t>
  </si>
  <si>
    <t>Működési bevételek:</t>
  </si>
  <si>
    <t>4.1.</t>
  </si>
  <si>
    <t>Készletértékesítés ellenértéke</t>
  </si>
  <si>
    <t>4.2.</t>
  </si>
  <si>
    <t>Szolgáltatások ellenértéke</t>
  </si>
  <si>
    <t>4.3.</t>
  </si>
  <si>
    <t>Közvetített szolgáltatások értéke</t>
  </si>
  <si>
    <t>4.4.</t>
  </si>
  <si>
    <t>Tulajdonosi bevételek, bérleti díjak</t>
  </si>
  <si>
    <t>4.5.</t>
  </si>
  <si>
    <t>Ellátási díjak</t>
  </si>
  <si>
    <t>4.6.</t>
  </si>
  <si>
    <t>Kiszámlázott általános forgalmi adó</t>
  </si>
  <si>
    <t>4.7.</t>
  </si>
  <si>
    <t>Általános forgalmi adó visszatérítése</t>
  </si>
  <si>
    <t>4.8.</t>
  </si>
  <si>
    <t>Kamatbevételek</t>
  </si>
  <si>
    <t>4.9.</t>
  </si>
  <si>
    <t>Egyéb pénzügyi műveletek bevételei</t>
  </si>
  <si>
    <t>4.10.</t>
  </si>
  <si>
    <t>Biztosító által fizetett kártérítés</t>
  </si>
  <si>
    <t>4.11.</t>
  </si>
  <si>
    <t>Egyéb működési bevételek</t>
  </si>
  <si>
    <t>5.</t>
  </si>
  <si>
    <t>Felhalmozási bevételek: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</si>
  <si>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</si>
  <si>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</si>
  <si>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</si>
  <si>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</si>
  <si>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</si>
  <si>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</si>
  <si>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5.4.</t>
  </si>
  <si>
    <t>Részesedések értékesítése</t>
  </si>
  <si>
    <t>5.6.</t>
  </si>
  <si>
    <t>Részesedések megszűnéséhez kapcsolódó bevételek</t>
  </si>
  <si>
    <t>6.</t>
  </si>
  <si>
    <t>Működési célú átvett pénzeszközök:</t>
  </si>
  <si>
    <t>6.1.</t>
  </si>
  <si>
    <t>Működési célú garancia- és kezességvállalásból megtérülések ÁH-on kívülről</t>
  </si>
  <si>
    <t>6.2.</t>
  </si>
  <si>
    <t>Működési célú visszatérítendő támogatások, kölcsönök visszatérülése ÁH-on kívülről</t>
  </si>
  <si>
    <t>6.3.</t>
  </si>
  <si>
    <t>Egyéb működési célú átvett pénzeszközök</t>
  </si>
  <si>
    <t>7.</t>
  </si>
  <si>
    <t>Felhalmozási célú átvett pénzeszközök:</t>
  </si>
  <si>
    <t>7.1.</t>
  </si>
  <si>
    <t>Felhalmozási célú garancia- és kezességvállalásból megtérülések ÁH-on kívülről</t>
  </si>
  <si>
    <t>7.2.</t>
  </si>
  <si>
    <t>Felhalmozási célú visszatérítendő támogatások, kölcsönök visszatérülése ÁH-on kívülről</t>
  </si>
  <si>
    <t>7.3.</t>
  </si>
  <si>
    <t>Egyéb felhalmozási célú átvett pénzeszközök</t>
  </si>
  <si>
    <t>Költségvetési bevételek összesen:</t>
  </si>
  <si>
    <t xml:space="preserve">8. </t>
  </si>
  <si>
    <t>Finanszírozási bevételek</t>
  </si>
  <si>
    <t>I.</t>
  </si>
  <si>
    <t>Hitel-, kölcsönfelvétel pénzügyi vállalkozástól</t>
  </si>
  <si>
    <t>8.1.</t>
  </si>
  <si>
    <t>Belföldi finanszírozás bevételei:</t>
  </si>
  <si>
    <t>8.1.1.</t>
  </si>
  <si>
    <t>Hosszú lejáratú hitelek, kölcsönök felvétele</t>
  </si>
  <si>
    <t>Ebből:Működési célú hosszú lejáratú hitelek, kölcsönök felvétele</t>
  </si>
  <si>
    <t>Ebből:Fejlesztési célú hosszú lejáratú hitelek, kölcsönök felvétele</t>
  </si>
  <si>
    <t>8.1.2.</t>
  </si>
  <si>
    <t>Likviditási célú hitelek, kölcsönök felvétele pénzügyi vállalkozásnak</t>
  </si>
  <si>
    <t>8.1.3.</t>
  </si>
  <si>
    <t>Rövid lejáratú hitelek, kölcsönök felvétele pénzügyi vállalkozástól</t>
  </si>
  <si>
    <t>II.</t>
  </si>
  <si>
    <t>Belföldi értékpapírok bevételei:</t>
  </si>
  <si>
    <t>8.1.4.</t>
  </si>
  <si>
    <t>Forgatási célú belföldi értékpapírok beváltása, értékesítése</t>
  </si>
  <si>
    <t>8.1.5.</t>
  </si>
  <si>
    <t>Éven belüli értékpapírok kibocsátása</t>
  </si>
  <si>
    <t>8.1.6.</t>
  </si>
  <si>
    <t>Befektetési célú belföldi értékpapírok beváltása, értékesítése</t>
  </si>
  <si>
    <t>8.1.7.</t>
  </si>
  <si>
    <t>Éven túli lejáratú belföldi értékpapírok kibocsátása</t>
  </si>
  <si>
    <t>III.</t>
  </si>
  <si>
    <t>Maradvány igénybevétel:</t>
  </si>
  <si>
    <t>8.1.8.</t>
  </si>
  <si>
    <t>Előző év költségvetési maradványának igénybevétele</t>
  </si>
  <si>
    <t>8.1.9.</t>
  </si>
  <si>
    <t>Előző év vállalkozási maradványának igénybevétele</t>
  </si>
  <si>
    <t>IV.</t>
  </si>
  <si>
    <t>Megelőlegezések, betétek bevételei</t>
  </si>
  <si>
    <t>8.1.10.</t>
  </si>
  <si>
    <t>ÁH-on belüli megelőlegezések</t>
  </si>
  <si>
    <t>8.1.11.</t>
  </si>
  <si>
    <t>ÁH-on belüli megelőlegezések törlesztése</t>
  </si>
  <si>
    <t>8.1.12.</t>
  </si>
  <si>
    <t>Lekötött bankbetétek megszüntetése</t>
  </si>
  <si>
    <t>8.1.13.</t>
  </si>
  <si>
    <t>Tulajdonosi kölcsönök bevételei</t>
  </si>
  <si>
    <t>Ebből: Hosszú lejáratú tulajdonosi kölcsönök bevételei</t>
  </si>
  <si>
    <t>Ebből: Rövid lejáratú tulajdonosi kölcsönök bevételei</t>
  </si>
  <si>
    <t>8.2.</t>
  </si>
  <si>
    <t>Külföldi finanszírozás bevételei:</t>
  </si>
  <si>
    <t>8.2.1</t>
  </si>
  <si>
    <t>Forgatási célú külföldi értékpapírok beváltása, értékesítése</t>
  </si>
  <si>
    <t>8.2.2.</t>
  </si>
  <si>
    <t>Befektetési célú külföldi értékpapírok beváltása, értékesítése</t>
  </si>
  <si>
    <t>8.2.3.</t>
  </si>
  <si>
    <t>Külföldi értékpapírok kibocsátása</t>
  </si>
  <si>
    <t>8.2.4.</t>
  </si>
  <si>
    <t>Külföldi hitelek, kölcsönök felvétele</t>
  </si>
  <si>
    <t>8.3.</t>
  </si>
  <si>
    <t>Adóssághoz nem kapcsolódó származékos ügyletek bevételei</t>
  </si>
  <si>
    <t>Finanszírozási bevételek:</t>
  </si>
  <si>
    <t>Önkormányzat bevételei mindösszesen:</t>
  </si>
  <si>
    <t>Kiadások</t>
  </si>
  <si>
    <t>1. Működési költségvetés kiadásai:</t>
  </si>
  <si>
    <t>1.1</t>
  </si>
  <si>
    <t>Személyi juttatások</t>
  </si>
  <si>
    <t>1.2</t>
  </si>
  <si>
    <t>Munkaadót terhelő járulékok és szoc.hozzájárulási adó</t>
  </si>
  <si>
    <t>1.3</t>
  </si>
  <si>
    <t xml:space="preserve">Dologi kiadások </t>
  </si>
  <si>
    <t>1.4</t>
  </si>
  <si>
    <t>Ellátottak pénzbeli juttatásai</t>
  </si>
  <si>
    <t>1.5</t>
  </si>
  <si>
    <t>Helyi önkormányzatok előző évi elszámolásából származó kiadások</t>
  </si>
  <si>
    <t>1.6</t>
  </si>
  <si>
    <t>Garancia és kezességvállalásból kifizetés ÁH-on belülre</t>
  </si>
  <si>
    <t>1.7</t>
  </si>
  <si>
    <t>Visszatérítendő támogatások, kölcsönök nyújtása ÁH-on belülre</t>
  </si>
  <si>
    <t>1.8.</t>
  </si>
  <si>
    <t>Visszatérítendő támogatások, kölcsönök törlesztése ÁH-on belülre</t>
  </si>
  <si>
    <t>1.9.</t>
  </si>
  <si>
    <t>Egyéb működési célú támogatások ÁH-on belülre</t>
  </si>
  <si>
    <t>1.10.</t>
  </si>
  <si>
    <t>Garancia- és kezességvállalásból kifizetés ÁH-on kívülre</t>
  </si>
  <si>
    <t>1.11.</t>
  </si>
  <si>
    <t>Visszatérítendő támogatások, kölcsönök nyújtása ÁH-on kívülre</t>
  </si>
  <si>
    <t>1.12.</t>
  </si>
  <si>
    <t>Árkiegészítések, ártámogatások</t>
  </si>
  <si>
    <t>1.13.</t>
  </si>
  <si>
    <t>Kamattámogatások</t>
  </si>
  <si>
    <t>1.14.</t>
  </si>
  <si>
    <t>Működési támogatások EU-nak</t>
  </si>
  <si>
    <t>1.15.</t>
  </si>
  <si>
    <t>Egyéb működési célú támogatások ÁH-on kívülre</t>
  </si>
  <si>
    <t>1.16.</t>
  </si>
  <si>
    <t>Taralékok</t>
  </si>
  <si>
    <t xml:space="preserve"> Működési költségvetés kiadásai összesen:</t>
  </si>
  <si>
    <t>2. Felhalmozási költségvetés kiadásai:</t>
  </si>
  <si>
    <t>Beruházások</t>
  </si>
  <si>
    <t>2.1.1</t>
  </si>
  <si>
    <t xml:space="preserve">Beruházáshoz kapcsolódó visszatéárülő ÁFA </t>
  </si>
  <si>
    <t>2.1.-ből EU-s forrásból megvalósuló beruházás</t>
  </si>
  <si>
    <t>2.2.</t>
  </si>
  <si>
    <t>Felújítások</t>
  </si>
  <si>
    <t>2.2.-ből EU-sforrásból megvalósuló felújítás</t>
  </si>
  <si>
    <t>2.3.</t>
  </si>
  <si>
    <t>2.4.</t>
  </si>
  <si>
    <t>2.5.</t>
  </si>
  <si>
    <t>2.6.</t>
  </si>
  <si>
    <t>Egyéb felhalmozási célú támogatások ÁH-n belülre</t>
  </si>
  <si>
    <t>2.7.</t>
  </si>
  <si>
    <t>2.8.</t>
  </si>
  <si>
    <t>2.9.</t>
  </si>
  <si>
    <t>Lakástámogatás</t>
  </si>
  <si>
    <t>2.10.</t>
  </si>
  <si>
    <t>Felhalmozási célú támogatások az EU-nak</t>
  </si>
  <si>
    <t>2.11.</t>
  </si>
  <si>
    <t>Egyéb felhalmozási célú támogatások ÁH-on kívülre</t>
  </si>
  <si>
    <t>Felhalmozási költségvetés kiadásai összesen:</t>
  </si>
  <si>
    <t>1.</t>
  </si>
  <si>
    <t>Irányító szerv alá tartozó költségvetési szervnek folyósított támogatás</t>
  </si>
  <si>
    <t>Államháztartáson belüli megelőlegezések visszafizetése</t>
  </si>
  <si>
    <t>Költségvetési kiadások összesen:</t>
  </si>
  <si>
    <t>Önkormányzat kiadásai mindösszesen:</t>
  </si>
  <si>
    <t>3/a. számú melléklet</t>
  </si>
  <si>
    <t>TAMÁSI VÁROS ÖNKORMÁNYZAT  2015. ÉVI KÖLTSÉGVETÉSI BEVÉTELEI ÉS KIADÁSAI</t>
  </si>
  <si>
    <t>ELŐIRÁNYZAT-CSOPORTOK ÉS KIEMELT ELŐIRÁNYZATOK SZERINTI BONTÁSBAN FELADATOKÉNT ÉS ÖSSZESEN (KÖTELEZŐ ÉS ÖNKÉNT VÁLLALT FELADATOK SZERINT CSOPORTOSÍTVA)</t>
  </si>
  <si>
    <t>ezer Ft-ban</t>
  </si>
  <si>
    <t>Kormányzati funkció</t>
  </si>
  <si>
    <t>Előirányzat-csoport;kiemelt előirányzat megnevezése</t>
  </si>
  <si>
    <t>előirányzat</t>
  </si>
  <si>
    <t>KÖTELEZŐ FELADATOK KIADÁSAI:</t>
  </si>
  <si>
    <t>KÖTELEZŐ FELADATOK BEVÉTELEI:</t>
  </si>
  <si>
    <t>011130 Önkormányzatok és önkormányzati hivatalok jogalkotó és általános igazgatás (kivéve: képviselők tiszteletdíja,külterületi biztosok megbíz.díja,kitüntetések díja, ÁROP és TÁMOP pályázat,Bursa támogatás)</t>
  </si>
  <si>
    <t>8. Finanszírozási bevételek</t>
  </si>
  <si>
    <t xml:space="preserve"> 8.1.8.</t>
  </si>
  <si>
    <t>Előző évi költségvetési maradvány igénybevétele</t>
  </si>
  <si>
    <t>1.16</t>
  </si>
  <si>
    <t>Tartalékok</t>
  </si>
  <si>
    <t>Kormányzati funkció kiadása összesen:</t>
  </si>
  <si>
    <t>Kormányzati funkció bevétele összesen:</t>
  </si>
  <si>
    <t>013350 Az önkormányzati vagyonnal való gazdálkodással kapcsolatos feladatok</t>
  </si>
  <si>
    <t>4. Működési bevételek:</t>
  </si>
  <si>
    <t>1.3.</t>
  </si>
  <si>
    <t xml:space="preserve"> 2.1.</t>
  </si>
  <si>
    <t>5. Felhalmozási bevételek:</t>
  </si>
  <si>
    <t xml:space="preserve"> 2.3.</t>
  </si>
  <si>
    <t>5.2</t>
  </si>
  <si>
    <t>018010 Önkormányzatok elszámolásai a központi költségvetéssel</t>
  </si>
  <si>
    <t>1. 1.</t>
  </si>
  <si>
    <t xml:space="preserve"> 1.5.</t>
  </si>
  <si>
    <t>A helyi önkormányzatok előző évi elszámolásából származó kiadások</t>
  </si>
  <si>
    <t>1.1.2</t>
  </si>
  <si>
    <t>Önkormányzatok egyes köznevelési és gyermekétkeztetési feladatainak támogatása</t>
  </si>
  <si>
    <t>Finanszírozási kiadások</t>
  </si>
  <si>
    <t>Önkormányzatok szociális és gyermekjóléti feladatainak támogatása</t>
  </si>
  <si>
    <t>1.1.5.</t>
  </si>
  <si>
    <t>Önkormányzatok működési támogatása összesen:</t>
  </si>
  <si>
    <t>1.2.1.</t>
  </si>
  <si>
    <t>Működési célú támogatások ÁH-on belülről összesen:</t>
  </si>
  <si>
    <t>2. Felhalmozási célú támogatások ÁH-on belülről:</t>
  </si>
  <si>
    <t>2.1.</t>
  </si>
  <si>
    <t xml:space="preserve"> Felhalmozási célú támogatások ÁH-on belülről:</t>
  </si>
  <si>
    <t>Közhatalmi bevételek</t>
  </si>
  <si>
    <t xml:space="preserve"> 3.1.</t>
  </si>
  <si>
    <t>Közhatalmi bevételek összesen:</t>
  </si>
  <si>
    <t>018030 Támogatási célú finanszírozási műveletek</t>
  </si>
  <si>
    <t>3. Irányító szerv alá tartozó költségvetési szervnek folyósított támogatás</t>
  </si>
  <si>
    <t>045120 Út, autópálya építése</t>
  </si>
  <si>
    <t>Ebből: EU-s forrásból megvalósuló beruházás</t>
  </si>
  <si>
    <t>045160 Közutak, hidak, alagutak üzemeltetése, fenntartása</t>
  </si>
  <si>
    <t>Egyéb működési célú támogatások ÁH-n belülre</t>
  </si>
  <si>
    <t>045170 Parkoló, garázs üzemeltetése, fenntartása</t>
  </si>
  <si>
    <t>4.4</t>
  </si>
  <si>
    <t>8.</t>
  </si>
  <si>
    <t>041233 Hosszabb időtartamú közfoglalkoztatás</t>
  </si>
  <si>
    <t xml:space="preserve"> 1.2. Működési célú támogatások ÁH-n belülről</t>
  </si>
  <si>
    <t xml:space="preserve"> 1.2.5.</t>
  </si>
  <si>
    <t xml:space="preserve"> 1.16.</t>
  </si>
  <si>
    <t>9.</t>
  </si>
  <si>
    <t>041237 Közfoglalkoztatási mintaprogram</t>
  </si>
  <si>
    <t>10.</t>
  </si>
  <si>
    <t>051030 Nem veszélyes (települési) hulladék vegyes (ömlesztett) begyűjtése, szállítása, átrakása</t>
  </si>
  <si>
    <t>1.15</t>
  </si>
  <si>
    <t>11.</t>
  </si>
  <si>
    <t>052020 Szennyvíz gyűjtése, tisztítása, elhelyezése</t>
  </si>
  <si>
    <t xml:space="preserve"> 1.12.</t>
  </si>
  <si>
    <t xml:space="preserve"> 4.6.</t>
  </si>
  <si>
    <t>Kiszámlázott általános forgalmiadó</t>
  </si>
  <si>
    <t xml:space="preserve"> 4.7.</t>
  </si>
  <si>
    <t>Általános forgalmiadó visszatérítése</t>
  </si>
  <si>
    <t xml:space="preserve"> 2.1-ből Beruházáshoz kapcsolódó visszatérülő ÁFA </t>
  </si>
  <si>
    <t>2.5.-ből EU-s támogatás</t>
  </si>
  <si>
    <t>12.</t>
  </si>
  <si>
    <t>063020 Víztermelés,-kezelés,-ellátás</t>
  </si>
  <si>
    <t>Dologi kiadások</t>
  </si>
  <si>
    <t>13.</t>
  </si>
  <si>
    <t>064010 Közvilágítás</t>
  </si>
  <si>
    <t>14.</t>
  </si>
  <si>
    <t>066010 Zöldterület-kezelés</t>
  </si>
  <si>
    <t>15.</t>
  </si>
  <si>
    <t>066020 Város és községgazdálkodási egyéb szolgáltatások</t>
  </si>
  <si>
    <t xml:space="preserve"> 1.2.</t>
  </si>
  <si>
    <t>6. Működési célú átvett pénzeszközök</t>
  </si>
  <si>
    <t>Működési célú garancia- és kezességvállalásból megtérülések ÁH-n kívülről</t>
  </si>
  <si>
    <t xml:space="preserve">Finanszírozási bevétek </t>
  </si>
  <si>
    <t>2.11</t>
  </si>
  <si>
    <t>Egyéb felhalmozási célú tám. ÁH-n kívülre</t>
  </si>
  <si>
    <t>16.</t>
  </si>
  <si>
    <t>072111 Háziorvosi alapellátás</t>
  </si>
  <si>
    <t xml:space="preserve"> 1.2.5</t>
  </si>
  <si>
    <t>17.</t>
  </si>
  <si>
    <t>072112 Háziorvosi ügyeleti ellátás</t>
  </si>
  <si>
    <t>18.</t>
  </si>
  <si>
    <t>072311 Fogorvosi alapellátás</t>
  </si>
  <si>
    <t>19.</t>
  </si>
  <si>
    <t>074031 Család- és nővédelmi eü. Gondozás</t>
  </si>
  <si>
    <t>20.</t>
  </si>
  <si>
    <t>074032 Ifjúsági eü. gondozás</t>
  </si>
  <si>
    <t>21.</t>
  </si>
  <si>
    <t>081030 Sportlétesítmények, edzőtáborok működtetése és fejlesztése</t>
  </si>
  <si>
    <t>Egyéb felhalmozási célú támogatások ÁH-n kívülre</t>
  </si>
  <si>
    <t>22.</t>
  </si>
  <si>
    <t>900060 Forgatási és befektetési célú Finanszírozási műveletek</t>
  </si>
  <si>
    <t>8. Finanszírozási bevételek:</t>
  </si>
  <si>
    <t xml:space="preserve"> 8.1.1.</t>
  </si>
  <si>
    <t>Hosszúlejáratú hitelek,kölcsönök felvétele pénzügyi vállalkozástól</t>
  </si>
  <si>
    <t>23.</t>
  </si>
  <si>
    <t>091140 Óvodai nevelés,ellátás működtetési feladatai</t>
  </si>
  <si>
    <t>24.</t>
  </si>
  <si>
    <t>091220 Köznevelési intézmény 1-4. évfolyamán tanulók nevelésével, oktatásával összefüggű működtetési feladatok</t>
  </si>
  <si>
    <t>25.</t>
  </si>
  <si>
    <t>092120 Köznevelési intézmény 5-8. évfolyamán tanulók nevelésével, oktatásával összefüggű működtetési feladatok</t>
  </si>
  <si>
    <t>26.</t>
  </si>
  <si>
    <t>091250 Alapfokú művészetoktatással összefüggő működtetési feladatok</t>
  </si>
  <si>
    <t>27.</t>
  </si>
  <si>
    <t>096015 Gyermekétkeztetés köznevelési intézményben</t>
  </si>
  <si>
    <t>28.</t>
  </si>
  <si>
    <t>096030 Köznevelési intézményben tanulók lakhatásának biztosítása</t>
  </si>
  <si>
    <t>29.</t>
  </si>
  <si>
    <t>101150 Betegséggel kapcsolatos pénzbeli ellátások, támogatások</t>
  </si>
  <si>
    <t>30.</t>
  </si>
  <si>
    <t>103010 Elhunyt személyek hátramaradottainak pénzbeli ellátása</t>
  </si>
  <si>
    <t>31.</t>
  </si>
  <si>
    <t>104051 Gyermekvédelmi pénzbeli és természetbeni ellátások</t>
  </si>
  <si>
    <t>32.</t>
  </si>
  <si>
    <t>106020 Lakásfenntartással, lakhatással összefüggő ellátások</t>
  </si>
  <si>
    <t>33.</t>
  </si>
  <si>
    <t>107060 Egyéb szociális pénzbeli ellátások, támogatások</t>
  </si>
  <si>
    <t>34.</t>
  </si>
  <si>
    <t>Önkormányzat kötelező feladatainak kiadásai összesen:</t>
  </si>
  <si>
    <t>Önkormányzat kötelező feladatainak bevételei összesen:</t>
  </si>
  <si>
    <t xml:space="preserve"> 2.1-ből Beruházáshoz kapcsolódó visszatéárülő ÁFA </t>
  </si>
  <si>
    <t>ÖNKÉNT VÁLLALT FELADATOK KIADÁSAI:</t>
  </si>
  <si>
    <t>ÖNKÉNT VÁLLALT FELADATOK BEVÉTELEI:</t>
  </si>
  <si>
    <t>011130 Önkormányzatok és önkormányzati hivatalok jogalkotó és általános igazgatás ( képviselők tiszteletdíja,külterületi biztosok megbíz.díja,kitüntetések díja, ÁROP és TÁMOP pályázat,Bursa támogatás,ifjúsági találkozók, )</t>
  </si>
  <si>
    <t>1. Működési célú támogatások ÁH-n belülről</t>
  </si>
  <si>
    <t>ebből: EU-s programok támogatása</t>
  </si>
  <si>
    <t>Egyéb működési célú támogtás ÁH-n belülre</t>
  </si>
  <si>
    <t>Működési költségvetés kiadásai összesen:</t>
  </si>
  <si>
    <t>061030 Lakáshoz jutást segítő támogatások</t>
  </si>
  <si>
    <t>3. Felhalmozási célú támogatások ÁH-on belülről:</t>
  </si>
  <si>
    <t>Visszatérítendő támogatások, kölcsönök nyújtása ÁH-n kívülre</t>
  </si>
  <si>
    <t>3.3</t>
  </si>
  <si>
    <t>066020 Város és községgazdálkodási egyéb szolgáltatások (turinform)</t>
  </si>
  <si>
    <t>066020 Város és községgazdálkodási egyéb szolgáltatások (gőzellát.,légkon)</t>
  </si>
  <si>
    <t xml:space="preserve">Működési bevételek </t>
  </si>
  <si>
    <t>2.1.1.</t>
  </si>
  <si>
    <t xml:space="preserve"> 2.1-ből Beruházáshoz kapcsolódó visszatérülő ÁFA</t>
  </si>
  <si>
    <t>2. Felhalmozási célú támogatások ÁH-n belülről</t>
  </si>
  <si>
    <t>066020 Város és községgazdálkodási egyéb szolgáltatások (helyi menetrend szer.száll.,helyi TV közvetítés,DÁM szobor))</t>
  </si>
  <si>
    <t>072210 Járóbetegek gyógyító szakellátása</t>
  </si>
  <si>
    <t>4.3</t>
  </si>
  <si>
    <t>4.6</t>
  </si>
  <si>
    <t>074054 Komplex egészségfejlesztő, prevenciós programok</t>
  </si>
  <si>
    <t>Működési célú támogatások államháztartáson belülről (1.2.1.+…+.1.2.6.)</t>
  </si>
  <si>
    <t>1.2.5.</t>
  </si>
  <si>
    <t xml:space="preserve">Egyéb működési célú támogatások bevételei </t>
  </si>
  <si>
    <t>1.2.6.</t>
  </si>
  <si>
    <t>Felhalmozási célú támogatások államháztartáson belülről (2.1.+…+2.6.)</t>
  </si>
  <si>
    <t>081041 Versenysport- és utánpótlás- nevelési tevékenység és támogatása</t>
  </si>
  <si>
    <t>081061 Szabadidős park, fürdő- és strandszolgáltatás</t>
  </si>
  <si>
    <t>Tulajdonosi bevételek, bérleti díj</t>
  </si>
  <si>
    <t xml:space="preserve">Kiszámlázott általános forgalmi adó </t>
  </si>
  <si>
    <t>081071 Üdülői szálláshely szolgáltatás és étkezés</t>
  </si>
  <si>
    <t>081071 Üdülőhelyi szolgáltatás és étkezés</t>
  </si>
  <si>
    <t xml:space="preserve"> 1,2.5.</t>
  </si>
  <si>
    <t>4.2</t>
  </si>
  <si>
    <t>4.7</t>
  </si>
  <si>
    <t>083030 Egyéb kiadói tevékenység</t>
  </si>
  <si>
    <t>084031 Civil szervezetek működési támogatása</t>
  </si>
  <si>
    <t>092260 Gimnázium és szakképző iskola tanulóinak közismereti és szakmai elméleti oktatásával összefüggő működtetési feladatok</t>
  </si>
  <si>
    <t>Ebből: EU-s forrásból megvalósuló felújítás</t>
  </si>
  <si>
    <t>104035 Gyermekétkeztetés bölcsődében,fogyatékosok nappali intézményében</t>
  </si>
  <si>
    <t>107055 Falugondnoki, tanyagondnoki szolgáltatás</t>
  </si>
  <si>
    <t xml:space="preserve">Felhalmozási célú támogatások államháztartáson belülről </t>
  </si>
  <si>
    <t>Önkormányzat önként vállalt feladatainak kiadásai összesen:</t>
  </si>
  <si>
    <t>Önkormányzat önként vállalt feladatainak bevételei összesen:</t>
  </si>
  <si>
    <t xml:space="preserve"> 2.1.-ből Beruházáshoz kapcsolódó visszatéárülő ÁFA </t>
  </si>
  <si>
    <t>1. Irányító szerv alá tartozó költségvetési szervnek folyósított támogatás</t>
  </si>
  <si>
    <t>084040 Egyházak közösségi és hitéleti tevékenységének támogatása</t>
  </si>
  <si>
    <t>104042 Gyermekjóléti szolgáltatások</t>
  </si>
  <si>
    <t>107054 Családsegítés</t>
  </si>
  <si>
    <t>107051 Szociális étkeztetés</t>
  </si>
  <si>
    <t>107052 Házi segítségnyújtás</t>
  </si>
  <si>
    <t>102030 Idősek, demens betegek nappali ellátás</t>
  </si>
  <si>
    <t>102021 Időskorúak, demens betegek tartós bentlakásos ellátása</t>
  </si>
  <si>
    <t>107030 Szociális foglalkoztatás</t>
  </si>
  <si>
    <t>35.</t>
  </si>
  <si>
    <t>36.</t>
  </si>
  <si>
    <t>37.</t>
  </si>
  <si>
    <t>38.</t>
  </si>
  <si>
    <t>39.</t>
  </si>
  <si>
    <t>40.</t>
  </si>
  <si>
    <t>41.</t>
  </si>
  <si>
    <t>056010 Komplex környezetvédelmi programok</t>
  </si>
  <si>
    <t>013320 Köztemető-fenntartás és -működtetés</t>
  </si>
  <si>
    <t>2015. évi</t>
  </si>
  <si>
    <t>Eredeti előirányzat</t>
  </si>
  <si>
    <t>Módosított előirányzat</t>
  </si>
  <si>
    <t>Teljesítés</t>
  </si>
  <si>
    <t>Teljesítés %-a</t>
  </si>
  <si>
    <t xml:space="preserve">2015.évi </t>
  </si>
  <si>
    <t>eredeti</t>
  </si>
  <si>
    <t>módosított</t>
  </si>
  <si>
    <t>teljesítés</t>
  </si>
  <si>
    <t>%-a</t>
  </si>
  <si>
    <t xml:space="preserve">Egyéb közhatalmi bevételek </t>
  </si>
  <si>
    <t>900010 Központi költségvetés funkcióba nem sorolható bevétele államháztartáson kívülről</t>
  </si>
  <si>
    <t>900010 Központi költségvetés funkcióba nem sorolható bevételei államháztartáson kívülről</t>
  </si>
  <si>
    <t>900020 Önkormányzatokfunkcióba nem sorolható bevételei államháztartáson kívülről</t>
  </si>
  <si>
    <t>3.6.</t>
  </si>
  <si>
    <t>Magánszemélyek jövedelemadói(termőföld bérbeadásából származó SZJA)</t>
  </si>
  <si>
    <t>42.</t>
  </si>
  <si>
    <t>43.</t>
  </si>
  <si>
    <t>Teljesítés összege a 900020 korm. Funkción</t>
  </si>
  <si>
    <r>
      <t xml:space="preserve">Ebből: </t>
    </r>
    <r>
      <rPr>
        <b/>
        <sz val="12"/>
        <rFont val="Times New Roman"/>
        <family val="1"/>
        <charset val="238"/>
      </rPr>
      <t>működési célú</t>
    </r>
  </si>
  <si>
    <r>
      <t xml:space="preserve">Ebből: </t>
    </r>
    <r>
      <rPr>
        <b/>
        <sz val="12"/>
        <rFont val="Times New Roman"/>
        <family val="1"/>
        <charset val="238"/>
      </rPr>
      <t>felhalmozási célú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</si>
</sst>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"/>
    <numFmt numFmtId="165" formatCode="#,##0_ ;\-#,##0\ "/>
    <numFmt numFmtId="166" formatCode="#,##0.0"/>
    <numFmt numFmtId="167" formatCode="0.0"/>
    <numFmt numFmtId="168" formatCode="#,##0.0_ ;\-#,##0.0\ "/>
  </numFmts>
  <fonts count="8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u/>
      <sz val="12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6">
    <xf numFmtId="0" fontId="0" fillId="0" borderId="0" xfId="0"/>
    <xf numFmtId="0" fontId="3" fillId="0" borderId="34" xfId="1" applyFont="1" applyFill="1" applyBorder="1"/>
    <xf numFmtId="0" fontId="3" fillId="0" borderId="0" xfId="1" applyFont="1" applyFill="1" applyBorder="1"/>
    <xf numFmtId="0" fontId="3" fillId="6" borderId="0" xfId="1" applyFont="1" applyFill="1" applyBorder="1"/>
    <xf numFmtId="3" fontId="3" fillId="0" borderId="0" xfId="1" applyNumberFormat="1" applyFont="1"/>
    <xf numFmtId="0" fontId="3" fillId="0" borderId="0" xfId="1" applyFont="1"/>
    <xf numFmtId="0" fontId="3" fillId="0" borderId="0" xfId="0" applyFont="1"/>
    <xf numFmtId="0" fontId="3" fillId="0" borderId="0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right" vertical="center"/>
    </xf>
    <xf numFmtId="0" fontId="3" fillId="0" borderId="25" xfId="1" applyFont="1" applyFill="1" applyBorder="1" applyAlignment="1">
      <alignment horizontal="left" vertical="center"/>
    </xf>
    <xf numFmtId="0" fontId="3" fillId="0" borderId="25" xfId="1" applyFont="1" applyFill="1" applyBorder="1" applyAlignment="1">
      <alignment horizontal="center" vertical="center"/>
    </xf>
    <xf numFmtId="0" fontId="3" fillId="6" borderId="25" xfId="1" applyFont="1" applyFill="1" applyBorder="1" applyAlignment="1">
      <alignment horizontal="center" vertical="center"/>
    </xf>
    <xf numFmtId="3" fontId="3" fillId="0" borderId="25" xfId="1" applyNumberFormat="1" applyFont="1" applyFill="1" applyBorder="1" applyAlignment="1">
      <alignment horizontal="center" vertical="center"/>
    </xf>
    <xf numFmtId="3" fontId="3" fillId="6" borderId="25" xfId="1" applyNumberFormat="1" applyFont="1" applyFill="1" applyBorder="1" applyAlignment="1">
      <alignment horizontal="center" vertical="center"/>
    </xf>
    <xf numFmtId="0" fontId="3" fillId="6" borderId="37" xfId="1" applyFont="1" applyFill="1" applyBorder="1" applyAlignment="1">
      <alignment horizontal="center"/>
    </xf>
    <xf numFmtId="3" fontId="3" fillId="0" borderId="37" xfId="1" applyNumberFormat="1" applyFont="1" applyFill="1" applyBorder="1" applyAlignment="1">
      <alignment horizontal="center" vertical="center"/>
    </xf>
    <xf numFmtId="3" fontId="3" fillId="0" borderId="36" xfId="1" applyNumberFormat="1" applyFont="1" applyFill="1" applyBorder="1" applyAlignment="1">
      <alignment horizontal="center" vertical="center"/>
    </xf>
    <xf numFmtId="0" fontId="3" fillId="0" borderId="35" xfId="1" applyFont="1" applyBorder="1" applyAlignment="1"/>
    <xf numFmtId="3" fontId="3" fillId="6" borderId="37" xfId="1" applyNumberFormat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6" borderId="46" xfId="1" applyFont="1" applyFill="1" applyBorder="1" applyAlignment="1">
      <alignment horizontal="center"/>
    </xf>
    <xf numFmtId="3" fontId="3" fillId="0" borderId="46" xfId="1" applyNumberFormat="1" applyFont="1" applyFill="1" applyBorder="1" applyAlignment="1">
      <alignment horizontal="center" vertical="center"/>
    </xf>
    <xf numFmtId="3" fontId="3" fillId="0" borderId="51" xfId="1" applyNumberFormat="1" applyFont="1" applyFill="1" applyBorder="1" applyAlignment="1">
      <alignment horizontal="center" vertical="center"/>
    </xf>
    <xf numFmtId="0" fontId="3" fillId="0" borderId="0" xfId="1" applyFont="1" applyBorder="1" applyAlignment="1"/>
    <xf numFmtId="3" fontId="3" fillId="6" borderId="46" xfId="1" applyNumberFormat="1" applyFont="1" applyFill="1" applyBorder="1" applyAlignment="1">
      <alignment horizontal="center" vertical="center"/>
    </xf>
    <xf numFmtId="0" fontId="3" fillId="6" borderId="39" xfId="1" applyFont="1" applyFill="1" applyBorder="1" applyAlignment="1">
      <alignment horizontal="center"/>
    </xf>
    <xf numFmtId="3" fontId="3" fillId="0" borderId="39" xfId="1" applyNumberFormat="1" applyFont="1" applyFill="1" applyBorder="1" applyAlignment="1">
      <alignment horizontal="center" vertical="center"/>
    </xf>
    <xf numFmtId="3" fontId="3" fillId="0" borderId="38" xfId="1" applyNumberFormat="1" applyFont="1" applyFill="1" applyBorder="1" applyAlignment="1">
      <alignment horizontal="center" vertical="center"/>
    </xf>
    <xf numFmtId="0" fontId="3" fillId="0" borderId="7" xfId="1" applyFont="1" applyBorder="1" applyAlignment="1"/>
    <xf numFmtId="3" fontId="3" fillId="6" borderId="39" xfId="1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6" borderId="16" xfId="0" applyFont="1" applyFill="1" applyBorder="1" applyAlignment="1">
      <alignment vertical="center"/>
    </xf>
    <xf numFmtId="0" fontId="3" fillId="0" borderId="28" xfId="0" applyFont="1" applyFill="1" applyBorder="1"/>
    <xf numFmtId="0" fontId="3" fillId="0" borderId="38" xfId="0" applyFont="1" applyFill="1" applyBorder="1"/>
    <xf numFmtId="3" fontId="3" fillId="6" borderId="16" xfId="0" applyNumberFormat="1" applyFont="1" applyFill="1" applyBorder="1" applyAlignment="1">
      <alignment horizontal="right" vertical="center"/>
    </xf>
    <xf numFmtId="0" fontId="3" fillId="6" borderId="18" xfId="0" applyFont="1" applyFill="1" applyBorder="1"/>
    <xf numFmtId="3" fontId="3" fillId="0" borderId="41" xfId="1" applyNumberFormat="1" applyFont="1" applyBorder="1"/>
    <xf numFmtId="0" fontId="3" fillId="0" borderId="41" xfId="1" applyFont="1" applyBorder="1"/>
    <xf numFmtId="0" fontId="3" fillId="4" borderId="9" xfId="1" applyFont="1" applyFill="1" applyBorder="1" applyAlignment="1">
      <alignment horizontal="center"/>
    </xf>
    <xf numFmtId="3" fontId="4" fillId="6" borderId="41" xfId="1" applyNumberFormat="1" applyFont="1" applyFill="1" applyBorder="1" applyAlignment="1">
      <alignment horizontal="right" wrapText="1"/>
    </xf>
    <xf numFmtId="3" fontId="3" fillId="0" borderId="41" xfId="1" applyNumberFormat="1" applyFont="1" applyFill="1" applyBorder="1"/>
    <xf numFmtId="3" fontId="3" fillId="0" borderId="18" xfId="1" applyNumberFormat="1" applyFont="1" applyFill="1" applyBorder="1"/>
    <xf numFmtId="3" fontId="4" fillId="6" borderId="16" xfId="1" applyNumberFormat="1" applyFont="1" applyFill="1" applyBorder="1" applyAlignment="1">
      <alignment horizontal="right" wrapText="1"/>
    </xf>
    <xf numFmtId="3" fontId="3" fillId="6" borderId="16" xfId="1" applyNumberFormat="1" applyFont="1" applyFill="1" applyBorder="1"/>
    <xf numFmtId="3" fontId="3" fillId="0" borderId="46" xfId="1" applyNumberFormat="1" applyFont="1" applyBorder="1"/>
    <xf numFmtId="0" fontId="3" fillId="0" borderId="46" xfId="1" applyFont="1" applyBorder="1"/>
    <xf numFmtId="0" fontId="3" fillId="0" borderId="9" xfId="1" applyFont="1" applyFill="1" applyBorder="1" applyAlignment="1">
      <alignment horizontal="center"/>
    </xf>
    <xf numFmtId="3" fontId="4" fillId="6" borderId="46" xfId="1" applyNumberFormat="1" applyFont="1" applyFill="1" applyBorder="1" applyAlignment="1">
      <alignment horizontal="right" wrapText="1"/>
    </xf>
    <xf numFmtId="3" fontId="3" fillId="0" borderId="46" xfId="1" applyNumberFormat="1" applyFont="1" applyFill="1" applyBorder="1"/>
    <xf numFmtId="3" fontId="3" fillId="0" borderId="16" xfId="1" applyNumberFormat="1" applyFont="1" applyFill="1" applyBorder="1"/>
    <xf numFmtId="3" fontId="3" fillId="0" borderId="39" xfId="1" applyNumberFormat="1" applyFont="1" applyBorder="1"/>
    <xf numFmtId="0" fontId="3" fillId="0" borderId="39" xfId="1" applyFont="1" applyBorder="1"/>
    <xf numFmtId="0" fontId="5" fillId="0" borderId="28" xfId="1" applyFont="1" applyFill="1" applyBorder="1" applyAlignment="1">
      <alignment horizontal="left"/>
    </xf>
    <xf numFmtId="0" fontId="5" fillId="0" borderId="10" xfId="1" applyFont="1" applyFill="1" applyBorder="1" applyAlignment="1">
      <alignment horizontal="left"/>
    </xf>
    <xf numFmtId="0" fontId="5" fillId="0" borderId="11" xfId="1" applyFont="1" applyFill="1" applyBorder="1" applyAlignment="1">
      <alignment horizontal="left"/>
    </xf>
    <xf numFmtId="3" fontId="5" fillId="6" borderId="18" xfId="1" applyNumberFormat="1" applyFont="1" applyFill="1" applyBorder="1" applyAlignment="1">
      <alignment horizontal="right"/>
    </xf>
    <xf numFmtId="3" fontId="5" fillId="6" borderId="10" xfId="1" applyNumberFormat="1" applyFont="1" applyFill="1" applyBorder="1" applyAlignment="1">
      <alignment horizontal="right"/>
    </xf>
    <xf numFmtId="3" fontId="3" fillId="6" borderId="10" xfId="1" applyNumberFormat="1" applyFont="1" applyFill="1" applyBorder="1"/>
    <xf numFmtId="3" fontId="3" fillId="0" borderId="28" xfId="1" applyNumberFormat="1" applyFont="1" applyBorder="1"/>
    <xf numFmtId="0" fontId="3" fillId="0" borderId="28" xfId="1" applyFont="1" applyBorder="1"/>
    <xf numFmtId="49" fontId="3" fillId="0" borderId="28" xfId="1" applyNumberFormat="1" applyFont="1" applyFill="1" applyBorder="1" applyAlignment="1">
      <alignment horizontal="right"/>
    </xf>
    <xf numFmtId="3" fontId="3" fillId="6" borderId="18" xfId="1" applyNumberFormat="1" applyFont="1" applyFill="1" applyBorder="1" applyAlignment="1">
      <alignment horizontal="right"/>
    </xf>
    <xf numFmtId="166" fontId="3" fillId="0" borderId="41" xfId="1" applyNumberFormat="1" applyFont="1" applyFill="1" applyBorder="1"/>
    <xf numFmtId="0" fontId="3" fillId="0" borderId="28" xfId="1" applyFont="1" applyFill="1" applyBorder="1" applyAlignment="1">
      <alignment horizontal="right"/>
    </xf>
    <xf numFmtId="3" fontId="3" fillId="6" borderId="10" xfId="1" applyNumberFormat="1" applyFont="1" applyFill="1" applyBorder="1" applyAlignment="1">
      <alignment horizontal="right"/>
    </xf>
    <xf numFmtId="0" fontId="3" fillId="0" borderId="28" xfId="1" applyFont="1" applyFill="1" applyBorder="1"/>
    <xf numFmtId="0" fontId="3" fillId="0" borderId="10" xfId="1" applyFont="1" applyFill="1" applyBorder="1"/>
    <xf numFmtId="49" fontId="3" fillId="0" borderId="41" xfId="1" applyNumberFormat="1" applyFont="1" applyFill="1" applyBorder="1" applyAlignment="1">
      <alignment horizontal="right"/>
    </xf>
    <xf numFmtId="0" fontId="3" fillId="0" borderId="19" xfId="1" applyFont="1" applyFill="1" applyBorder="1"/>
    <xf numFmtId="3" fontId="3" fillId="6" borderId="41" xfId="1" applyNumberFormat="1" applyFont="1" applyFill="1" applyBorder="1" applyAlignment="1">
      <alignment horizontal="right"/>
    </xf>
    <xf numFmtId="49" fontId="4" fillId="0" borderId="41" xfId="1" applyNumberFormat="1" applyFont="1" applyFill="1" applyBorder="1" applyAlignment="1">
      <alignment horizontal="left"/>
    </xf>
    <xf numFmtId="49" fontId="3" fillId="0" borderId="10" xfId="1" applyNumberFormat="1" applyFont="1" applyFill="1" applyBorder="1" applyAlignment="1">
      <alignment horizontal="right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3" fontId="3" fillId="0" borderId="28" xfId="1" applyNumberFormat="1" applyFont="1" applyFill="1" applyBorder="1"/>
    <xf numFmtId="3" fontId="3" fillId="0" borderId="10" xfId="1" applyNumberFormat="1" applyFont="1" applyFill="1" applyBorder="1"/>
    <xf numFmtId="0" fontId="3" fillId="0" borderId="11" xfId="1" applyFont="1" applyFill="1" applyBorder="1" applyAlignment="1"/>
    <xf numFmtId="3" fontId="3" fillId="6" borderId="42" xfId="1" applyNumberFormat="1" applyFont="1" applyFill="1" applyBorder="1" applyAlignment="1">
      <alignment horizontal="right"/>
    </xf>
    <xf numFmtId="3" fontId="3" fillId="6" borderId="42" xfId="1" applyNumberFormat="1" applyFont="1" applyFill="1" applyBorder="1"/>
    <xf numFmtId="0" fontId="3" fillId="0" borderId="10" xfId="1" applyFont="1" applyFill="1" applyBorder="1" applyAlignment="1">
      <alignment horizontal="left"/>
    </xf>
    <xf numFmtId="3" fontId="3" fillId="6" borderId="45" xfId="1" applyNumberFormat="1" applyFont="1" applyFill="1" applyBorder="1" applyAlignment="1">
      <alignment horizontal="right"/>
    </xf>
    <xf numFmtId="3" fontId="3" fillId="0" borderId="45" xfId="1" applyNumberFormat="1" applyFont="1" applyFill="1" applyBorder="1"/>
    <xf numFmtId="166" fontId="3" fillId="0" borderId="44" xfId="1" applyNumberFormat="1" applyFont="1" applyFill="1" applyBorder="1"/>
    <xf numFmtId="49" fontId="4" fillId="0" borderId="18" xfId="1" applyNumberFormat="1" applyFont="1" applyFill="1" applyBorder="1" applyAlignment="1">
      <alignment horizontal="left"/>
    </xf>
    <xf numFmtId="49" fontId="4" fillId="0" borderId="11" xfId="1" applyNumberFormat="1" applyFont="1" applyFill="1" applyBorder="1" applyAlignment="1">
      <alignment horizontal="left"/>
    </xf>
    <xf numFmtId="3" fontId="3" fillId="6" borderId="24" xfId="1" applyNumberFormat="1" applyFont="1" applyFill="1" applyBorder="1" applyAlignment="1">
      <alignment horizontal="right"/>
    </xf>
    <xf numFmtId="3" fontId="3" fillId="6" borderId="24" xfId="1" applyNumberFormat="1" applyFont="1" applyFill="1" applyBorder="1"/>
    <xf numFmtId="3" fontId="3" fillId="0" borderId="44" xfId="1" applyNumberFormat="1" applyFont="1" applyBorder="1"/>
    <xf numFmtId="0" fontId="3" fillId="0" borderId="44" xfId="1" applyFont="1" applyBorder="1"/>
    <xf numFmtId="3" fontId="4" fillId="6" borderId="45" xfId="1" applyNumberFormat="1" applyFont="1" applyFill="1" applyBorder="1" applyAlignment="1">
      <alignment horizontal="right"/>
    </xf>
    <xf numFmtId="3" fontId="4" fillId="0" borderId="45" xfId="1" applyNumberFormat="1" applyFont="1" applyFill="1" applyBorder="1"/>
    <xf numFmtId="3" fontId="4" fillId="6" borderId="24" xfId="1" applyNumberFormat="1" applyFont="1" applyFill="1" applyBorder="1" applyAlignment="1">
      <alignment horizontal="right"/>
    </xf>
    <xf numFmtId="3" fontId="3" fillId="0" borderId="45" xfId="1" applyNumberFormat="1" applyFont="1" applyBorder="1"/>
    <xf numFmtId="0" fontId="3" fillId="0" borderId="45" xfId="1" applyFont="1" applyBorder="1"/>
    <xf numFmtId="3" fontId="4" fillId="6" borderId="39" xfId="1" applyNumberFormat="1" applyFont="1" applyFill="1" applyBorder="1" applyAlignment="1">
      <alignment horizontal="right" wrapText="1"/>
    </xf>
    <xf numFmtId="3" fontId="3" fillId="0" borderId="39" xfId="1" applyNumberFormat="1" applyFont="1" applyFill="1" applyBorder="1"/>
    <xf numFmtId="3" fontId="3" fillId="0" borderId="42" xfId="1" applyNumberFormat="1" applyFont="1" applyFill="1" applyBorder="1"/>
    <xf numFmtId="3" fontId="4" fillId="6" borderId="42" xfId="1" applyNumberFormat="1" applyFont="1" applyFill="1" applyBorder="1" applyAlignment="1">
      <alignment horizontal="right" wrapText="1"/>
    </xf>
    <xf numFmtId="0" fontId="5" fillId="0" borderId="11" xfId="1" applyFont="1" applyFill="1" applyBorder="1" applyAlignment="1"/>
    <xf numFmtId="49" fontId="3" fillId="0" borderId="28" xfId="1" applyNumberFormat="1" applyFont="1" applyBorder="1" applyAlignment="1">
      <alignment horizontal="right"/>
    </xf>
    <xf numFmtId="0" fontId="3" fillId="0" borderId="11" xfId="1" applyFont="1" applyBorder="1" applyAlignment="1">
      <alignment horizontal="left"/>
    </xf>
    <xf numFmtId="167" fontId="3" fillId="0" borderId="28" xfId="1" applyNumberFormat="1" applyFont="1" applyBorder="1"/>
    <xf numFmtId="0" fontId="3" fillId="0" borderId="10" xfId="1" applyFont="1" applyBorder="1"/>
    <xf numFmtId="3" fontId="5" fillId="6" borderId="28" xfId="1" applyNumberFormat="1" applyFont="1" applyFill="1" applyBorder="1" applyAlignment="1">
      <alignment horizontal="right"/>
    </xf>
    <xf numFmtId="0" fontId="3" fillId="0" borderId="11" xfId="1" applyFont="1" applyBorder="1"/>
    <xf numFmtId="16" fontId="3" fillId="0" borderId="28" xfId="1" applyNumberFormat="1" applyFont="1" applyFill="1" applyBorder="1" applyAlignment="1">
      <alignment horizontal="right"/>
    </xf>
    <xf numFmtId="0" fontId="3" fillId="0" borderId="11" xfId="1" applyFont="1" applyFill="1" applyBorder="1"/>
    <xf numFmtId="3" fontId="3" fillId="6" borderId="16" xfId="1" applyNumberFormat="1" applyFont="1" applyFill="1" applyBorder="1" applyAlignment="1">
      <alignment horizontal="right"/>
    </xf>
    <xf numFmtId="49" fontId="5" fillId="0" borderId="41" xfId="1" applyNumberFormat="1" applyFont="1" applyBorder="1" applyAlignment="1">
      <alignment horizontal="left"/>
    </xf>
    <xf numFmtId="3" fontId="3" fillId="6" borderId="44" xfId="1" applyNumberFormat="1" applyFont="1" applyFill="1" applyBorder="1" applyAlignment="1">
      <alignment horizontal="right"/>
    </xf>
    <xf numFmtId="3" fontId="3" fillId="0" borderId="44" xfId="1" applyNumberFormat="1" applyFont="1" applyFill="1" applyBorder="1"/>
    <xf numFmtId="49" fontId="3" fillId="0" borderId="41" xfId="1" applyNumberFormat="1" applyFont="1" applyBorder="1" applyAlignment="1">
      <alignment horizontal="right"/>
    </xf>
    <xf numFmtId="3" fontId="3" fillId="6" borderId="29" xfId="1" applyNumberFormat="1" applyFont="1" applyFill="1" applyBorder="1" applyAlignment="1">
      <alignment horizontal="right"/>
    </xf>
    <xf numFmtId="3" fontId="3" fillId="6" borderId="29" xfId="1" applyNumberFormat="1" applyFont="1" applyFill="1" applyBorder="1"/>
    <xf numFmtId="167" fontId="3" fillId="0" borderId="44" xfId="1" applyNumberFormat="1" applyFont="1" applyBorder="1"/>
    <xf numFmtId="3" fontId="4" fillId="0" borderId="32" xfId="1" applyNumberFormat="1" applyFont="1" applyFill="1" applyBorder="1"/>
    <xf numFmtId="0" fontId="3" fillId="0" borderId="41" xfId="1" applyFont="1" applyFill="1" applyBorder="1" applyAlignment="1">
      <alignment horizontal="right"/>
    </xf>
    <xf numFmtId="3" fontId="4" fillId="6" borderId="24" xfId="1" applyNumberFormat="1" applyFont="1" applyFill="1" applyBorder="1"/>
    <xf numFmtId="3" fontId="4" fillId="0" borderId="45" xfId="1" applyNumberFormat="1" applyFont="1" applyBorder="1"/>
    <xf numFmtId="3" fontId="4" fillId="6" borderId="42" xfId="1" applyNumberFormat="1" applyFont="1" applyFill="1" applyBorder="1" applyAlignment="1">
      <alignment horizontal="right"/>
    </xf>
    <xf numFmtId="0" fontId="3" fillId="0" borderId="11" xfId="1" applyFont="1" applyFill="1" applyBorder="1" applyAlignment="1">
      <alignment horizontal="left"/>
    </xf>
    <xf numFmtId="49" fontId="4" fillId="0" borderId="28" xfId="1" applyNumberFormat="1" applyFont="1" applyFill="1" applyBorder="1" applyAlignment="1">
      <alignment horizontal="right"/>
    </xf>
    <xf numFmtId="3" fontId="4" fillId="6" borderId="10" xfId="1" applyNumberFormat="1" applyFont="1" applyFill="1" applyBorder="1" applyAlignment="1">
      <alignment horizontal="right"/>
    </xf>
    <xf numFmtId="3" fontId="3" fillId="6" borderId="28" xfId="1" applyNumberFormat="1" applyFont="1" applyFill="1" applyBorder="1" applyAlignment="1">
      <alignment horizontal="right"/>
    </xf>
    <xf numFmtId="166" fontId="3" fillId="0" borderId="28" xfId="1" applyNumberFormat="1" applyFont="1" applyFill="1" applyBorder="1"/>
    <xf numFmtId="3" fontId="3" fillId="6" borderId="10" xfId="1" applyNumberFormat="1" applyFont="1" applyFill="1" applyBorder="1" applyAlignment="1">
      <alignment horizontal="right" wrapText="1"/>
    </xf>
    <xf numFmtId="3" fontId="3" fillId="6" borderId="28" xfId="2" applyNumberFormat="1" applyFont="1" applyFill="1" applyBorder="1" applyAlignment="1" applyProtection="1">
      <alignment horizontal="right" vertical="center" wrapText="1"/>
    </xf>
    <xf numFmtId="3" fontId="3" fillId="6" borderId="18" xfId="1" applyNumberFormat="1" applyFont="1" applyFill="1" applyBorder="1" applyAlignment="1">
      <alignment horizontal="right" wrapText="1"/>
    </xf>
    <xf numFmtId="3" fontId="3" fillId="6" borderId="18" xfId="1" applyNumberFormat="1" applyFont="1" applyFill="1" applyBorder="1"/>
    <xf numFmtId="0" fontId="5" fillId="0" borderId="14" xfId="1" applyFont="1" applyBorder="1" applyAlignment="1">
      <alignment horizontal="left"/>
    </xf>
    <xf numFmtId="0" fontId="4" fillId="0" borderId="14" xfId="1" applyFont="1" applyBorder="1" applyAlignment="1">
      <alignment horizontal="left"/>
    </xf>
    <xf numFmtId="49" fontId="5" fillId="0" borderId="10" xfId="1" applyNumberFormat="1" applyFont="1" applyBorder="1" applyAlignment="1"/>
    <xf numFmtId="3" fontId="6" fillId="6" borderId="18" xfId="1" applyNumberFormat="1" applyFont="1" applyFill="1" applyBorder="1" applyAlignment="1">
      <alignment horizontal="right"/>
    </xf>
    <xf numFmtId="3" fontId="6" fillId="6" borderId="18" xfId="1" applyNumberFormat="1" applyFont="1" applyFill="1" applyBorder="1"/>
    <xf numFmtId="49" fontId="4" fillId="0" borderId="28" xfId="1" applyNumberFormat="1" applyFont="1" applyBorder="1" applyAlignment="1">
      <alignment horizontal="right"/>
    </xf>
    <xf numFmtId="0" fontId="4" fillId="0" borderId="10" xfId="1" applyFont="1" applyBorder="1"/>
    <xf numFmtId="0" fontId="4" fillId="0" borderId="11" xfId="1" applyFont="1" applyBorder="1"/>
    <xf numFmtId="3" fontId="4" fillId="6" borderId="18" xfId="1" applyNumberFormat="1" applyFont="1" applyFill="1" applyBorder="1" applyAlignment="1">
      <alignment horizontal="right"/>
    </xf>
    <xf numFmtId="0" fontId="4" fillId="0" borderId="28" xfId="1" applyFont="1" applyFill="1" applyBorder="1"/>
    <xf numFmtId="0" fontId="4" fillId="0" borderId="10" xfId="1" applyFont="1" applyFill="1" applyBorder="1"/>
    <xf numFmtId="0" fontId="5" fillId="0" borderId="28" xfId="1" applyFont="1" applyBorder="1" applyAlignment="1"/>
    <xf numFmtId="0" fontId="7" fillId="0" borderId="10" xfId="1" applyFont="1" applyBorder="1" applyAlignment="1">
      <alignment horizontal="left"/>
    </xf>
    <xf numFmtId="0" fontId="4" fillId="0" borderId="11" xfId="1" applyFont="1" applyFill="1" applyBorder="1"/>
    <xf numFmtId="0" fontId="4" fillId="0" borderId="28" xfId="1" applyFont="1" applyBorder="1" applyAlignment="1"/>
    <xf numFmtId="0" fontId="4" fillId="0" borderId="41" xfId="1" applyFont="1" applyFill="1" applyBorder="1" applyAlignment="1">
      <alignment horizontal="right"/>
    </xf>
    <xf numFmtId="0" fontId="4" fillId="0" borderId="11" xfId="1" applyFont="1" applyFill="1" applyBorder="1" applyAlignment="1">
      <alignment horizontal="left"/>
    </xf>
    <xf numFmtId="16" fontId="3" fillId="0" borderId="28" xfId="2" applyNumberFormat="1" applyFont="1" applyFill="1" applyBorder="1" applyAlignment="1" applyProtection="1">
      <alignment horizontal="right" vertical="center" wrapText="1"/>
    </xf>
    <xf numFmtId="3" fontId="3" fillId="6" borderId="10" xfId="2" applyNumberFormat="1" applyFont="1" applyFill="1" applyBorder="1" applyAlignment="1" applyProtection="1">
      <alignment horizontal="right" vertical="center" wrapText="1"/>
    </xf>
    <xf numFmtId="49" fontId="3" fillId="0" borderId="28" xfId="2" applyNumberFormat="1" applyFont="1" applyFill="1" applyBorder="1" applyAlignment="1" applyProtection="1">
      <alignment horizontal="right" vertical="center" wrapText="1"/>
    </xf>
    <xf numFmtId="3" fontId="3" fillId="6" borderId="10" xfId="0" applyNumberFormat="1" applyFont="1" applyFill="1" applyBorder="1" applyAlignment="1" applyProtection="1">
      <alignment horizontal="right" wrapText="1"/>
    </xf>
    <xf numFmtId="0" fontId="5" fillId="0" borderId="28" xfId="1" applyFont="1" applyFill="1" applyBorder="1" applyAlignment="1"/>
    <xf numFmtId="0" fontId="4" fillId="0" borderId="28" xfId="1" applyFont="1" applyFill="1" applyBorder="1" applyAlignment="1">
      <alignment horizontal="left"/>
    </xf>
    <xf numFmtId="166" fontId="4" fillId="0" borderId="45" xfId="1" applyNumberFormat="1" applyFont="1" applyFill="1" applyBorder="1"/>
    <xf numFmtId="0" fontId="4" fillId="5" borderId="10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3" fontId="4" fillId="6" borderId="42" xfId="0" applyNumberFormat="1" applyFont="1" applyFill="1" applyBorder="1" applyAlignment="1">
      <alignment horizontal="right"/>
    </xf>
    <xf numFmtId="0" fontId="3" fillId="5" borderId="19" xfId="1" applyFont="1" applyFill="1" applyBorder="1"/>
    <xf numFmtId="0" fontId="3" fillId="5" borderId="11" xfId="1" applyFont="1" applyFill="1" applyBorder="1" applyAlignment="1"/>
    <xf numFmtId="3" fontId="3" fillId="6" borderId="44" xfId="0" applyNumberFormat="1" applyFont="1" applyFill="1" applyBorder="1" applyAlignment="1">
      <alignment horizontal="right" wrapText="1"/>
    </xf>
    <xf numFmtId="0" fontId="4" fillId="0" borderId="9" xfId="0" applyFont="1" applyBorder="1" applyAlignment="1">
      <alignment horizontal="right"/>
    </xf>
    <xf numFmtId="3" fontId="3" fillId="6" borderId="28" xfId="1" applyNumberFormat="1" applyFont="1" applyFill="1" applyBorder="1"/>
    <xf numFmtId="0" fontId="5" fillId="0" borderId="10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9" fontId="4" fillId="0" borderId="9" xfId="1" applyNumberFormat="1" applyFont="1" applyBorder="1" applyAlignment="1">
      <alignment horizontal="right"/>
    </xf>
    <xf numFmtId="3" fontId="3" fillId="6" borderId="39" xfId="1" applyNumberFormat="1" applyFont="1" applyFill="1" applyBorder="1"/>
    <xf numFmtId="49" fontId="3" fillId="0" borderId="9" xfId="1" applyNumberFormat="1" applyFont="1" applyBorder="1" applyAlignment="1">
      <alignment horizontal="right"/>
    </xf>
    <xf numFmtId="3" fontId="4" fillId="6" borderId="44" xfId="1" applyNumberFormat="1" applyFont="1" applyFill="1" applyBorder="1" applyAlignment="1">
      <alignment horizontal="right"/>
    </xf>
    <xf numFmtId="3" fontId="4" fillId="0" borderId="44" xfId="1" applyNumberFormat="1" applyFont="1" applyFill="1" applyBorder="1"/>
    <xf numFmtId="0" fontId="5" fillId="0" borderId="28" xfId="1" applyFont="1" applyFill="1" applyBorder="1" applyAlignment="1">
      <alignment horizontal="right"/>
    </xf>
    <xf numFmtId="0" fontId="3" fillId="6" borderId="14" xfId="1" applyFont="1" applyFill="1" applyBorder="1" applyAlignment="1">
      <alignment horizontal="center"/>
    </xf>
    <xf numFmtId="0" fontId="4" fillId="6" borderId="10" xfId="1" applyFont="1" applyFill="1" applyBorder="1" applyAlignment="1">
      <alignment horizontal="left"/>
    </xf>
    <xf numFmtId="0" fontId="4" fillId="6" borderId="11" xfId="1" applyFont="1" applyFill="1" applyBorder="1" applyAlignment="1">
      <alignment horizontal="left"/>
    </xf>
    <xf numFmtId="0" fontId="3" fillId="6" borderId="28" xfId="1" applyFont="1" applyFill="1" applyBorder="1"/>
    <xf numFmtId="0" fontId="3" fillId="6" borderId="0" xfId="0" applyFont="1" applyFill="1"/>
    <xf numFmtId="3" fontId="3" fillId="6" borderId="39" xfId="1" applyNumberFormat="1" applyFont="1" applyFill="1" applyBorder="1" applyAlignment="1">
      <alignment horizontal="right"/>
    </xf>
    <xf numFmtId="166" fontId="3" fillId="6" borderId="42" xfId="1" applyNumberFormat="1" applyFont="1" applyFill="1" applyBorder="1"/>
    <xf numFmtId="0" fontId="3" fillId="0" borderId="14" xfId="1" applyFont="1" applyFill="1" applyBorder="1" applyAlignment="1">
      <alignment horizontal="center"/>
    </xf>
    <xf numFmtId="0" fontId="3" fillId="0" borderId="10" xfId="1" applyFont="1" applyFill="1" applyBorder="1" applyAlignment="1"/>
    <xf numFmtId="0" fontId="7" fillId="0" borderId="11" xfId="1" applyFont="1" applyBorder="1" applyAlignment="1">
      <alignment horizontal="left"/>
    </xf>
    <xf numFmtId="3" fontId="3" fillId="2" borderId="42" xfId="1" applyNumberFormat="1" applyFont="1" applyFill="1" applyBorder="1" applyAlignment="1">
      <alignment horizontal="right"/>
    </xf>
    <xf numFmtId="3" fontId="3" fillId="2" borderId="39" xfId="1" applyNumberFormat="1" applyFont="1" applyFill="1" applyBorder="1"/>
    <xf numFmtId="49" fontId="3" fillId="0" borderId="28" xfId="0" applyNumberFormat="1" applyFont="1" applyBorder="1" applyAlignment="1">
      <alignment horizontal="right"/>
    </xf>
    <xf numFmtId="0" fontId="3" fillId="0" borderId="0" xfId="0" applyFont="1" applyBorder="1"/>
    <xf numFmtId="3" fontId="3" fillId="2" borderId="16" xfId="0" applyNumberFormat="1" applyFont="1" applyFill="1" applyBorder="1" applyAlignment="1">
      <alignment horizontal="right"/>
    </xf>
    <xf numFmtId="3" fontId="3" fillId="2" borderId="10" xfId="1" applyNumberFormat="1" applyFont="1" applyFill="1" applyBorder="1"/>
    <xf numFmtId="3" fontId="3" fillId="2" borderId="28" xfId="1" applyNumberFormat="1" applyFont="1" applyFill="1" applyBorder="1"/>
    <xf numFmtId="49" fontId="3" fillId="0" borderId="28" xfId="2" applyNumberFormat="1" applyFont="1" applyFill="1" applyBorder="1" applyAlignment="1" applyProtection="1">
      <alignment horizontal="center" vertical="center" wrapText="1"/>
    </xf>
    <xf numFmtId="3" fontId="3" fillId="6" borderId="44" xfId="2" applyNumberFormat="1" applyFont="1" applyFill="1" applyBorder="1" applyAlignment="1" applyProtection="1">
      <alignment horizontal="right" vertical="center" wrapText="1"/>
    </xf>
    <xf numFmtId="166" fontId="3" fillId="6" borderId="29" xfId="1" applyNumberFormat="1" applyFont="1" applyFill="1" applyBorder="1"/>
    <xf numFmtId="0" fontId="3" fillId="0" borderId="10" xfId="0" applyFont="1" applyBorder="1"/>
    <xf numFmtId="0" fontId="3" fillId="0" borderId="11" xfId="0" applyFont="1" applyBorder="1"/>
    <xf numFmtId="3" fontId="3" fillId="6" borderId="29" xfId="0" applyNumberFormat="1" applyFont="1" applyFill="1" applyBorder="1" applyAlignment="1">
      <alignment horizontal="right"/>
    </xf>
    <xf numFmtId="3" fontId="3" fillId="0" borderId="39" xfId="1" applyNumberFormat="1" applyFont="1" applyFill="1" applyBorder="1" applyAlignment="1">
      <alignment horizontal="center"/>
    </xf>
    <xf numFmtId="3" fontId="3" fillId="0" borderId="42" xfId="1" applyNumberFormat="1" applyFont="1" applyFill="1" applyBorder="1" applyAlignment="1">
      <alignment horizontal="center"/>
    </xf>
    <xf numFmtId="3" fontId="3" fillId="6" borderId="42" xfId="1" applyNumberFormat="1" applyFont="1" applyFill="1" applyBorder="1" applyAlignment="1">
      <alignment horizontal="center"/>
    </xf>
    <xf numFmtId="0" fontId="5" fillId="0" borderId="14" xfId="1" applyFont="1" applyFill="1" applyBorder="1" applyAlignment="1"/>
    <xf numFmtId="0" fontId="3" fillId="6" borderId="18" xfId="1" applyFont="1" applyFill="1" applyBorder="1"/>
    <xf numFmtId="0" fontId="3" fillId="0" borderId="28" xfId="1" applyFont="1" applyBorder="1" applyAlignment="1">
      <alignment horizontal="left"/>
    </xf>
    <xf numFmtId="0" fontId="3" fillId="6" borderId="24" xfId="1" applyFont="1" applyFill="1" applyBorder="1"/>
    <xf numFmtId="3" fontId="4" fillId="6" borderId="39" xfId="1" applyNumberFormat="1" applyFont="1" applyFill="1" applyBorder="1" applyAlignment="1">
      <alignment horizontal="right"/>
    </xf>
    <xf numFmtId="0" fontId="3" fillId="6" borderId="42" xfId="1" applyFont="1" applyFill="1" applyBorder="1"/>
    <xf numFmtId="3" fontId="3" fillId="0" borderId="47" xfId="1" applyNumberFormat="1" applyFont="1" applyFill="1" applyBorder="1"/>
    <xf numFmtId="0" fontId="5" fillId="0" borderId="9" xfId="1" applyFont="1" applyFill="1" applyBorder="1" applyAlignment="1">
      <alignment horizontal="left"/>
    </xf>
    <xf numFmtId="16" fontId="5" fillId="0" borderId="28" xfId="1" applyNumberFormat="1" applyFont="1" applyFill="1" applyBorder="1" applyAlignment="1">
      <alignment horizontal="left"/>
    </xf>
    <xf numFmtId="3" fontId="3" fillId="0" borderId="28" xfId="1" applyNumberFormat="1" applyFont="1" applyFill="1" applyBorder="1" applyAlignment="1"/>
    <xf numFmtId="3" fontId="3" fillId="0" borderId="46" xfId="1" applyNumberFormat="1" applyFont="1" applyFill="1" applyBorder="1" applyAlignment="1"/>
    <xf numFmtId="3" fontId="3" fillId="0" borderId="44" xfId="1" applyNumberFormat="1" applyFont="1" applyFill="1" applyBorder="1" applyAlignment="1"/>
    <xf numFmtId="3" fontId="3" fillId="6" borderId="44" xfId="1" applyNumberFormat="1" applyFont="1" applyFill="1" applyBorder="1"/>
    <xf numFmtId="167" fontId="3" fillId="0" borderId="45" xfId="1" applyNumberFormat="1" applyFont="1" applyBorder="1"/>
    <xf numFmtId="0" fontId="3" fillId="2" borderId="9" xfId="1" applyFont="1" applyFill="1" applyBorder="1" applyAlignment="1">
      <alignment horizontal="center"/>
    </xf>
    <xf numFmtId="3" fontId="4" fillId="6" borderId="16" xfId="1" applyNumberFormat="1" applyFont="1" applyFill="1" applyBorder="1" applyAlignment="1">
      <alignment horizontal="right"/>
    </xf>
    <xf numFmtId="3" fontId="4" fillId="0" borderId="46" xfId="1" applyNumberFormat="1" applyFont="1" applyFill="1" applyBorder="1"/>
    <xf numFmtId="3" fontId="4" fillId="0" borderId="16" xfId="1" applyNumberFormat="1" applyFont="1" applyFill="1" applyBorder="1"/>
    <xf numFmtId="3" fontId="4" fillId="6" borderId="42" xfId="1" applyNumberFormat="1" applyFont="1" applyFill="1" applyBorder="1"/>
    <xf numFmtId="3" fontId="4" fillId="0" borderId="28" xfId="1" applyNumberFormat="1" applyFont="1" applyFill="1" applyBorder="1"/>
    <xf numFmtId="167" fontId="3" fillId="0" borderId="28" xfId="1" applyNumberFormat="1" applyFont="1" applyBorder="1" applyAlignment="1">
      <alignment horizontal="right"/>
    </xf>
    <xf numFmtId="167" fontId="3" fillId="0" borderId="44" xfId="1" applyNumberFormat="1" applyFont="1" applyBorder="1" applyAlignment="1">
      <alignment horizontal="right"/>
    </xf>
    <xf numFmtId="0" fontId="3" fillId="0" borderId="10" xfId="1" applyFont="1" applyFill="1" applyBorder="1" applyAlignment="1">
      <alignment horizontal="right"/>
    </xf>
    <xf numFmtId="0" fontId="3" fillId="0" borderId="28" xfId="1" applyFont="1" applyBorder="1" applyAlignment="1">
      <alignment horizontal="right"/>
    </xf>
    <xf numFmtId="3" fontId="7" fillId="6" borderId="10" xfId="1" applyNumberFormat="1" applyFont="1" applyFill="1" applyBorder="1" applyAlignment="1">
      <alignment horizontal="right"/>
    </xf>
    <xf numFmtId="0" fontId="3" fillId="0" borderId="43" xfId="0" applyFont="1" applyBorder="1"/>
    <xf numFmtId="3" fontId="3" fillId="6" borderId="28" xfId="0" applyNumberFormat="1" applyFont="1" applyFill="1" applyBorder="1" applyAlignment="1">
      <alignment horizontal="right"/>
    </xf>
    <xf numFmtId="0" fontId="3" fillId="6" borderId="10" xfId="0" applyFont="1" applyFill="1" applyBorder="1"/>
    <xf numFmtId="0" fontId="3" fillId="0" borderId="42" xfId="1" applyFont="1" applyBorder="1"/>
    <xf numFmtId="3" fontId="3" fillId="6" borderId="16" xfId="0" applyNumberFormat="1" applyFont="1" applyFill="1" applyBorder="1" applyAlignment="1">
      <alignment horizontal="right"/>
    </xf>
    <xf numFmtId="3" fontId="3" fillId="6" borderId="10" xfId="0" applyNumberFormat="1" applyFont="1" applyFill="1" applyBorder="1"/>
    <xf numFmtId="16" fontId="3" fillId="0" borderId="43" xfId="0" applyNumberFormat="1" applyFont="1" applyBorder="1" applyAlignment="1">
      <alignment horizontal="right"/>
    </xf>
    <xf numFmtId="16" fontId="3" fillId="0" borderId="0" xfId="0" applyNumberFormat="1" applyFont="1" applyBorder="1" applyAlignment="1">
      <alignment horizontal="right"/>
    </xf>
    <xf numFmtId="3" fontId="3" fillId="0" borderId="28" xfId="0" applyNumberFormat="1" applyFont="1" applyFill="1" applyBorder="1"/>
    <xf numFmtId="3" fontId="3" fillId="2" borderId="10" xfId="1" applyNumberFormat="1" applyFont="1" applyFill="1" applyBorder="1" applyAlignment="1">
      <alignment horizontal="right"/>
    </xf>
    <xf numFmtId="3" fontId="3" fillId="2" borderId="28" xfId="0" applyNumberFormat="1" applyFont="1" applyFill="1" applyBorder="1"/>
    <xf numFmtId="3" fontId="3" fillId="6" borderId="10" xfId="0" applyNumberFormat="1" applyFont="1" applyFill="1" applyBorder="1" applyAlignment="1">
      <alignment horizontal="right"/>
    </xf>
    <xf numFmtId="49" fontId="3" fillId="0" borderId="48" xfId="2" applyNumberFormat="1" applyFont="1" applyFill="1" applyBorder="1" applyAlignment="1" applyProtection="1">
      <alignment horizontal="left" vertical="center" wrapText="1" indent="1"/>
    </xf>
    <xf numFmtId="3" fontId="3" fillId="2" borderId="28" xfId="2" applyNumberFormat="1" applyFont="1" applyFill="1" applyBorder="1" applyAlignment="1" applyProtection="1">
      <alignment horizontal="right" vertical="center" wrapText="1"/>
    </xf>
    <xf numFmtId="3" fontId="3" fillId="2" borderId="44" xfId="0" applyNumberFormat="1" applyFont="1" applyFill="1" applyBorder="1"/>
    <xf numFmtId="3" fontId="3" fillId="2" borderId="10" xfId="0" applyNumberFormat="1" applyFont="1" applyFill="1" applyBorder="1" applyAlignment="1">
      <alignment horizontal="right"/>
    </xf>
    <xf numFmtId="49" fontId="3" fillId="0" borderId="38" xfId="2" applyNumberFormat="1" applyFont="1" applyFill="1" applyBorder="1" applyAlignment="1" applyProtection="1">
      <alignment horizontal="left" vertical="center" wrapText="1" indent="1"/>
    </xf>
    <xf numFmtId="0" fontId="3" fillId="0" borderId="10" xfId="2" applyFont="1" applyFill="1" applyBorder="1" applyAlignment="1" applyProtection="1">
      <alignment horizontal="left" vertical="center" wrapText="1"/>
    </xf>
    <xf numFmtId="0" fontId="3" fillId="0" borderId="11" xfId="2" applyFont="1" applyFill="1" applyBorder="1" applyAlignment="1" applyProtection="1">
      <alignment horizontal="left" vertical="center" wrapText="1"/>
    </xf>
    <xf numFmtId="3" fontId="3" fillId="6" borderId="41" xfId="2" applyNumberFormat="1" applyFont="1" applyFill="1" applyBorder="1" applyAlignment="1" applyProtection="1">
      <alignment horizontal="right" vertical="center" wrapText="1"/>
    </xf>
    <xf numFmtId="3" fontId="3" fillId="6" borderId="46" xfId="0" applyNumberFormat="1" applyFont="1" applyFill="1" applyBorder="1"/>
    <xf numFmtId="3" fontId="3" fillId="6" borderId="44" xfId="0" applyNumberFormat="1" applyFont="1" applyFill="1" applyBorder="1"/>
    <xf numFmtId="0" fontId="3" fillId="0" borderId="11" xfId="0" applyFont="1" applyBorder="1" applyAlignment="1">
      <alignment horizontal="left"/>
    </xf>
    <xf numFmtId="3" fontId="3" fillId="6" borderId="42" xfId="0" applyNumberFormat="1" applyFont="1" applyFill="1" applyBorder="1" applyAlignment="1">
      <alignment horizontal="right"/>
    </xf>
    <xf numFmtId="0" fontId="3" fillId="6" borderId="39" xfId="1" applyFont="1" applyFill="1" applyBorder="1"/>
    <xf numFmtId="3" fontId="3" fillId="6" borderId="24" xfId="0" applyNumberFormat="1" applyFont="1" applyFill="1" applyBorder="1" applyAlignment="1">
      <alignment horizontal="right"/>
    </xf>
    <xf numFmtId="3" fontId="3" fillId="6" borderId="45" xfId="1" applyNumberFormat="1" applyFont="1" applyFill="1" applyBorder="1"/>
    <xf numFmtId="0" fontId="3" fillId="6" borderId="45" xfId="1" applyFont="1" applyFill="1" applyBorder="1"/>
    <xf numFmtId="0" fontId="3" fillId="6" borderId="9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left"/>
    </xf>
    <xf numFmtId="0" fontId="3" fillId="0" borderId="38" xfId="1" applyFont="1" applyBorder="1" applyAlignment="1"/>
    <xf numFmtId="49" fontId="3" fillId="0" borderId="48" xfId="2" applyNumberFormat="1" applyFont="1" applyFill="1" applyBorder="1" applyAlignment="1" applyProtection="1">
      <alignment horizontal="center" vertical="center" wrapText="1"/>
    </xf>
    <xf numFmtId="166" fontId="3" fillId="0" borderId="45" xfId="1" applyNumberFormat="1" applyFont="1" applyBorder="1"/>
    <xf numFmtId="3" fontId="3" fillId="6" borderId="18" xfId="0" applyNumberFormat="1" applyFont="1" applyFill="1" applyBorder="1" applyAlignment="1">
      <alignment horizontal="right"/>
    </xf>
    <xf numFmtId="0" fontId="3" fillId="0" borderId="11" xfId="1" applyFont="1" applyFill="1" applyBorder="1" applyAlignment="1">
      <alignment horizontal="center"/>
    </xf>
    <xf numFmtId="3" fontId="3" fillId="2" borderId="44" xfId="1" applyNumberFormat="1" applyFont="1" applyFill="1" applyBorder="1"/>
    <xf numFmtId="3" fontId="3" fillId="6" borderId="46" xfId="1" applyNumberFormat="1" applyFont="1" applyFill="1" applyBorder="1"/>
    <xf numFmtId="0" fontId="3" fillId="0" borderId="18" xfId="1" applyFont="1" applyFill="1" applyBorder="1"/>
    <xf numFmtId="0" fontId="3" fillId="0" borderId="28" xfId="1" applyFont="1" applyFill="1" applyBorder="1" applyAlignment="1"/>
    <xf numFmtId="16" fontId="4" fillId="0" borderId="28" xfId="1" applyNumberFormat="1" applyFont="1" applyFill="1" applyBorder="1" applyAlignment="1">
      <alignment horizontal="right"/>
    </xf>
    <xf numFmtId="0" fontId="4" fillId="0" borderId="11" xfId="1" applyFont="1" applyFill="1" applyBorder="1" applyAlignment="1"/>
    <xf numFmtId="49" fontId="3" fillId="0" borderId="9" xfId="2" applyNumberFormat="1" applyFont="1" applyFill="1" applyBorder="1" applyAlignment="1" applyProtection="1">
      <alignment horizontal="right" vertical="center" wrapText="1"/>
    </xf>
    <xf numFmtId="49" fontId="4" fillId="0" borderId="10" xfId="1" applyNumberFormat="1" applyFont="1" applyFill="1" applyBorder="1" applyAlignment="1">
      <alignment horizontal="left"/>
    </xf>
    <xf numFmtId="0" fontId="4" fillId="0" borderId="28" xfId="2" applyFont="1" applyFill="1" applyBorder="1" applyAlignment="1" applyProtection="1">
      <alignment horizontal="right" vertical="center" wrapText="1"/>
    </xf>
    <xf numFmtId="3" fontId="4" fillId="6" borderId="10" xfId="2" applyNumberFormat="1" applyFont="1" applyFill="1" applyBorder="1" applyAlignment="1" applyProtection="1">
      <alignment horizontal="right" vertical="center" wrapText="1"/>
    </xf>
    <xf numFmtId="3" fontId="3" fillId="6" borderId="42" xfId="0" applyNumberFormat="1" applyFont="1" applyFill="1" applyBorder="1" applyAlignment="1" applyProtection="1">
      <alignment horizontal="right" wrapText="1"/>
    </xf>
    <xf numFmtId="0" fontId="3" fillId="0" borderId="28" xfId="0" applyFont="1" applyBorder="1"/>
    <xf numFmtId="3" fontId="4" fillId="6" borderId="32" xfId="1" applyNumberFormat="1" applyFont="1" applyFill="1" applyBorder="1" applyAlignment="1">
      <alignment horizontal="right"/>
    </xf>
    <xf numFmtId="3" fontId="4" fillId="6" borderId="16" xfId="1" applyNumberFormat="1" applyFont="1" applyFill="1" applyBorder="1"/>
    <xf numFmtId="3" fontId="5" fillId="6" borderId="42" xfId="1" applyNumberFormat="1" applyFont="1" applyFill="1" applyBorder="1" applyAlignment="1">
      <alignment horizontal="right"/>
    </xf>
    <xf numFmtId="3" fontId="4" fillId="6" borderId="10" xfId="1" applyNumberFormat="1" applyFont="1" applyFill="1" applyBorder="1"/>
    <xf numFmtId="3" fontId="4" fillId="6" borderId="28" xfId="1" applyNumberFormat="1" applyFont="1" applyFill="1" applyBorder="1"/>
    <xf numFmtId="3" fontId="3" fillId="0" borderId="40" xfId="1" applyNumberFormat="1" applyFont="1" applyFill="1" applyBorder="1" applyAlignment="1"/>
    <xf numFmtId="166" fontId="3" fillId="0" borderId="44" xfId="1" applyNumberFormat="1" applyFont="1" applyFill="1" applyBorder="1" applyAlignment="1"/>
    <xf numFmtId="0" fontId="5" fillId="0" borderId="49" xfId="1" applyFont="1" applyFill="1" applyBorder="1" applyAlignment="1"/>
    <xf numFmtId="0" fontId="3" fillId="0" borderId="41" xfId="1" applyFont="1" applyFill="1" applyBorder="1" applyAlignment="1"/>
    <xf numFmtId="167" fontId="3" fillId="0" borderId="41" xfId="1" applyNumberFormat="1" applyFont="1" applyFill="1" applyBorder="1" applyAlignment="1"/>
    <xf numFmtId="0" fontId="3" fillId="0" borderId="19" xfId="1" applyFont="1" applyFill="1" applyBorder="1" applyAlignment="1"/>
    <xf numFmtId="0" fontId="3" fillId="0" borderId="17" xfId="1" applyFont="1" applyFill="1" applyBorder="1" applyAlignment="1">
      <alignment horizontal="center"/>
    </xf>
    <xf numFmtId="3" fontId="3" fillId="6" borderId="46" xfId="1" applyNumberFormat="1" applyFont="1" applyFill="1" applyBorder="1" applyAlignment="1">
      <alignment horizontal="right"/>
    </xf>
    <xf numFmtId="167" fontId="3" fillId="0" borderId="44" xfId="1" applyNumberFormat="1" applyFont="1" applyFill="1" applyBorder="1" applyAlignment="1"/>
    <xf numFmtId="3" fontId="4" fillId="0" borderId="45" xfId="0" applyNumberFormat="1" applyFont="1" applyFill="1" applyBorder="1"/>
    <xf numFmtId="0" fontId="3" fillId="5" borderId="28" xfId="0" applyFont="1" applyFill="1" applyBorder="1"/>
    <xf numFmtId="0" fontId="3" fillId="6" borderId="28" xfId="0" applyFont="1" applyFill="1" applyBorder="1"/>
    <xf numFmtId="49" fontId="3" fillId="0" borderId="28" xfId="1" applyNumberFormat="1" applyFont="1" applyFill="1" applyBorder="1" applyAlignment="1">
      <alignment horizontal="left"/>
    </xf>
    <xf numFmtId="166" fontId="3" fillId="0" borderId="46" xfId="1" applyNumberFormat="1" applyFont="1" applyFill="1" applyBorder="1"/>
    <xf numFmtId="49" fontId="3" fillId="0" borderId="46" xfId="1" applyNumberFormat="1" applyFont="1" applyFill="1" applyBorder="1" applyAlignment="1">
      <alignment horizontal="right"/>
    </xf>
    <xf numFmtId="3" fontId="3" fillId="2" borderId="44" xfId="1" applyNumberFormat="1" applyFont="1" applyFill="1" applyBorder="1" applyAlignment="1">
      <alignment horizontal="right"/>
    </xf>
    <xf numFmtId="166" fontId="3" fillId="0" borderId="45" xfId="1" applyNumberFormat="1" applyFont="1" applyFill="1" applyBorder="1"/>
    <xf numFmtId="3" fontId="4" fillId="0" borderId="10" xfId="1" applyNumberFormat="1" applyFont="1" applyFill="1" applyBorder="1"/>
    <xf numFmtId="166" fontId="3" fillId="0" borderId="10" xfId="1" applyNumberFormat="1" applyFont="1" applyFill="1" applyBorder="1"/>
    <xf numFmtId="3" fontId="4" fillId="0" borderId="44" xfId="1" applyNumberFormat="1" applyFont="1" applyBorder="1"/>
    <xf numFmtId="166" fontId="3" fillId="0" borderId="39" xfId="1" applyNumberFormat="1" applyFont="1" applyFill="1" applyBorder="1"/>
    <xf numFmtId="3" fontId="4" fillId="6" borderId="29" xfId="1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4" fillId="6" borderId="28" xfId="1" applyNumberFormat="1" applyFont="1" applyFill="1" applyBorder="1" applyAlignment="1">
      <alignment horizontal="right"/>
    </xf>
    <xf numFmtId="3" fontId="3" fillId="6" borderId="53" xfId="1" applyNumberFormat="1" applyFont="1" applyFill="1" applyBorder="1" applyAlignment="1">
      <alignment horizontal="right"/>
    </xf>
    <xf numFmtId="3" fontId="3" fillId="0" borderId="53" xfId="1" applyNumberFormat="1" applyFont="1" applyFill="1" applyBorder="1"/>
    <xf numFmtId="49" fontId="3" fillId="0" borderId="10" xfId="1" applyNumberFormat="1" applyFont="1" applyBorder="1" applyAlignment="1">
      <alignment horizontal="right"/>
    </xf>
    <xf numFmtId="0" fontId="3" fillId="0" borderId="10" xfId="1" applyFont="1" applyBorder="1" applyAlignment="1">
      <alignment horizontal="right"/>
    </xf>
    <xf numFmtId="0" fontId="5" fillId="6" borderId="28" xfId="1" applyFont="1" applyFill="1" applyBorder="1" applyAlignment="1">
      <alignment horizontal="left"/>
    </xf>
    <xf numFmtId="0" fontId="5" fillId="6" borderId="11" xfId="1" applyFont="1" applyFill="1" applyBorder="1" applyAlignment="1"/>
    <xf numFmtId="0" fontId="3" fillId="6" borderId="11" xfId="1" applyFont="1" applyFill="1" applyBorder="1" applyAlignment="1"/>
    <xf numFmtId="0" fontId="5" fillId="6" borderId="10" xfId="1" applyFont="1" applyFill="1" applyBorder="1" applyAlignment="1">
      <alignment horizontal="left"/>
    </xf>
    <xf numFmtId="49" fontId="3" fillId="6" borderId="28" xfId="1" applyNumberFormat="1" applyFont="1" applyFill="1" applyBorder="1" applyAlignment="1">
      <alignment horizontal="right"/>
    </xf>
    <xf numFmtId="0" fontId="3" fillId="6" borderId="28" xfId="1" applyFont="1" applyFill="1" applyBorder="1" applyAlignment="1">
      <alignment horizontal="left"/>
    </xf>
    <xf numFmtId="0" fontId="3" fillId="6" borderId="10" xfId="1" applyFont="1" applyFill="1" applyBorder="1" applyAlignment="1">
      <alignment horizontal="left"/>
    </xf>
    <xf numFmtId="3" fontId="3" fillId="6" borderId="41" xfId="1" applyNumberFormat="1" applyFont="1" applyFill="1" applyBorder="1"/>
    <xf numFmtId="0" fontId="3" fillId="6" borderId="28" xfId="1" applyFont="1" applyFill="1" applyBorder="1" applyAlignment="1">
      <alignment horizontal="right"/>
    </xf>
    <xf numFmtId="0" fontId="3" fillId="6" borderId="10" xfId="1" applyFont="1" applyFill="1" applyBorder="1"/>
    <xf numFmtId="3" fontId="4" fillId="6" borderId="32" xfId="1" applyNumberFormat="1" applyFont="1" applyFill="1" applyBorder="1"/>
    <xf numFmtId="3" fontId="4" fillId="6" borderId="45" xfId="1" applyNumberFormat="1" applyFont="1" applyFill="1" applyBorder="1"/>
    <xf numFmtId="0" fontId="3" fillId="6" borderId="11" xfId="1" applyFont="1" applyFill="1" applyBorder="1"/>
    <xf numFmtId="3" fontId="3" fillId="6" borderId="47" xfId="1" applyNumberFormat="1" applyFont="1" applyFill="1" applyBorder="1"/>
    <xf numFmtId="49" fontId="3" fillId="6" borderId="10" xfId="1" applyNumberFormat="1" applyFont="1" applyFill="1" applyBorder="1" applyAlignment="1">
      <alignment horizontal="right"/>
    </xf>
    <xf numFmtId="0" fontId="3" fillId="6" borderId="10" xfId="1" applyFont="1" applyFill="1" applyBorder="1" applyAlignment="1">
      <alignment horizontal="right"/>
    </xf>
    <xf numFmtId="3" fontId="4" fillId="6" borderId="10" xfId="1" applyNumberFormat="1" applyFont="1" applyFill="1" applyBorder="1" applyAlignment="1">
      <alignment horizontal="right" wrapText="1"/>
    </xf>
    <xf numFmtId="49" fontId="4" fillId="0" borderId="10" xfId="1" applyNumberFormat="1" applyFont="1" applyBorder="1" applyAlignment="1">
      <alignment horizontal="right"/>
    </xf>
    <xf numFmtId="0" fontId="4" fillId="0" borderId="10" xfId="1" applyFont="1" applyFill="1" applyBorder="1" applyAlignment="1">
      <alignment horizontal="left" wrapText="1"/>
    </xf>
    <xf numFmtId="0" fontId="4" fillId="0" borderId="11" xfId="1" applyFont="1" applyFill="1" applyBorder="1" applyAlignment="1">
      <alignment horizontal="left" wrapText="1"/>
    </xf>
    <xf numFmtId="0" fontId="3" fillId="0" borderId="10" xfId="1" applyFont="1" applyBorder="1" applyAlignment="1"/>
    <xf numFmtId="3" fontId="4" fillId="6" borderId="46" xfId="1" applyNumberFormat="1" applyFont="1" applyFill="1" applyBorder="1" applyAlignment="1">
      <alignment horizontal="right"/>
    </xf>
    <xf numFmtId="167" fontId="3" fillId="0" borderId="39" xfId="1" applyNumberFormat="1" applyFont="1" applyBorder="1"/>
    <xf numFmtId="0" fontId="5" fillId="0" borderId="14" xfId="1" applyFont="1" applyBorder="1" applyAlignment="1"/>
    <xf numFmtId="0" fontId="5" fillId="0" borderId="11" xfId="1" applyFont="1" applyBorder="1" applyAlignment="1"/>
    <xf numFmtId="0" fontId="3" fillId="0" borderId="11" xfId="1" applyFont="1" applyBorder="1" applyAlignment="1"/>
    <xf numFmtId="3" fontId="3" fillId="0" borderId="0" xfId="1" applyNumberFormat="1" applyFont="1" applyFill="1" applyBorder="1"/>
    <xf numFmtId="0" fontId="5" fillId="0" borderId="0" xfId="0" applyFont="1" applyBorder="1"/>
    <xf numFmtId="0" fontId="3" fillId="2" borderId="48" xfId="1" applyFont="1" applyFill="1" applyBorder="1" applyAlignment="1">
      <alignment horizontal="center"/>
    </xf>
    <xf numFmtId="0" fontId="3" fillId="0" borderId="48" xfId="1" applyFont="1" applyFill="1" applyBorder="1" applyAlignment="1">
      <alignment horizontal="center"/>
    </xf>
    <xf numFmtId="0" fontId="3" fillId="0" borderId="39" xfId="1" applyFont="1" applyFill="1" applyBorder="1" applyAlignment="1">
      <alignment horizontal="right"/>
    </xf>
    <xf numFmtId="166" fontId="3" fillId="0" borderId="46" xfId="1" applyNumberFormat="1" applyFont="1" applyFill="1" applyBorder="1" applyAlignment="1"/>
    <xf numFmtId="49" fontId="3" fillId="0" borderId="43" xfId="2" applyNumberFormat="1" applyFont="1" applyFill="1" applyBorder="1" applyAlignment="1" applyProtection="1">
      <alignment horizontal="right" vertical="center" wrapText="1"/>
    </xf>
    <xf numFmtId="3" fontId="4" fillId="6" borderId="29" xfId="1" applyNumberFormat="1" applyFont="1" applyFill="1" applyBorder="1"/>
    <xf numFmtId="0" fontId="3" fillId="0" borderId="43" xfId="1" applyFont="1" applyFill="1" applyBorder="1" applyAlignment="1">
      <alignment horizontal="right"/>
    </xf>
    <xf numFmtId="49" fontId="4" fillId="0" borderId="43" xfId="1" applyNumberFormat="1" applyFont="1" applyBorder="1" applyAlignment="1">
      <alignment horizontal="right"/>
    </xf>
    <xf numFmtId="49" fontId="3" fillId="0" borderId="43" xfId="1" applyNumberFormat="1" applyFont="1" applyBorder="1" applyAlignment="1">
      <alignment horizontal="right"/>
    </xf>
    <xf numFmtId="3" fontId="5" fillId="6" borderId="39" xfId="1" applyNumberFormat="1" applyFont="1" applyFill="1" applyBorder="1" applyAlignment="1">
      <alignment horizontal="right"/>
    </xf>
    <xf numFmtId="0" fontId="5" fillId="5" borderId="28" xfId="1" applyFont="1" applyFill="1" applyBorder="1" applyAlignment="1">
      <alignment horizontal="left"/>
    </xf>
    <xf numFmtId="0" fontId="5" fillId="5" borderId="10" xfId="1" applyFont="1" applyFill="1" applyBorder="1" applyAlignment="1">
      <alignment horizontal="left"/>
    </xf>
    <xf numFmtId="16" fontId="4" fillId="0" borderId="10" xfId="1" applyNumberFormat="1" applyFont="1" applyBorder="1" applyAlignment="1"/>
    <xf numFmtId="0" fontId="4" fillId="0" borderId="11" xfId="1" applyFont="1" applyBorder="1" applyAlignment="1"/>
    <xf numFmtId="0" fontId="3" fillId="0" borderId="9" xfId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3" fontId="3" fillId="0" borderId="0" xfId="0" applyNumberFormat="1" applyFont="1"/>
    <xf numFmtId="0" fontId="3" fillId="0" borderId="16" xfId="1" applyFont="1" applyFill="1" applyBorder="1"/>
    <xf numFmtId="0" fontId="5" fillId="0" borderId="9" xfId="1" applyFont="1" applyBorder="1" applyAlignment="1">
      <alignment horizontal="left"/>
    </xf>
    <xf numFmtId="49" fontId="5" fillId="0" borderId="28" xfId="1" applyNumberFormat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3" fontId="3" fillId="2" borderId="28" xfId="1" applyNumberFormat="1" applyFont="1" applyFill="1" applyBorder="1" applyAlignment="1">
      <alignment horizontal="right"/>
    </xf>
    <xf numFmtId="3" fontId="3" fillId="0" borderId="43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4" xfId="1" applyFont="1" applyBorder="1" applyAlignment="1"/>
    <xf numFmtId="166" fontId="3" fillId="0" borderId="47" xfId="1" applyNumberFormat="1" applyFont="1" applyFill="1" applyBorder="1"/>
    <xf numFmtId="3" fontId="4" fillId="0" borderId="28" xfId="1" applyNumberFormat="1" applyFont="1" applyFill="1" applyBorder="1" applyAlignment="1"/>
    <xf numFmtId="0" fontId="4" fillId="0" borderId="13" xfId="0" applyFont="1" applyBorder="1"/>
    <xf numFmtId="0" fontId="4" fillId="0" borderId="0" xfId="0" applyFont="1" applyBorder="1"/>
    <xf numFmtId="0" fontId="4" fillId="0" borderId="28" xfId="1" applyFont="1" applyBorder="1" applyAlignment="1">
      <alignment horizontal="center"/>
    </xf>
    <xf numFmtId="0" fontId="4" fillId="0" borderId="11" xfId="1" applyFont="1" applyBorder="1" applyAlignment="1">
      <alignment horizontal="left"/>
    </xf>
    <xf numFmtId="0" fontId="4" fillId="0" borderId="10" xfId="1" applyFont="1" applyBorder="1" applyAlignment="1"/>
    <xf numFmtId="0" fontId="5" fillId="0" borderId="9" xfId="1" applyFont="1" applyBorder="1" applyAlignment="1"/>
    <xf numFmtId="49" fontId="3" fillId="0" borderId="28" xfId="1" applyNumberFormat="1" applyFont="1" applyBorder="1" applyAlignment="1"/>
    <xf numFmtId="49" fontId="3" fillId="0" borderId="10" xfId="1" applyNumberFormat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3" fontId="3" fillId="0" borderId="41" xfId="1" applyNumberFormat="1" applyFont="1" applyFill="1" applyBorder="1" applyAlignment="1">
      <alignment horizontal="right"/>
    </xf>
    <xf numFmtId="0" fontId="5" fillId="0" borderId="49" xfId="1" applyFont="1" applyBorder="1" applyAlignment="1">
      <alignment horizontal="left"/>
    </xf>
    <xf numFmtId="0" fontId="3" fillId="0" borderId="18" xfId="1" applyFont="1" applyBorder="1" applyAlignment="1"/>
    <xf numFmtId="0" fontId="3" fillId="0" borderId="19" xfId="1" applyFont="1" applyBorder="1" applyAlignment="1"/>
    <xf numFmtId="3" fontId="4" fillId="0" borderId="41" xfId="1" applyNumberFormat="1" applyFont="1" applyFill="1" applyBorder="1"/>
    <xf numFmtId="49" fontId="4" fillId="0" borderId="41" xfId="1" applyNumberFormat="1" applyFont="1" applyBorder="1" applyAlignment="1">
      <alignment horizontal="right"/>
    </xf>
    <xf numFmtId="3" fontId="4" fillId="0" borderId="0" xfId="1" applyNumberFormat="1" applyFont="1" applyFill="1" applyBorder="1"/>
    <xf numFmtId="0" fontId="3" fillId="0" borderId="18" xfId="1" applyFont="1" applyBorder="1"/>
    <xf numFmtId="0" fontId="3" fillId="0" borderId="19" xfId="1" applyFont="1" applyBorder="1"/>
    <xf numFmtId="166" fontId="4" fillId="0" borderId="44" xfId="1" applyNumberFormat="1" applyFont="1" applyFill="1" applyBorder="1"/>
    <xf numFmtId="0" fontId="4" fillId="0" borderId="44" xfId="1" applyFont="1" applyBorder="1" applyAlignment="1">
      <alignment horizontal="left"/>
    </xf>
    <xf numFmtId="0" fontId="4" fillId="0" borderId="29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3" fontId="4" fillId="6" borderId="0" xfId="1" applyNumberFormat="1" applyFont="1" applyFill="1" applyBorder="1"/>
    <xf numFmtId="3" fontId="3" fillId="0" borderId="35" xfId="1" applyNumberFormat="1" applyFont="1" applyBorder="1"/>
    <xf numFmtId="0" fontId="3" fillId="0" borderId="35" xfId="1" applyFont="1" applyBorder="1"/>
    <xf numFmtId="3" fontId="3" fillId="0" borderId="25" xfId="1" applyNumberFormat="1" applyFont="1" applyBorder="1"/>
    <xf numFmtId="0" fontId="3" fillId="0" borderId="25" xfId="1" applyFont="1" applyBorder="1"/>
    <xf numFmtId="0" fontId="3" fillId="0" borderId="50" xfId="1" applyFont="1" applyBorder="1"/>
    <xf numFmtId="0" fontId="5" fillId="0" borderId="47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3" fontId="3" fillId="6" borderId="47" xfId="0" applyNumberFormat="1" applyFont="1" applyFill="1" applyBorder="1" applyAlignment="1">
      <alignment horizontal="right" vertical="center"/>
    </xf>
    <xf numFmtId="0" fontId="3" fillId="0" borderId="47" xfId="1" applyFont="1" applyFill="1" applyBorder="1"/>
    <xf numFmtId="0" fontId="3" fillId="0" borderId="47" xfId="1" applyFont="1" applyBorder="1"/>
    <xf numFmtId="0" fontId="3" fillId="0" borderId="53" xfId="1" applyFont="1" applyBorder="1"/>
    <xf numFmtId="0" fontId="3" fillId="6" borderId="53" xfId="1" applyFont="1" applyFill="1" applyBorder="1"/>
    <xf numFmtId="14" fontId="3" fillId="0" borderId="28" xfId="1" applyNumberFormat="1" applyFont="1" applyFill="1" applyBorder="1" applyAlignment="1">
      <alignment horizontal="right"/>
    </xf>
    <xf numFmtId="3" fontId="3" fillId="2" borderId="18" xfId="1" applyNumberFormat="1" applyFont="1" applyFill="1" applyBorder="1" applyAlignment="1">
      <alignment horizontal="right"/>
    </xf>
    <xf numFmtId="3" fontId="3" fillId="2" borderId="18" xfId="1" applyNumberFormat="1" applyFont="1" applyFill="1" applyBorder="1"/>
    <xf numFmtId="3" fontId="5" fillId="6" borderId="10" xfId="1" applyNumberFormat="1" applyFont="1" applyFill="1" applyBorder="1" applyAlignment="1">
      <alignment horizontal="right" wrapText="1"/>
    </xf>
    <xf numFmtId="3" fontId="3" fillId="6" borderId="42" xfId="1" applyNumberFormat="1" applyFont="1" applyFill="1" applyBorder="1" applyAlignment="1">
      <alignment horizontal="right" wrapText="1"/>
    </xf>
    <xf numFmtId="0" fontId="4" fillId="16" borderId="10" xfId="0" applyFont="1" applyFill="1" applyBorder="1" applyAlignment="1">
      <alignment horizontal="left"/>
    </xf>
    <xf numFmtId="0" fontId="3" fillId="16" borderId="19" xfId="1" applyFont="1" applyFill="1" applyBorder="1"/>
    <xf numFmtId="0" fontId="3" fillId="16" borderId="11" xfId="1" applyFont="1" applyFill="1" applyBorder="1" applyAlignment="1"/>
    <xf numFmtId="0" fontId="4" fillId="0" borderId="28" xfId="2" applyFont="1" applyFill="1" applyBorder="1" applyAlignment="1" applyProtection="1">
      <alignment horizontal="left" vertical="center" wrapText="1" indent="1"/>
    </xf>
    <xf numFmtId="3" fontId="4" fillId="6" borderId="42" xfId="2" applyNumberFormat="1" applyFont="1" applyFill="1" applyBorder="1" applyAlignment="1" applyProtection="1">
      <alignment horizontal="right" vertical="center" wrapText="1"/>
    </xf>
    <xf numFmtId="0" fontId="4" fillId="6" borderId="18" xfId="1" applyFont="1" applyFill="1" applyBorder="1" applyAlignment="1">
      <alignment horizontal="left"/>
    </xf>
    <xf numFmtId="0" fontId="4" fillId="6" borderId="19" xfId="1" applyFont="1" applyFill="1" applyBorder="1" applyAlignment="1">
      <alignment horizontal="left"/>
    </xf>
    <xf numFmtId="0" fontId="4" fillId="0" borderId="28" xfId="2" applyFont="1" applyFill="1" applyBorder="1" applyAlignment="1" applyProtection="1">
      <alignment horizontal="left" vertical="center" wrapText="1"/>
    </xf>
    <xf numFmtId="0" fontId="4" fillId="0" borderId="10" xfId="2" applyFont="1" applyFill="1" applyBorder="1" applyAlignment="1" applyProtection="1">
      <alignment horizontal="left" vertical="center" wrapText="1"/>
    </xf>
    <xf numFmtId="3" fontId="3" fillId="2" borderId="29" xfId="0" applyNumberFormat="1" applyFont="1" applyFill="1" applyBorder="1" applyAlignment="1" applyProtection="1">
      <alignment horizontal="right" wrapText="1"/>
    </xf>
    <xf numFmtId="3" fontId="3" fillId="2" borderId="29" xfId="1" applyNumberFormat="1" applyFont="1" applyFill="1" applyBorder="1"/>
    <xf numFmtId="165" fontId="3" fillId="0" borderId="41" xfId="1" applyNumberFormat="1" applyFont="1" applyFill="1" applyBorder="1" applyAlignment="1"/>
    <xf numFmtId="165" fontId="3" fillId="0" borderId="44" xfId="1" applyNumberFormat="1" applyFont="1" applyFill="1" applyBorder="1" applyAlignment="1"/>
    <xf numFmtId="168" fontId="3" fillId="0" borderId="44" xfId="1" applyNumberFormat="1" applyFont="1" applyFill="1" applyBorder="1" applyAlignment="1"/>
    <xf numFmtId="49" fontId="3" fillId="3" borderId="28" xfId="1" applyNumberFormat="1" applyFont="1" applyFill="1" applyBorder="1" applyAlignment="1">
      <alignment horizontal="right"/>
    </xf>
    <xf numFmtId="0" fontId="3" fillId="3" borderId="10" xfId="1" applyFont="1" applyFill="1" applyBorder="1" applyAlignment="1">
      <alignment horizontal="left"/>
    </xf>
    <xf numFmtId="0" fontId="3" fillId="3" borderId="11" xfId="1" applyFont="1" applyFill="1" applyBorder="1"/>
    <xf numFmtId="165" fontId="4" fillId="0" borderId="32" xfId="1" applyNumberFormat="1" applyFont="1" applyFill="1" applyBorder="1" applyAlignment="1"/>
    <xf numFmtId="165" fontId="4" fillId="0" borderId="45" xfId="1" applyNumberFormat="1" applyFont="1" applyFill="1" applyBorder="1" applyAlignment="1"/>
    <xf numFmtId="165" fontId="4" fillId="0" borderId="46" xfId="1" applyNumberFormat="1" applyFont="1" applyFill="1" applyBorder="1" applyAlignment="1"/>
    <xf numFmtId="168" fontId="3" fillId="0" borderId="46" xfId="1" applyNumberFormat="1" applyFont="1" applyFill="1" applyBorder="1" applyAlignment="1"/>
    <xf numFmtId="0" fontId="3" fillId="3" borderId="28" xfId="1" applyFont="1" applyFill="1" applyBorder="1" applyAlignment="1">
      <alignment horizontal="right"/>
    </xf>
    <xf numFmtId="3" fontId="3" fillId="0" borderId="51" xfId="1" applyNumberFormat="1" applyFont="1" applyFill="1" applyBorder="1"/>
    <xf numFmtId="16" fontId="4" fillId="0" borderId="33" xfId="2" applyNumberFormat="1" applyFont="1" applyFill="1" applyBorder="1" applyAlignment="1" applyProtection="1">
      <alignment horizontal="right" vertical="center" wrapText="1"/>
    </xf>
    <xf numFmtId="3" fontId="4" fillId="6" borderId="10" xfId="0" applyNumberFormat="1" applyFont="1" applyFill="1" applyBorder="1" applyAlignment="1" applyProtection="1">
      <alignment horizontal="right" vertical="center" wrapText="1"/>
    </xf>
    <xf numFmtId="166" fontId="3" fillId="0" borderId="43" xfId="1" applyNumberFormat="1" applyFont="1" applyFill="1" applyBorder="1"/>
    <xf numFmtId="49" fontId="3" fillId="0" borderId="17" xfId="2" applyNumberFormat="1" applyFont="1" applyFill="1" applyBorder="1" applyAlignment="1" applyProtection="1">
      <alignment horizontal="right" vertical="center" wrapText="1"/>
    </xf>
    <xf numFmtId="3" fontId="3" fillId="2" borderId="18" xfId="0" applyNumberFormat="1" applyFont="1" applyFill="1" applyBorder="1" applyAlignment="1" applyProtection="1">
      <alignment horizontal="right" wrapText="1"/>
    </xf>
    <xf numFmtId="0" fontId="4" fillId="0" borderId="33" xfId="2" applyFont="1" applyFill="1" applyBorder="1" applyAlignment="1" applyProtection="1">
      <alignment horizontal="right" vertical="center" wrapText="1"/>
    </xf>
    <xf numFmtId="3" fontId="3" fillId="0" borderId="40" xfId="1" applyNumberFormat="1" applyFont="1" applyFill="1" applyBorder="1"/>
    <xf numFmtId="3" fontId="3" fillId="2" borderId="10" xfId="0" applyNumberFormat="1" applyFont="1" applyFill="1" applyBorder="1" applyAlignment="1" applyProtection="1">
      <alignment horizontal="right" wrapText="1"/>
    </xf>
    <xf numFmtId="0" fontId="3" fillId="2" borderId="28" xfId="1" applyFont="1" applyFill="1" applyBorder="1"/>
    <xf numFmtId="3" fontId="3" fillId="0" borderId="38" xfId="1" applyNumberFormat="1" applyFont="1" applyFill="1" applyBorder="1"/>
    <xf numFmtId="0" fontId="5" fillId="0" borderId="43" xfId="1" applyFont="1" applyFill="1" applyBorder="1" applyAlignment="1"/>
    <xf numFmtId="49" fontId="3" fillId="0" borderId="43" xfId="1" applyNumberFormat="1" applyFont="1" applyFill="1" applyBorder="1" applyAlignment="1">
      <alignment horizontal="right"/>
    </xf>
    <xf numFmtId="49" fontId="3" fillId="0" borderId="9" xfId="2" applyNumberFormat="1" applyFont="1" applyFill="1" applyBorder="1" applyAlignment="1" applyProtection="1">
      <alignment horizontal="left" vertical="center" wrapText="1" indent="1"/>
    </xf>
    <xf numFmtId="3" fontId="3" fillId="0" borderId="39" xfId="0" applyNumberFormat="1" applyFont="1" applyBorder="1"/>
    <xf numFmtId="0" fontId="3" fillId="0" borderId="39" xfId="0" applyFont="1" applyBorder="1"/>
    <xf numFmtId="3" fontId="3" fillId="0" borderId="28" xfId="0" applyNumberFormat="1" applyFont="1" applyBorder="1"/>
    <xf numFmtId="3" fontId="3" fillId="0" borderId="44" xfId="0" applyNumberFormat="1" applyFont="1" applyBorder="1"/>
    <xf numFmtId="0" fontId="3" fillId="0" borderId="44" xfId="0" applyFont="1" applyBorder="1"/>
    <xf numFmtId="0" fontId="3" fillId="0" borderId="13" xfId="0" applyFont="1" applyBorder="1"/>
    <xf numFmtId="3" fontId="3" fillId="6" borderId="44" xfId="0" applyNumberFormat="1" applyFont="1" applyFill="1" applyBorder="1" applyAlignment="1">
      <alignment horizontal="right"/>
    </xf>
    <xf numFmtId="0" fontId="3" fillId="6" borderId="29" xfId="0" applyFont="1" applyFill="1" applyBorder="1"/>
    <xf numFmtId="3" fontId="4" fillId="0" borderId="44" xfId="0" applyNumberFormat="1" applyFont="1" applyBorder="1"/>
    <xf numFmtId="3" fontId="3" fillId="6" borderId="21" xfId="1" applyNumberFormat="1" applyFont="1" applyFill="1" applyBorder="1"/>
    <xf numFmtId="0" fontId="3" fillId="2" borderId="9" xfId="0" applyFont="1" applyFill="1" applyBorder="1" applyAlignment="1">
      <alignment horizontal="center"/>
    </xf>
    <xf numFmtId="3" fontId="4" fillId="0" borderId="39" xfId="1" applyNumberFormat="1" applyFont="1" applyFill="1" applyBorder="1"/>
    <xf numFmtId="3" fontId="4" fillId="0" borderId="42" xfId="1" applyNumberFormat="1" applyFont="1" applyFill="1" applyBorder="1"/>
    <xf numFmtId="167" fontId="3" fillId="0" borderId="44" xfId="0" applyNumberFormat="1" applyFont="1" applyBorder="1"/>
    <xf numFmtId="167" fontId="3" fillId="0" borderId="28" xfId="0" applyNumberFormat="1" applyFont="1" applyBorder="1"/>
    <xf numFmtId="49" fontId="3" fillId="0" borderId="17" xfId="2" applyNumberFormat="1" applyFont="1" applyFill="1" applyBorder="1" applyAlignment="1" applyProtection="1">
      <alignment horizontal="left" vertical="center" wrapText="1" indent="1"/>
    </xf>
    <xf numFmtId="3" fontId="4" fillId="0" borderId="45" xfId="0" applyNumberFormat="1" applyFont="1" applyBorder="1"/>
    <xf numFmtId="3" fontId="3" fillId="0" borderId="24" xfId="1" applyNumberFormat="1" applyFont="1" applyFill="1" applyBorder="1"/>
    <xf numFmtId="3" fontId="4" fillId="0" borderId="24" xfId="1" applyNumberFormat="1" applyFont="1" applyFill="1" applyBorder="1"/>
    <xf numFmtId="167" fontId="3" fillId="0" borderId="45" xfId="0" applyNumberFormat="1" applyFont="1" applyBorder="1"/>
    <xf numFmtId="3" fontId="4" fillId="0" borderId="51" xfId="1" applyNumberFormat="1" applyFont="1" applyFill="1" applyBorder="1"/>
    <xf numFmtId="3" fontId="3" fillId="6" borderId="24" xfId="0" applyNumberFormat="1" applyFont="1" applyFill="1" applyBorder="1" applyAlignment="1" applyProtection="1">
      <alignment horizontal="right" wrapText="1"/>
    </xf>
    <xf numFmtId="3" fontId="3" fillId="0" borderId="29" xfId="1" applyNumberFormat="1" applyFont="1" applyFill="1" applyBorder="1"/>
    <xf numFmtId="166" fontId="3" fillId="0" borderId="55" xfId="1" applyNumberFormat="1" applyFont="1" applyFill="1" applyBorder="1"/>
    <xf numFmtId="0" fontId="7" fillId="15" borderId="17" xfId="0" applyFont="1" applyFill="1" applyBorder="1"/>
    <xf numFmtId="0" fontId="3" fillId="15" borderId="11" xfId="1" applyFont="1" applyFill="1" applyBorder="1" applyAlignment="1">
      <alignment horizontal="left"/>
    </xf>
    <xf numFmtId="0" fontId="4" fillId="15" borderId="11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right"/>
    </xf>
    <xf numFmtId="3" fontId="3" fillId="0" borderId="55" xfId="1" applyNumberFormat="1" applyFont="1" applyFill="1" applyBorder="1"/>
    <xf numFmtId="3" fontId="3" fillId="0" borderId="54" xfId="1" applyNumberFormat="1" applyFont="1" applyFill="1" applyBorder="1"/>
    <xf numFmtId="0" fontId="5" fillId="9" borderId="9" xfId="1" applyFont="1" applyFill="1" applyBorder="1" applyAlignment="1"/>
    <xf numFmtId="0" fontId="5" fillId="9" borderId="28" xfId="1" applyFont="1" applyFill="1" applyBorder="1" applyAlignment="1"/>
    <xf numFmtId="0" fontId="5" fillId="6" borderId="10" xfId="1" applyFont="1" applyFill="1" applyBorder="1" applyAlignment="1"/>
    <xf numFmtId="16" fontId="4" fillId="0" borderId="10" xfId="1" applyNumberFormat="1" applyFont="1" applyBorder="1" applyAlignment="1">
      <alignment horizontal="right"/>
    </xf>
    <xf numFmtId="0" fontId="4" fillId="0" borderId="43" xfId="1" applyFont="1" applyBorder="1" applyAlignment="1"/>
    <xf numFmtId="3" fontId="4" fillId="6" borderId="11" xfId="1" applyNumberFormat="1" applyFont="1" applyFill="1" applyBorder="1" applyAlignment="1">
      <alignment horizontal="right"/>
    </xf>
    <xf numFmtId="3" fontId="3" fillId="6" borderId="11" xfId="1" applyNumberFormat="1" applyFont="1" applyFill="1" applyBorder="1" applyAlignment="1">
      <alignment horizontal="right" wrapText="1"/>
    </xf>
    <xf numFmtId="3" fontId="3" fillId="6" borderId="11" xfId="1" applyNumberFormat="1" applyFont="1" applyFill="1" applyBorder="1" applyAlignment="1">
      <alignment horizontal="right"/>
    </xf>
    <xf numFmtId="0" fontId="3" fillId="0" borderId="0" xfId="1" applyFont="1" applyBorder="1"/>
    <xf numFmtId="0" fontId="3" fillId="0" borderId="43" xfId="1" applyFont="1" applyFill="1" applyBorder="1"/>
    <xf numFmtId="0" fontId="4" fillId="0" borderId="43" xfId="1" applyFont="1" applyBorder="1"/>
    <xf numFmtId="0" fontId="3" fillId="0" borderId="43" xfId="1" applyFont="1" applyBorder="1"/>
    <xf numFmtId="3" fontId="3" fillId="6" borderId="0" xfId="0" applyNumberFormat="1" applyFont="1" applyFill="1" applyBorder="1" applyAlignment="1">
      <alignment horizontal="right"/>
    </xf>
    <xf numFmtId="0" fontId="3" fillId="0" borderId="43" xfId="1" applyFont="1" applyBorder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0" fontId="4" fillId="0" borderId="43" xfId="1" applyFont="1" applyFill="1" applyBorder="1" applyAlignment="1">
      <alignment horizontal="left"/>
    </xf>
    <xf numFmtId="3" fontId="3" fillId="6" borderId="11" xfId="0" applyNumberFormat="1" applyFont="1" applyFill="1" applyBorder="1" applyAlignment="1" applyProtection="1">
      <alignment horizontal="right" wrapText="1"/>
    </xf>
    <xf numFmtId="0" fontId="4" fillId="0" borderId="28" xfId="0" applyFont="1" applyBorder="1"/>
    <xf numFmtId="0" fontId="4" fillId="0" borderId="43" xfId="1" applyFont="1" applyBorder="1" applyAlignment="1">
      <alignment horizontal="center"/>
    </xf>
    <xf numFmtId="3" fontId="4" fillId="6" borderId="11" xfId="1" applyNumberFormat="1" applyFont="1" applyFill="1" applyBorder="1" applyAlignment="1">
      <alignment horizontal="right" wrapText="1"/>
    </xf>
    <xf numFmtId="49" fontId="3" fillId="0" borderId="43" xfId="1" applyNumberFormat="1" applyFont="1" applyFill="1" applyBorder="1" applyAlignment="1">
      <alignment horizontal="left"/>
    </xf>
    <xf numFmtId="3" fontId="4" fillId="6" borderId="7" xfId="1" applyNumberFormat="1" applyFont="1" applyFill="1" applyBorder="1" applyAlignment="1">
      <alignment horizontal="right"/>
    </xf>
    <xf numFmtId="0" fontId="4" fillId="0" borderId="43" xfId="1" applyFont="1" applyBorder="1" applyAlignment="1">
      <alignment horizontal="left"/>
    </xf>
    <xf numFmtId="3" fontId="3" fillId="6" borderId="11" xfId="0" applyNumberFormat="1" applyFont="1" applyFill="1" applyBorder="1" applyAlignment="1">
      <alignment horizontal="right"/>
    </xf>
    <xf numFmtId="0" fontId="3" fillId="0" borderId="41" xfId="0" applyFont="1" applyFill="1" applyBorder="1"/>
    <xf numFmtId="3" fontId="3" fillId="0" borderId="19" xfId="1" applyNumberFormat="1" applyFont="1" applyBorder="1" applyAlignment="1"/>
    <xf numFmtId="3" fontId="4" fillId="0" borderId="40" xfId="1" applyNumberFormat="1" applyFont="1" applyFill="1" applyBorder="1"/>
    <xf numFmtId="49" fontId="3" fillId="0" borderId="40" xfId="1" applyNumberFormat="1" applyFont="1" applyBorder="1" applyAlignment="1">
      <alignment horizontal="right"/>
    </xf>
    <xf numFmtId="3" fontId="4" fillId="0" borderId="55" xfId="1" applyNumberFormat="1" applyFont="1" applyFill="1" applyBorder="1"/>
    <xf numFmtId="0" fontId="3" fillId="0" borderId="40" xfId="1" applyFont="1" applyBorder="1"/>
    <xf numFmtId="3" fontId="4" fillId="0" borderId="54" xfId="1" applyNumberFormat="1" applyFont="1" applyFill="1" applyBorder="1"/>
    <xf numFmtId="166" fontId="4" fillId="0" borderId="0" xfId="1" applyNumberFormat="1" applyFont="1" applyFill="1" applyBorder="1"/>
    <xf numFmtId="3" fontId="5" fillId="6" borderId="47" xfId="1" applyNumberFormat="1" applyFont="1" applyFill="1" applyBorder="1" applyAlignment="1">
      <alignment horizontal="right"/>
    </xf>
    <xf numFmtId="3" fontId="7" fillId="0" borderId="47" xfId="1" applyNumberFormat="1" applyFont="1" applyFill="1" applyBorder="1"/>
    <xf numFmtId="0" fontId="5" fillId="11" borderId="47" xfId="1" applyFont="1" applyFill="1" applyBorder="1" applyAlignment="1"/>
    <xf numFmtId="3" fontId="5" fillId="6" borderId="53" xfId="1" applyNumberFormat="1" applyFont="1" applyFill="1" applyBorder="1" applyAlignment="1">
      <alignment horizontal="right"/>
    </xf>
    <xf numFmtId="0" fontId="5" fillId="6" borderId="53" xfId="1" applyFont="1" applyFill="1" applyBorder="1" applyAlignment="1"/>
    <xf numFmtId="3" fontId="7" fillId="0" borderId="28" xfId="0" applyNumberFormat="1" applyFont="1" applyBorder="1"/>
    <xf numFmtId="0" fontId="7" fillId="0" borderId="28" xfId="0" applyFont="1" applyBorder="1"/>
    <xf numFmtId="0" fontId="7" fillId="0" borderId="0" xfId="0" applyFont="1"/>
    <xf numFmtId="3" fontId="3" fillId="3" borderId="28" xfId="1" applyNumberFormat="1" applyFont="1" applyFill="1" applyBorder="1"/>
    <xf numFmtId="3" fontId="3" fillId="3" borderId="0" xfId="0" applyNumberFormat="1" applyFont="1" applyFill="1"/>
    <xf numFmtId="0" fontId="3" fillId="3" borderId="0" xfId="0" applyFont="1" applyFill="1"/>
    <xf numFmtId="3" fontId="3" fillId="0" borderId="0" xfId="0" applyNumberFormat="1" applyFont="1" applyFill="1"/>
    <xf numFmtId="3" fontId="4" fillId="6" borderId="28" xfId="0" applyNumberFormat="1" applyFont="1" applyFill="1" applyBorder="1" applyAlignment="1">
      <alignment horizontal="right" wrapText="1"/>
    </xf>
    <xf numFmtId="167" fontId="3" fillId="0" borderId="39" xfId="0" applyNumberFormat="1" applyFont="1" applyBorder="1"/>
    <xf numFmtId="0" fontId="3" fillId="0" borderId="48" xfId="1" applyFont="1" applyBorder="1" applyAlignment="1">
      <alignment horizontal="center"/>
    </xf>
    <xf numFmtId="49" fontId="4" fillId="0" borderId="39" xfId="1" applyNumberFormat="1" applyFont="1" applyBorder="1" applyAlignment="1">
      <alignment horizontal="right"/>
    </xf>
    <xf numFmtId="0" fontId="4" fillId="0" borderId="42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23" xfId="1" applyFont="1" applyFill="1" applyBorder="1" applyAlignment="1">
      <alignment horizontal="left"/>
    </xf>
    <xf numFmtId="0" fontId="4" fillId="0" borderId="44" xfId="1" applyFont="1" applyFill="1" applyBorder="1" applyAlignment="1">
      <alignment horizontal="left"/>
    </xf>
    <xf numFmtId="0" fontId="3" fillId="0" borderId="0" xfId="0" applyFont="1" applyFill="1"/>
    <xf numFmtId="3" fontId="3" fillId="6" borderId="0" xfId="0" applyNumberFormat="1" applyFont="1" applyFill="1"/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right" vertical="center" wrapText="1" indent="1"/>
    </xf>
    <xf numFmtId="3" fontId="4" fillId="0" borderId="22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" fontId="4" fillId="0" borderId="6" xfId="1" applyNumberFormat="1" applyFont="1" applyBorder="1" applyAlignment="1"/>
    <xf numFmtId="0" fontId="4" fillId="0" borderId="7" xfId="1" applyFont="1" applyBorder="1" applyAlignment="1"/>
    <xf numFmtId="3" fontId="4" fillId="0" borderId="52" xfId="1" applyNumberFormat="1" applyFont="1" applyBorder="1" applyAlignment="1">
      <alignment horizontal="right"/>
    </xf>
    <xf numFmtId="3" fontId="4" fillId="0" borderId="52" xfId="1" applyNumberFormat="1" applyFont="1" applyFill="1" applyBorder="1"/>
    <xf numFmtId="167" fontId="3" fillId="0" borderId="52" xfId="0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right"/>
    </xf>
    <xf numFmtId="3" fontId="3" fillId="0" borderId="12" xfId="1" applyNumberFormat="1" applyFont="1" applyFill="1" applyBorder="1" applyAlignment="1">
      <alignment horizontal="right" wrapText="1"/>
    </xf>
    <xf numFmtId="3" fontId="3" fillId="0" borderId="12" xfId="1" applyNumberFormat="1" applyFont="1" applyFill="1" applyBorder="1"/>
    <xf numFmtId="3" fontId="3" fillId="0" borderId="12" xfId="0" applyNumberFormat="1" applyFont="1" applyFill="1" applyBorder="1" applyAlignment="1">
      <alignment vertical="center" wrapText="1"/>
    </xf>
    <xf numFmtId="167" fontId="3" fillId="0" borderId="12" xfId="0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right"/>
    </xf>
    <xf numFmtId="49" fontId="3" fillId="0" borderId="13" xfId="0" applyNumberFormat="1" applyFont="1" applyBorder="1" applyAlignment="1">
      <alignment horizontal="right"/>
    </xf>
    <xf numFmtId="3" fontId="3" fillId="0" borderId="12" xfId="1" applyNumberFormat="1" applyFont="1" applyFill="1" applyBorder="1" applyAlignment="1">
      <alignment horizontal="right"/>
    </xf>
    <xf numFmtId="49" fontId="3" fillId="0" borderId="14" xfId="1" applyNumberFormat="1" applyFont="1" applyFill="1" applyBorder="1" applyAlignment="1">
      <alignment horizontal="right"/>
    </xf>
    <xf numFmtId="3" fontId="4" fillId="0" borderId="12" xfId="1" applyNumberFormat="1" applyFont="1" applyBorder="1" applyAlignment="1">
      <alignment horizontal="right"/>
    </xf>
    <xf numFmtId="3" fontId="4" fillId="0" borderId="12" xfId="1" applyNumberFormat="1" applyFont="1" applyFill="1" applyBorder="1"/>
    <xf numFmtId="3" fontId="3" fillId="0" borderId="12" xfId="1" applyNumberFormat="1" applyFont="1" applyBorder="1" applyAlignment="1">
      <alignment horizontal="right"/>
    </xf>
    <xf numFmtId="49" fontId="3" fillId="0" borderId="15" xfId="1" applyNumberFormat="1" applyFont="1" applyFill="1" applyBorder="1" applyAlignment="1">
      <alignment horizontal="right"/>
    </xf>
    <xf numFmtId="3" fontId="3" fillId="0" borderId="27" xfId="0" applyNumberFormat="1" applyFont="1" applyBorder="1" applyAlignment="1">
      <alignment horizontal="right"/>
    </xf>
    <xf numFmtId="3" fontId="6" fillId="0" borderId="12" xfId="1" applyNumberFormat="1" applyFont="1" applyBorder="1" applyAlignment="1">
      <alignment horizontal="right"/>
    </xf>
    <xf numFmtId="3" fontId="6" fillId="6" borderId="12" xfId="1" applyNumberFormat="1" applyFont="1" applyFill="1" applyBorder="1"/>
    <xf numFmtId="3" fontId="6" fillId="0" borderId="12" xfId="0" applyNumberFormat="1" applyFont="1" applyFill="1" applyBorder="1" applyAlignment="1">
      <alignment vertical="center" wrapText="1"/>
    </xf>
    <xf numFmtId="3" fontId="6" fillId="6" borderId="12" xfId="1" applyNumberFormat="1" applyFont="1" applyFill="1" applyBorder="1" applyAlignment="1">
      <alignment horizontal="right"/>
    </xf>
    <xf numFmtId="3" fontId="6" fillId="6" borderId="12" xfId="0" applyNumberFormat="1" applyFont="1" applyFill="1" applyBorder="1" applyAlignment="1">
      <alignment vertical="center" wrapText="1"/>
    </xf>
    <xf numFmtId="3" fontId="3" fillId="0" borderId="12" xfId="0" applyNumberFormat="1" applyFont="1" applyBorder="1" applyAlignment="1" applyProtection="1">
      <alignment horizontal="right" wrapText="1"/>
    </xf>
    <xf numFmtId="3" fontId="3" fillId="0" borderId="12" xfId="0" applyNumberFormat="1" applyFont="1" applyFill="1" applyBorder="1" applyAlignment="1">
      <alignment wrapText="1"/>
    </xf>
    <xf numFmtId="3" fontId="4" fillId="0" borderId="12" xfId="1" applyNumberFormat="1" applyFont="1" applyFill="1" applyBorder="1" applyAlignment="1">
      <alignment horizontal="right" wrapText="1"/>
    </xf>
    <xf numFmtId="0" fontId="4" fillId="0" borderId="13" xfId="0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3" fontId="3" fillId="0" borderId="17" xfId="1" applyNumberFormat="1" applyFont="1" applyFill="1" applyBorder="1" applyAlignment="1">
      <alignment horizontal="right"/>
    </xf>
    <xf numFmtId="0" fontId="3" fillId="0" borderId="17" xfId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vertical="center" wrapText="1"/>
    </xf>
    <xf numFmtId="49" fontId="3" fillId="0" borderId="17" xfId="1" applyNumberFormat="1" applyFont="1" applyBorder="1" applyAlignment="1">
      <alignment horizontal="right"/>
    </xf>
    <xf numFmtId="49" fontId="4" fillId="0" borderId="17" xfId="1" applyNumberFormat="1" applyFont="1" applyBorder="1" applyAlignment="1">
      <alignment horizontal="right"/>
    </xf>
    <xf numFmtId="3" fontId="4" fillId="0" borderId="12" xfId="0" applyNumberFormat="1" applyFont="1" applyFill="1" applyBorder="1" applyAlignment="1">
      <alignment horizontal="center" vertical="center" wrapText="1"/>
    </xf>
    <xf numFmtId="3" fontId="4" fillId="0" borderId="20" xfId="1" applyNumberFormat="1" applyFont="1" applyBorder="1" applyAlignment="1">
      <alignment horizontal="right"/>
    </xf>
    <xf numFmtId="3" fontId="3" fillId="0" borderId="20" xfId="1" applyNumberFormat="1" applyFont="1" applyFill="1" applyBorder="1"/>
    <xf numFmtId="167" fontId="3" fillId="0" borderId="31" xfId="0" applyNumberFormat="1" applyFont="1" applyFill="1" applyBorder="1" applyAlignment="1">
      <alignment horizontal="center" vertical="center" wrapText="1"/>
    </xf>
    <xf numFmtId="0" fontId="3" fillId="0" borderId="21" xfId="1" applyFont="1" applyBorder="1"/>
    <xf numFmtId="0" fontId="3" fillId="0" borderId="3" xfId="1" applyFont="1" applyBorder="1"/>
    <xf numFmtId="3" fontId="4" fillId="0" borderId="22" xfId="1" applyNumberFormat="1" applyFont="1" applyBorder="1" applyAlignment="1">
      <alignment horizontal="right"/>
    </xf>
    <xf numFmtId="3" fontId="4" fillId="0" borderId="22" xfId="1" applyNumberFormat="1" applyFont="1" applyFill="1" applyBorder="1"/>
    <xf numFmtId="0" fontId="4" fillId="0" borderId="24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25" xfId="1" applyFont="1" applyFill="1" applyBorder="1" applyAlignment="1">
      <alignment horizontal="left"/>
    </xf>
    <xf numFmtId="3" fontId="4" fillId="0" borderId="26" xfId="1" applyNumberFormat="1" applyFont="1" applyFill="1" applyBorder="1" applyAlignment="1">
      <alignment horizontal="right"/>
    </xf>
    <xf numFmtId="3" fontId="4" fillId="0" borderId="26" xfId="1" applyNumberFormat="1" applyFont="1" applyFill="1" applyBorder="1"/>
    <xf numFmtId="0" fontId="5" fillId="0" borderId="6" xfId="1" applyFont="1" applyBorder="1" applyAlignment="1"/>
    <xf numFmtId="0" fontId="5" fillId="0" borderId="7" xfId="1" applyFont="1" applyBorder="1" applyAlignment="1"/>
    <xf numFmtId="0" fontId="5" fillId="0" borderId="52" xfId="1" applyFont="1" applyBorder="1" applyAlignment="1"/>
    <xf numFmtId="3" fontId="3" fillId="0" borderId="52" xfId="0" applyNumberFormat="1" applyFont="1" applyFill="1" applyBorder="1" applyAlignment="1">
      <alignment vertical="center" wrapText="1"/>
    </xf>
    <xf numFmtId="0" fontId="3" fillId="0" borderId="52" xfId="0" applyFont="1" applyFill="1" applyBorder="1" applyAlignment="1">
      <alignment vertical="center" wrapText="1"/>
    </xf>
    <xf numFmtId="167" fontId="3" fillId="0" borderId="12" xfId="0" applyNumberFormat="1" applyFont="1" applyFill="1" applyBorder="1" applyAlignment="1">
      <alignment vertical="center" wrapText="1"/>
    </xf>
    <xf numFmtId="3" fontId="3" fillId="3" borderId="12" xfId="1" applyNumberFormat="1" applyFont="1" applyFill="1" applyBorder="1"/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>
      <alignment vertical="center" wrapText="1"/>
    </xf>
    <xf numFmtId="3" fontId="3" fillId="0" borderId="27" xfId="0" applyNumberFormat="1" applyFont="1" applyFill="1" applyBorder="1" applyAlignment="1">
      <alignment horizontal="right" vertical="center" wrapText="1"/>
    </xf>
    <xf numFmtId="0" fontId="3" fillId="0" borderId="27" xfId="0" applyFont="1" applyFill="1" applyBorder="1" applyAlignment="1">
      <alignment vertical="center" wrapText="1"/>
    </xf>
    <xf numFmtId="49" fontId="3" fillId="0" borderId="23" xfId="1" applyNumberFormat="1" applyFont="1" applyBorder="1" applyAlignment="1">
      <alignment horizontal="right"/>
    </xf>
    <xf numFmtId="0" fontId="3" fillId="0" borderId="30" xfId="1" applyFont="1" applyBorder="1" applyAlignment="1">
      <alignment horizontal="left"/>
    </xf>
    <xf numFmtId="3" fontId="4" fillId="0" borderId="31" xfId="1" applyNumberFormat="1" applyFont="1" applyBorder="1" applyAlignment="1">
      <alignment horizontal="right"/>
    </xf>
    <xf numFmtId="3" fontId="4" fillId="0" borderId="31" xfId="1" applyNumberFormat="1" applyFont="1" applyFill="1" applyBorder="1"/>
    <xf numFmtId="167" fontId="3" fillId="0" borderId="31" xfId="0" applyNumberFormat="1" applyFont="1" applyFill="1" applyBorder="1" applyAlignment="1">
      <alignment vertical="center" wrapText="1"/>
    </xf>
    <xf numFmtId="3" fontId="4" fillId="0" borderId="8" xfId="1" applyNumberFormat="1" applyFont="1" applyBorder="1" applyAlignment="1">
      <alignment horizontal="right"/>
    </xf>
    <xf numFmtId="167" fontId="3" fillId="0" borderId="52" xfId="0" applyNumberFormat="1" applyFont="1" applyFill="1" applyBorder="1" applyAlignment="1">
      <alignment vertical="center" wrapText="1"/>
    </xf>
    <xf numFmtId="49" fontId="5" fillId="0" borderId="11" xfId="1" applyNumberFormat="1" applyFont="1" applyBorder="1" applyAlignment="1"/>
    <xf numFmtId="3" fontId="5" fillId="0" borderId="20" xfId="1" applyNumberFormat="1" applyFont="1" applyBorder="1" applyAlignment="1">
      <alignment horizontal="right"/>
    </xf>
    <xf numFmtId="0" fontId="4" fillId="0" borderId="2" xfId="1" applyFont="1" applyBorder="1" applyAlignment="1"/>
    <xf numFmtId="49" fontId="3" fillId="0" borderId="32" xfId="1" applyNumberFormat="1" applyFont="1" applyBorder="1" applyAlignment="1">
      <alignment horizontal="right"/>
    </xf>
    <xf numFmtId="0" fontId="3" fillId="0" borderId="21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4" fillId="0" borderId="33" xfId="1" applyFont="1" applyFill="1" applyBorder="1" applyAlignment="1">
      <alignment horizontal="left"/>
    </xf>
    <xf numFmtId="0" fontId="3" fillId="0" borderId="3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right" vertical="center" wrapText="1" indent="1"/>
    </xf>
    <xf numFmtId="0" fontId="3" fillId="0" borderId="3" xfId="0" applyFont="1" applyFill="1" applyBorder="1" applyAlignment="1">
      <alignment vertical="center" wrapText="1"/>
    </xf>
    <xf numFmtId="3" fontId="4" fillId="0" borderId="22" xfId="0" applyNumberFormat="1" applyFont="1" applyFill="1" applyBorder="1" applyAlignment="1">
      <alignment horizontal="right" vertical="center" wrapText="1"/>
    </xf>
    <xf numFmtId="3" fontId="4" fillId="0" borderId="22" xfId="0" applyNumberFormat="1" applyFont="1" applyFill="1" applyBorder="1" applyAlignment="1">
      <alignment vertical="center" wrapText="1"/>
    </xf>
    <xf numFmtId="3" fontId="3" fillId="0" borderId="18" xfId="1" applyNumberFormat="1" applyFont="1" applyBorder="1" applyAlignment="1">
      <alignment horizontal="center" wrapText="1"/>
    </xf>
    <xf numFmtId="3" fontId="3" fillId="0" borderId="40" xfId="1" applyNumberFormat="1" applyFont="1" applyBorder="1" applyAlignment="1">
      <alignment horizontal="center" wrapText="1"/>
    </xf>
    <xf numFmtId="3" fontId="3" fillId="0" borderId="16" xfId="1" applyNumberFormat="1" applyFont="1" applyBorder="1" applyAlignment="1">
      <alignment horizontal="center" wrapText="1"/>
    </xf>
    <xf numFmtId="3" fontId="3" fillId="0" borderId="51" xfId="1" applyNumberFormat="1" applyFont="1" applyBorder="1" applyAlignment="1">
      <alignment horizontal="center" wrapText="1"/>
    </xf>
    <xf numFmtId="3" fontId="3" fillId="0" borderId="42" xfId="1" applyNumberFormat="1" applyFont="1" applyBorder="1" applyAlignment="1">
      <alignment horizontal="center" wrapText="1"/>
    </xf>
    <xf numFmtId="3" fontId="3" fillId="0" borderId="38" xfId="1" applyNumberFormat="1" applyFont="1" applyBorder="1" applyAlignment="1">
      <alignment horizontal="center" wrapText="1"/>
    </xf>
    <xf numFmtId="0" fontId="4" fillId="13" borderId="10" xfId="1" applyFont="1" applyFill="1" applyBorder="1" applyAlignment="1">
      <alignment horizontal="left"/>
    </xf>
    <xf numFmtId="0" fontId="4" fillId="13" borderId="11" xfId="1" applyFont="1" applyFill="1" applyBorder="1" applyAlignment="1">
      <alignment horizontal="left"/>
    </xf>
    <xf numFmtId="0" fontId="4" fillId="13" borderId="43" xfId="1" applyFont="1" applyFill="1" applyBorder="1" applyAlignment="1">
      <alignment horizontal="left"/>
    </xf>
    <xf numFmtId="0" fontId="3" fillId="0" borderId="10" xfId="0" applyFont="1" applyBorder="1" applyAlignment="1" applyProtection="1">
      <alignment horizontal="left" wrapText="1"/>
    </xf>
    <xf numFmtId="0" fontId="3" fillId="0" borderId="11" xfId="0" applyFont="1" applyBorder="1" applyAlignment="1" applyProtection="1">
      <alignment horizontal="left" wrapText="1"/>
    </xf>
    <xf numFmtId="0" fontId="3" fillId="0" borderId="10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3" fillId="0" borderId="43" xfId="0" applyFont="1" applyBorder="1" applyAlignment="1" applyProtection="1">
      <alignment horizontal="left" wrapText="1"/>
    </xf>
    <xf numFmtId="0" fontId="4" fillId="14" borderId="10" xfId="1" applyFont="1" applyFill="1" applyBorder="1" applyAlignment="1">
      <alignment horizontal="left"/>
    </xf>
    <xf numFmtId="0" fontId="4" fillId="14" borderId="11" xfId="1" applyFont="1" applyFill="1" applyBorder="1" applyAlignment="1">
      <alignment horizontal="left"/>
    </xf>
    <xf numFmtId="0" fontId="3" fillId="0" borderId="42" xfId="1" applyFont="1" applyFill="1" applyBorder="1" applyAlignment="1">
      <alignment horizontal="left"/>
    </xf>
    <xf numFmtId="0" fontId="3" fillId="0" borderId="7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left"/>
    </xf>
    <xf numFmtId="0" fontId="4" fillId="5" borderId="11" xfId="1" applyFont="1" applyFill="1" applyBorder="1" applyAlignment="1">
      <alignment horizontal="left"/>
    </xf>
    <xf numFmtId="0" fontId="3" fillId="0" borderId="28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0" fontId="4" fillId="0" borderId="10" xfId="1" applyFont="1" applyFill="1" applyBorder="1" applyAlignment="1">
      <alignment horizontal="left" wrapText="1"/>
    </xf>
    <xf numFmtId="0" fontId="4" fillId="0" borderId="11" xfId="1" applyFont="1" applyFill="1" applyBorder="1" applyAlignment="1">
      <alignment horizontal="left" wrapText="1"/>
    </xf>
    <xf numFmtId="0" fontId="4" fillId="7" borderId="10" xfId="1" applyFont="1" applyFill="1" applyBorder="1" applyAlignment="1">
      <alignment horizontal="left"/>
    </xf>
    <xf numFmtId="0" fontId="4" fillId="7" borderId="11" xfId="1" applyFont="1" applyFill="1" applyBorder="1" applyAlignment="1">
      <alignment horizontal="left"/>
    </xf>
    <xf numFmtId="0" fontId="4" fillId="0" borderId="28" xfId="2" applyFont="1" applyFill="1" applyBorder="1" applyAlignment="1" applyProtection="1">
      <alignment horizontal="left" vertical="center" wrapText="1"/>
    </xf>
    <xf numFmtId="0" fontId="4" fillId="0" borderId="10" xfId="2" applyFont="1" applyFill="1" applyBorder="1" applyAlignment="1" applyProtection="1">
      <alignment horizontal="left" vertical="center" wrapText="1"/>
    </xf>
    <xf numFmtId="0" fontId="3" fillId="0" borderId="28" xfId="0" applyFont="1" applyBorder="1" applyAlignment="1" applyProtection="1">
      <alignment horizontal="left" wrapText="1"/>
    </xf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4" fillId="5" borderId="10" xfId="1" applyFont="1" applyFill="1" applyBorder="1" applyAlignment="1">
      <alignment horizontal="left" wrapText="1"/>
    </xf>
    <xf numFmtId="0" fontId="4" fillId="5" borderId="11" xfId="1" applyFont="1" applyFill="1" applyBorder="1" applyAlignment="1">
      <alignment horizontal="left" wrapText="1"/>
    </xf>
    <xf numFmtId="0" fontId="4" fillId="0" borderId="23" xfId="1" applyFont="1" applyFill="1" applyBorder="1" applyAlignment="1">
      <alignment horizontal="left"/>
    </xf>
    <xf numFmtId="0" fontId="4" fillId="0" borderId="44" xfId="1" applyFont="1" applyFill="1" applyBorder="1" applyAlignment="1">
      <alignment horizontal="left"/>
    </xf>
    <xf numFmtId="0" fontId="4" fillId="0" borderId="29" xfId="1" applyFont="1" applyFill="1" applyBorder="1" applyAlignment="1">
      <alignment horizontal="left"/>
    </xf>
    <xf numFmtId="0" fontId="4" fillId="0" borderId="43" xfId="1" applyFont="1" applyBorder="1" applyAlignment="1">
      <alignment horizontal="left"/>
    </xf>
    <xf numFmtId="0" fontId="3" fillId="0" borderId="43" xfId="1" applyFont="1" applyBorder="1" applyAlignment="1">
      <alignment horizontal="left"/>
    </xf>
    <xf numFmtId="0" fontId="4" fillId="0" borderId="28" xfId="1" applyFont="1" applyBorder="1" applyAlignment="1">
      <alignment horizontal="left"/>
    </xf>
    <xf numFmtId="0" fontId="3" fillId="0" borderId="43" xfId="1" applyFont="1" applyFill="1" applyBorder="1" applyAlignment="1">
      <alignment horizontal="left"/>
    </xf>
    <xf numFmtId="0" fontId="3" fillId="3" borderId="28" xfId="0" applyFont="1" applyFill="1" applyBorder="1" applyAlignment="1" applyProtection="1">
      <alignment horizontal="left" wrapText="1"/>
    </xf>
    <xf numFmtId="0" fontId="3" fillId="3" borderId="10" xfId="0" applyFont="1" applyFill="1" applyBorder="1" applyAlignment="1" applyProtection="1">
      <alignment horizontal="left" wrapText="1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0" fontId="3" fillId="0" borderId="43" xfId="1" applyFont="1" applyFill="1" applyBorder="1" applyAlignment="1">
      <alignment horizontal="left" wrapText="1"/>
    </xf>
    <xf numFmtId="0" fontId="4" fillId="0" borderId="43" xfId="1" applyFont="1" applyFill="1" applyBorder="1" applyAlignment="1">
      <alignment horizontal="left" wrapText="1"/>
    </xf>
    <xf numFmtId="49" fontId="3" fillId="0" borderId="10" xfId="1" applyNumberFormat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43" xfId="1" applyNumberFormat="1" applyFont="1" applyFill="1" applyBorder="1" applyAlignment="1">
      <alignment horizontal="left"/>
    </xf>
    <xf numFmtId="49" fontId="4" fillId="0" borderId="10" xfId="1" applyNumberFormat="1" applyFont="1" applyBorder="1" applyAlignment="1">
      <alignment horizontal="left"/>
    </xf>
    <xf numFmtId="49" fontId="4" fillId="0" borderId="11" xfId="1" applyNumberFormat="1" applyFont="1" applyBorder="1" applyAlignment="1">
      <alignment horizontal="left"/>
    </xf>
    <xf numFmtId="49" fontId="4" fillId="0" borderId="43" xfId="1" applyNumberFormat="1" applyFont="1" applyBorder="1" applyAlignment="1">
      <alignment horizontal="left"/>
    </xf>
    <xf numFmtId="0" fontId="5" fillId="0" borderId="10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49" fontId="5" fillId="0" borderId="10" xfId="1" applyNumberFormat="1" applyFont="1" applyBorder="1" applyAlignment="1">
      <alignment horizontal="left"/>
    </xf>
    <xf numFmtId="49" fontId="5" fillId="0" borderId="11" xfId="1" applyNumberFormat="1" applyFont="1" applyBorder="1" applyAlignment="1">
      <alignment horizontal="left"/>
    </xf>
    <xf numFmtId="0" fontId="4" fillId="3" borderId="9" xfId="1" applyFont="1" applyFill="1" applyBorder="1" applyAlignment="1">
      <alignment horizontal="left"/>
    </xf>
    <xf numFmtId="0" fontId="4" fillId="3" borderId="28" xfId="1" applyFont="1" applyFill="1" applyBorder="1" applyAlignment="1">
      <alignment horizontal="left"/>
    </xf>
    <xf numFmtId="0" fontId="4" fillId="3" borderId="10" xfId="1" applyFont="1" applyFill="1" applyBorder="1" applyAlignment="1">
      <alignment horizontal="left"/>
    </xf>
    <xf numFmtId="0" fontId="5" fillId="11" borderId="50" xfId="1" applyFont="1" applyFill="1" applyBorder="1" applyAlignment="1">
      <alignment horizontal="left"/>
    </xf>
    <xf numFmtId="0" fontId="5" fillId="11" borderId="47" xfId="1" applyFont="1" applyFill="1" applyBorder="1" applyAlignment="1">
      <alignment horizontal="left"/>
    </xf>
    <xf numFmtId="0" fontId="5" fillId="11" borderId="53" xfId="1" applyFont="1" applyFill="1" applyBorder="1" applyAlignment="1">
      <alignment horizontal="left"/>
    </xf>
    <xf numFmtId="0" fontId="4" fillId="10" borderId="10" xfId="1" applyFont="1" applyFill="1" applyBorder="1" applyAlignment="1">
      <alignment horizontal="left"/>
    </xf>
    <xf numFmtId="0" fontId="4" fillId="10" borderId="11" xfId="1" applyFont="1" applyFill="1" applyBorder="1" applyAlignment="1">
      <alignment horizontal="left"/>
    </xf>
    <xf numFmtId="0" fontId="5" fillId="9" borderId="9" xfId="1" applyFont="1" applyFill="1" applyBorder="1" applyAlignment="1">
      <alignment horizontal="left"/>
    </xf>
    <xf numFmtId="0" fontId="5" fillId="9" borderId="28" xfId="1" applyFont="1" applyFill="1" applyBorder="1" applyAlignment="1">
      <alignment horizontal="left"/>
    </xf>
    <xf numFmtId="0" fontId="5" fillId="9" borderId="10" xfId="1" applyFont="1" applyFill="1" applyBorder="1" applyAlignment="1">
      <alignment horizontal="left"/>
    </xf>
    <xf numFmtId="0" fontId="4" fillId="0" borderId="11" xfId="2" applyFont="1" applyFill="1" applyBorder="1" applyAlignment="1" applyProtection="1">
      <alignment horizontal="left" vertical="center" wrapText="1"/>
    </xf>
    <xf numFmtId="0" fontId="4" fillId="8" borderId="10" xfId="1" applyFont="1" applyFill="1" applyBorder="1" applyAlignment="1">
      <alignment horizontal="left"/>
    </xf>
    <xf numFmtId="0" fontId="4" fillId="8" borderId="11" xfId="1" applyFont="1" applyFill="1" applyBorder="1" applyAlignment="1">
      <alignment horizontal="left"/>
    </xf>
    <xf numFmtId="0" fontId="4" fillId="9" borderId="10" xfId="1" applyFont="1" applyFill="1" applyBorder="1" applyAlignment="1">
      <alignment horizontal="center"/>
    </xf>
    <xf numFmtId="0" fontId="4" fillId="9" borderId="11" xfId="1" applyFont="1" applyFill="1" applyBorder="1" applyAlignment="1">
      <alignment horizontal="center"/>
    </xf>
    <xf numFmtId="0" fontId="4" fillId="9" borderId="10" xfId="1" applyFont="1" applyFill="1" applyBorder="1" applyAlignment="1">
      <alignment horizontal="left"/>
    </xf>
    <xf numFmtId="0" fontId="4" fillId="9" borderId="11" xfId="1" applyFont="1" applyFill="1" applyBorder="1" applyAlignment="1">
      <alignment horizontal="left"/>
    </xf>
    <xf numFmtId="0" fontId="4" fillId="9" borderId="10" xfId="1" applyFont="1" applyFill="1" applyBorder="1" applyAlignment="1">
      <alignment horizontal="left" wrapText="1"/>
    </xf>
    <xf numFmtId="0" fontId="4" fillId="9" borderId="11" xfId="1" applyFont="1" applyFill="1" applyBorder="1" applyAlignment="1">
      <alignment horizontal="left" wrapText="1"/>
    </xf>
    <xf numFmtId="0" fontId="4" fillId="12" borderId="10" xfId="1" applyFont="1" applyFill="1" applyBorder="1" applyAlignment="1">
      <alignment horizontal="left"/>
    </xf>
    <xf numFmtId="0" fontId="4" fillId="12" borderId="11" xfId="1" applyFont="1" applyFill="1" applyBorder="1" applyAlignment="1">
      <alignment horizontal="left"/>
    </xf>
    <xf numFmtId="0" fontId="3" fillId="0" borderId="10" xfId="2" applyFont="1" applyFill="1" applyBorder="1" applyAlignment="1" applyProtection="1">
      <alignment horizontal="left" vertical="center" wrapText="1"/>
    </xf>
    <xf numFmtId="0" fontId="3" fillId="0" borderId="11" xfId="2" applyFont="1" applyFill="1" applyBorder="1" applyAlignment="1" applyProtection="1">
      <alignment horizontal="left" vertical="center" wrapText="1"/>
    </xf>
    <xf numFmtId="0" fontId="3" fillId="0" borderId="10" xfId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/>
    </xf>
    <xf numFmtId="0" fontId="3" fillId="3" borderId="10" xfId="1" applyFont="1" applyFill="1" applyBorder="1" applyAlignment="1">
      <alignment horizontal="left"/>
    </xf>
    <xf numFmtId="0" fontId="3" fillId="3" borderId="11" xfId="1" applyFont="1" applyFill="1" applyBorder="1" applyAlignment="1">
      <alignment horizontal="left"/>
    </xf>
    <xf numFmtId="0" fontId="4" fillId="0" borderId="10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5" fillId="6" borderId="10" xfId="1" applyFont="1" applyFill="1" applyBorder="1" applyAlignment="1">
      <alignment horizontal="left"/>
    </xf>
    <xf numFmtId="0" fontId="5" fillId="3" borderId="11" xfId="1" applyFont="1" applyFill="1" applyBorder="1" applyAlignment="1">
      <alignment horizontal="left"/>
    </xf>
    <xf numFmtId="0" fontId="4" fillId="9" borderId="18" xfId="1" applyFont="1" applyFill="1" applyBorder="1" applyAlignment="1">
      <alignment horizontal="left"/>
    </xf>
    <xf numFmtId="0" fontId="4" fillId="9" borderId="19" xfId="1" applyFont="1" applyFill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10" xfId="1" applyFont="1" applyFill="1" applyBorder="1" applyAlignment="1">
      <alignment horizontal="left"/>
    </xf>
    <xf numFmtId="0" fontId="5" fillId="0" borderId="11" xfId="1" applyFont="1" applyFill="1" applyBorder="1" applyAlignment="1">
      <alignment horizontal="left"/>
    </xf>
    <xf numFmtId="0" fontId="4" fillId="0" borderId="10" xfId="1" applyFont="1" applyFill="1" applyBorder="1" applyAlignment="1">
      <alignment horizontal="left"/>
    </xf>
    <xf numFmtId="0" fontId="4" fillId="0" borderId="11" xfId="1" applyFont="1" applyFill="1" applyBorder="1" applyAlignment="1">
      <alignment horizontal="left"/>
    </xf>
    <xf numFmtId="0" fontId="4" fillId="9" borderId="18" xfId="1" applyFont="1" applyFill="1" applyBorder="1" applyAlignment="1">
      <alignment horizontal="left" wrapText="1"/>
    </xf>
    <xf numFmtId="0" fontId="4" fillId="9" borderId="19" xfId="1" applyFont="1" applyFill="1" applyBorder="1" applyAlignment="1">
      <alignment horizontal="left" wrapText="1"/>
    </xf>
    <xf numFmtId="0" fontId="4" fillId="9" borderId="16" xfId="1" applyFont="1" applyFill="1" applyBorder="1" applyAlignment="1">
      <alignment horizontal="left" wrapText="1"/>
    </xf>
    <xf numFmtId="0" fontId="4" fillId="9" borderId="0" xfId="1" applyFont="1" applyFill="1" applyBorder="1" applyAlignment="1">
      <alignment horizontal="left" wrapText="1"/>
    </xf>
    <xf numFmtId="0" fontId="4" fillId="9" borderId="42" xfId="1" applyFont="1" applyFill="1" applyBorder="1" applyAlignment="1">
      <alignment horizontal="left" wrapText="1"/>
    </xf>
    <xf numFmtId="0" fontId="4" fillId="9" borderId="7" xfId="1" applyFont="1" applyFill="1" applyBorder="1" applyAlignment="1">
      <alignment horizontal="left" wrapText="1"/>
    </xf>
    <xf numFmtId="0" fontId="5" fillId="0" borderId="10" xfId="1" applyFont="1" applyFill="1" applyBorder="1" applyAlignment="1">
      <alignment horizontal="left" wrapText="1"/>
    </xf>
    <xf numFmtId="0" fontId="5" fillId="0" borderId="11" xfId="1" applyFont="1" applyFill="1" applyBorder="1" applyAlignment="1">
      <alignment horizontal="left" wrapText="1"/>
    </xf>
    <xf numFmtId="0" fontId="4" fillId="0" borderId="23" xfId="1" applyFont="1" applyBorder="1" applyAlignment="1">
      <alignment horizontal="left"/>
    </xf>
    <xf numFmtId="0" fontId="4" fillId="0" borderId="44" xfId="1" applyFont="1" applyBorder="1" applyAlignment="1">
      <alignment horizontal="left"/>
    </xf>
    <xf numFmtId="0" fontId="4" fillId="0" borderId="29" xfId="1" applyFont="1" applyBorder="1" applyAlignment="1">
      <alignment horizontal="left"/>
    </xf>
    <xf numFmtId="0" fontId="5" fillId="5" borderId="9" xfId="1" applyFont="1" applyFill="1" applyBorder="1" applyAlignment="1">
      <alignment horizontal="left"/>
    </xf>
    <xf numFmtId="0" fontId="5" fillId="5" borderId="28" xfId="1" applyFont="1" applyFill="1" applyBorder="1" applyAlignment="1">
      <alignment horizontal="left"/>
    </xf>
    <xf numFmtId="0" fontId="5" fillId="5" borderId="10" xfId="1" applyFont="1" applyFill="1" applyBorder="1" applyAlignment="1">
      <alignment horizontal="left"/>
    </xf>
    <xf numFmtId="0" fontId="3" fillId="6" borderId="10" xfId="1" applyFont="1" applyFill="1" applyBorder="1" applyAlignment="1">
      <alignment horizontal="left"/>
    </xf>
    <xf numFmtId="0" fontId="3" fillId="6" borderId="11" xfId="1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5" borderId="10" xfId="1" applyFont="1" applyFill="1" applyBorder="1" applyAlignment="1">
      <alignment horizontal="left"/>
    </xf>
    <xf numFmtId="0" fontId="3" fillId="5" borderId="11" xfId="1" applyFont="1" applyFill="1" applyBorder="1" applyAlignment="1">
      <alignment horizontal="left"/>
    </xf>
    <xf numFmtId="0" fontId="4" fillId="0" borderId="43" xfId="2" applyFont="1" applyFill="1" applyBorder="1" applyAlignment="1" applyProtection="1">
      <alignment horizontal="left" vertical="center" wrapText="1"/>
    </xf>
    <xf numFmtId="0" fontId="5" fillId="0" borderId="10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3" fillId="0" borderId="28" xfId="2" applyFont="1" applyFill="1" applyBorder="1" applyAlignment="1" applyProtection="1">
      <alignment horizontal="left" vertical="center" wrapText="1"/>
    </xf>
    <xf numFmtId="0" fontId="4" fillId="5" borderId="42" xfId="1" applyFont="1" applyFill="1" applyBorder="1" applyAlignment="1">
      <alignment horizontal="left"/>
    </xf>
    <xf numFmtId="0" fontId="4" fillId="5" borderId="7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 wrapText="1"/>
    </xf>
    <xf numFmtId="0" fontId="3" fillId="0" borderId="34" xfId="1" applyFont="1" applyBorder="1" applyAlignment="1">
      <alignment horizontal="left"/>
    </xf>
    <xf numFmtId="0" fontId="3" fillId="0" borderId="35" xfId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4" fillId="5" borderId="18" xfId="1" applyFont="1" applyFill="1" applyBorder="1" applyAlignment="1">
      <alignment horizontal="left" wrapText="1"/>
    </xf>
    <xf numFmtId="0" fontId="4" fillId="5" borderId="19" xfId="1" applyFont="1" applyFill="1" applyBorder="1" applyAlignment="1">
      <alignment horizontal="left" wrapText="1"/>
    </xf>
    <xf numFmtId="0" fontId="4" fillId="5" borderId="42" xfId="1" applyFont="1" applyFill="1" applyBorder="1" applyAlignment="1">
      <alignment horizontal="left" wrapText="1"/>
    </xf>
    <xf numFmtId="0" fontId="4" fillId="5" borderId="7" xfId="1" applyFont="1" applyFill="1" applyBorder="1" applyAlignment="1">
      <alignment horizontal="left" wrapText="1"/>
    </xf>
    <xf numFmtId="49" fontId="4" fillId="0" borderId="10" xfId="1" applyNumberFormat="1" applyFont="1" applyFill="1" applyBorder="1" applyAlignment="1">
      <alignment horizontal="left"/>
    </xf>
    <xf numFmtId="49" fontId="4" fillId="0" borderId="11" xfId="1" applyNumberFormat="1" applyFont="1" applyFill="1" applyBorder="1" applyAlignment="1">
      <alignment horizontal="left"/>
    </xf>
    <xf numFmtId="0" fontId="3" fillId="0" borderId="28" xfId="1" applyFont="1" applyFill="1" applyBorder="1" applyAlignment="1">
      <alignment horizontal="left"/>
    </xf>
    <xf numFmtId="0" fontId="4" fillId="0" borderId="56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57" xfId="0" applyFont="1" applyFill="1" applyBorder="1" applyAlignment="1" applyProtection="1">
      <alignment horizontal="center" vertical="center" wrapText="1"/>
    </xf>
    <xf numFmtId="0" fontId="4" fillId="0" borderId="18" xfId="1" applyFont="1" applyBorder="1" applyAlignment="1">
      <alignment horizontal="left"/>
    </xf>
    <xf numFmtId="0" fontId="4" fillId="0" borderId="19" xfId="1" applyFont="1" applyBorder="1" applyAlignment="1">
      <alignment horizontal="left"/>
    </xf>
    <xf numFmtId="49" fontId="4" fillId="0" borderId="14" xfId="1" applyNumberFormat="1" applyFont="1" applyBorder="1" applyAlignment="1">
      <alignment horizontal="left"/>
    </xf>
    <xf numFmtId="0" fontId="3" fillId="0" borderId="0" xfId="0" applyFont="1" applyFill="1" applyAlignment="1" applyProtection="1">
      <alignment horizontal="right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KVRENMUNKA" xfId="2"/>
    <cellStyle name="Normál_Munka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46"/>
  <sheetViews>
    <sheetView tabSelected="1" view="pageBreakPreview" topLeftCell="A715" zoomScale="60" zoomScaleNormal="100" workbookViewId="0"/>
  </sheetViews>
  <sheetFormatPr defaultRowHeight="15.75" x14ac:dyDescent="0.25"/>
  <cols>
    <col min="1" max="1" width="4.42578125" style="6" customWidth="1"/>
    <col min="2" max="2" width="6.85546875" style="6" customWidth="1"/>
    <col min="3" max="4" width="9.140625" style="6"/>
    <col min="5" max="5" width="50.5703125" style="6" customWidth="1"/>
    <col min="6" max="6" width="11.42578125" style="177" customWidth="1"/>
    <col min="7" max="9" width="11.42578125" style="522" customWidth="1"/>
    <col min="10" max="10" width="8.140625" style="6" customWidth="1"/>
    <col min="11" max="12" width="9.140625" style="6"/>
    <col min="13" max="13" width="57.85546875" style="6" customWidth="1"/>
    <col min="14" max="15" width="11.42578125" style="177" customWidth="1"/>
    <col min="16" max="16" width="11.42578125" style="349" customWidth="1"/>
    <col min="17" max="17" width="9.7109375" style="6" customWidth="1"/>
    <col min="18" max="18" width="12.5703125" style="6" customWidth="1"/>
    <col min="19" max="20" width="9.140625" style="6"/>
    <col min="21" max="21" width="9.7109375" style="6" customWidth="1"/>
    <col min="22" max="260" width="9.140625" style="6"/>
    <col min="261" max="261" width="4.42578125" style="6" customWidth="1"/>
    <col min="262" max="262" width="6.85546875" style="6" customWidth="1"/>
    <col min="263" max="264" width="9.140625" style="6"/>
    <col min="265" max="265" width="50.5703125" style="6" customWidth="1"/>
    <col min="266" max="266" width="11.42578125" style="6" bestFit="1" customWidth="1"/>
    <col min="267" max="267" width="8.140625" style="6" customWidth="1"/>
    <col min="268" max="269" width="9.140625" style="6"/>
    <col min="270" max="270" width="48" style="6" customWidth="1"/>
    <col min="271" max="271" width="11.42578125" style="6" bestFit="1" customWidth="1"/>
    <col min="272" max="273" width="9.140625" style="6"/>
    <col min="274" max="274" width="12.5703125" style="6" customWidth="1"/>
    <col min="275" max="276" width="9.140625" style="6"/>
    <col min="277" max="277" width="9.7109375" style="6" customWidth="1"/>
    <col min="278" max="516" width="9.140625" style="6"/>
    <col min="517" max="517" width="4.42578125" style="6" customWidth="1"/>
    <col min="518" max="518" width="6.85546875" style="6" customWidth="1"/>
    <col min="519" max="520" width="9.140625" style="6"/>
    <col min="521" max="521" width="50.5703125" style="6" customWidth="1"/>
    <col min="522" max="522" width="11.42578125" style="6" bestFit="1" customWidth="1"/>
    <col min="523" max="523" width="8.140625" style="6" customWidth="1"/>
    <col min="524" max="525" width="9.140625" style="6"/>
    <col min="526" max="526" width="48" style="6" customWidth="1"/>
    <col min="527" max="527" width="11.42578125" style="6" bestFit="1" customWidth="1"/>
    <col min="528" max="529" width="9.140625" style="6"/>
    <col min="530" max="530" width="12.5703125" style="6" customWidth="1"/>
    <col min="531" max="532" width="9.140625" style="6"/>
    <col min="533" max="533" width="9.7109375" style="6" customWidth="1"/>
    <col min="534" max="772" width="9.140625" style="6"/>
    <col min="773" max="773" width="4.42578125" style="6" customWidth="1"/>
    <col min="774" max="774" width="6.85546875" style="6" customWidth="1"/>
    <col min="775" max="776" width="9.140625" style="6"/>
    <col min="777" max="777" width="50.5703125" style="6" customWidth="1"/>
    <col min="778" max="778" width="11.42578125" style="6" bestFit="1" customWidth="1"/>
    <col min="779" max="779" width="8.140625" style="6" customWidth="1"/>
    <col min="780" max="781" width="9.140625" style="6"/>
    <col min="782" max="782" width="48" style="6" customWidth="1"/>
    <col min="783" max="783" width="11.42578125" style="6" bestFit="1" customWidth="1"/>
    <col min="784" max="785" width="9.140625" style="6"/>
    <col min="786" max="786" width="12.5703125" style="6" customWidth="1"/>
    <col min="787" max="788" width="9.140625" style="6"/>
    <col min="789" max="789" width="9.7109375" style="6" customWidth="1"/>
    <col min="790" max="1028" width="9.140625" style="6"/>
    <col min="1029" max="1029" width="4.42578125" style="6" customWidth="1"/>
    <col min="1030" max="1030" width="6.85546875" style="6" customWidth="1"/>
    <col min="1031" max="1032" width="9.140625" style="6"/>
    <col min="1033" max="1033" width="50.5703125" style="6" customWidth="1"/>
    <col min="1034" max="1034" width="11.42578125" style="6" bestFit="1" customWidth="1"/>
    <col min="1035" max="1035" width="8.140625" style="6" customWidth="1"/>
    <col min="1036" max="1037" width="9.140625" style="6"/>
    <col min="1038" max="1038" width="48" style="6" customWidth="1"/>
    <col min="1039" max="1039" width="11.42578125" style="6" bestFit="1" customWidth="1"/>
    <col min="1040" max="1041" width="9.140625" style="6"/>
    <col min="1042" max="1042" width="12.5703125" style="6" customWidth="1"/>
    <col min="1043" max="1044" width="9.140625" style="6"/>
    <col min="1045" max="1045" width="9.7109375" style="6" customWidth="1"/>
    <col min="1046" max="1284" width="9.140625" style="6"/>
    <col min="1285" max="1285" width="4.42578125" style="6" customWidth="1"/>
    <col min="1286" max="1286" width="6.85546875" style="6" customWidth="1"/>
    <col min="1287" max="1288" width="9.140625" style="6"/>
    <col min="1289" max="1289" width="50.5703125" style="6" customWidth="1"/>
    <col min="1290" max="1290" width="11.42578125" style="6" bestFit="1" customWidth="1"/>
    <col min="1291" max="1291" width="8.140625" style="6" customWidth="1"/>
    <col min="1292" max="1293" width="9.140625" style="6"/>
    <col min="1294" max="1294" width="48" style="6" customWidth="1"/>
    <col min="1295" max="1295" width="11.42578125" style="6" bestFit="1" customWidth="1"/>
    <col min="1296" max="1297" width="9.140625" style="6"/>
    <col min="1298" max="1298" width="12.5703125" style="6" customWidth="1"/>
    <col min="1299" max="1300" width="9.140625" style="6"/>
    <col min="1301" max="1301" width="9.7109375" style="6" customWidth="1"/>
    <col min="1302" max="1540" width="9.140625" style="6"/>
    <col min="1541" max="1541" width="4.42578125" style="6" customWidth="1"/>
    <col min="1542" max="1542" width="6.85546875" style="6" customWidth="1"/>
    <col min="1543" max="1544" width="9.140625" style="6"/>
    <col min="1545" max="1545" width="50.5703125" style="6" customWidth="1"/>
    <col min="1546" max="1546" width="11.42578125" style="6" bestFit="1" customWidth="1"/>
    <col min="1547" max="1547" width="8.140625" style="6" customWidth="1"/>
    <col min="1548" max="1549" width="9.140625" style="6"/>
    <col min="1550" max="1550" width="48" style="6" customWidth="1"/>
    <col min="1551" max="1551" width="11.42578125" style="6" bestFit="1" customWidth="1"/>
    <col min="1552" max="1553" width="9.140625" style="6"/>
    <col min="1554" max="1554" width="12.5703125" style="6" customWidth="1"/>
    <col min="1555" max="1556" width="9.140625" style="6"/>
    <col min="1557" max="1557" width="9.7109375" style="6" customWidth="1"/>
    <col min="1558" max="1796" width="9.140625" style="6"/>
    <col min="1797" max="1797" width="4.42578125" style="6" customWidth="1"/>
    <col min="1798" max="1798" width="6.85546875" style="6" customWidth="1"/>
    <col min="1799" max="1800" width="9.140625" style="6"/>
    <col min="1801" max="1801" width="50.5703125" style="6" customWidth="1"/>
    <col min="1802" max="1802" width="11.42578125" style="6" bestFit="1" customWidth="1"/>
    <col min="1803" max="1803" width="8.140625" style="6" customWidth="1"/>
    <col min="1804" max="1805" width="9.140625" style="6"/>
    <col min="1806" max="1806" width="48" style="6" customWidth="1"/>
    <col min="1807" max="1807" width="11.42578125" style="6" bestFit="1" customWidth="1"/>
    <col min="1808" max="1809" width="9.140625" style="6"/>
    <col min="1810" max="1810" width="12.5703125" style="6" customWidth="1"/>
    <col min="1811" max="1812" width="9.140625" style="6"/>
    <col min="1813" max="1813" width="9.7109375" style="6" customWidth="1"/>
    <col min="1814" max="2052" width="9.140625" style="6"/>
    <col min="2053" max="2053" width="4.42578125" style="6" customWidth="1"/>
    <col min="2054" max="2054" width="6.85546875" style="6" customWidth="1"/>
    <col min="2055" max="2056" width="9.140625" style="6"/>
    <col min="2057" max="2057" width="50.5703125" style="6" customWidth="1"/>
    <col min="2058" max="2058" width="11.42578125" style="6" bestFit="1" customWidth="1"/>
    <col min="2059" max="2059" width="8.140625" style="6" customWidth="1"/>
    <col min="2060" max="2061" width="9.140625" style="6"/>
    <col min="2062" max="2062" width="48" style="6" customWidth="1"/>
    <col min="2063" max="2063" width="11.42578125" style="6" bestFit="1" customWidth="1"/>
    <col min="2064" max="2065" width="9.140625" style="6"/>
    <col min="2066" max="2066" width="12.5703125" style="6" customWidth="1"/>
    <col min="2067" max="2068" width="9.140625" style="6"/>
    <col min="2069" max="2069" width="9.7109375" style="6" customWidth="1"/>
    <col min="2070" max="2308" width="9.140625" style="6"/>
    <col min="2309" max="2309" width="4.42578125" style="6" customWidth="1"/>
    <col min="2310" max="2310" width="6.85546875" style="6" customWidth="1"/>
    <col min="2311" max="2312" width="9.140625" style="6"/>
    <col min="2313" max="2313" width="50.5703125" style="6" customWidth="1"/>
    <col min="2314" max="2314" width="11.42578125" style="6" bestFit="1" customWidth="1"/>
    <col min="2315" max="2315" width="8.140625" style="6" customWidth="1"/>
    <col min="2316" max="2317" width="9.140625" style="6"/>
    <col min="2318" max="2318" width="48" style="6" customWidth="1"/>
    <col min="2319" max="2319" width="11.42578125" style="6" bestFit="1" customWidth="1"/>
    <col min="2320" max="2321" width="9.140625" style="6"/>
    <col min="2322" max="2322" width="12.5703125" style="6" customWidth="1"/>
    <col min="2323" max="2324" width="9.140625" style="6"/>
    <col min="2325" max="2325" width="9.7109375" style="6" customWidth="1"/>
    <col min="2326" max="2564" width="9.140625" style="6"/>
    <col min="2565" max="2565" width="4.42578125" style="6" customWidth="1"/>
    <col min="2566" max="2566" width="6.85546875" style="6" customWidth="1"/>
    <col min="2567" max="2568" width="9.140625" style="6"/>
    <col min="2569" max="2569" width="50.5703125" style="6" customWidth="1"/>
    <col min="2570" max="2570" width="11.42578125" style="6" bestFit="1" customWidth="1"/>
    <col min="2571" max="2571" width="8.140625" style="6" customWidth="1"/>
    <col min="2572" max="2573" width="9.140625" style="6"/>
    <col min="2574" max="2574" width="48" style="6" customWidth="1"/>
    <col min="2575" max="2575" width="11.42578125" style="6" bestFit="1" customWidth="1"/>
    <col min="2576" max="2577" width="9.140625" style="6"/>
    <col min="2578" max="2578" width="12.5703125" style="6" customWidth="1"/>
    <col min="2579" max="2580" width="9.140625" style="6"/>
    <col min="2581" max="2581" width="9.7109375" style="6" customWidth="1"/>
    <col min="2582" max="2820" width="9.140625" style="6"/>
    <col min="2821" max="2821" width="4.42578125" style="6" customWidth="1"/>
    <col min="2822" max="2822" width="6.85546875" style="6" customWidth="1"/>
    <col min="2823" max="2824" width="9.140625" style="6"/>
    <col min="2825" max="2825" width="50.5703125" style="6" customWidth="1"/>
    <col min="2826" max="2826" width="11.42578125" style="6" bestFit="1" customWidth="1"/>
    <col min="2827" max="2827" width="8.140625" style="6" customWidth="1"/>
    <col min="2828" max="2829" width="9.140625" style="6"/>
    <col min="2830" max="2830" width="48" style="6" customWidth="1"/>
    <col min="2831" max="2831" width="11.42578125" style="6" bestFit="1" customWidth="1"/>
    <col min="2832" max="2833" width="9.140625" style="6"/>
    <col min="2834" max="2834" width="12.5703125" style="6" customWidth="1"/>
    <col min="2835" max="2836" width="9.140625" style="6"/>
    <col min="2837" max="2837" width="9.7109375" style="6" customWidth="1"/>
    <col min="2838" max="3076" width="9.140625" style="6"/>
    <col min="3077" max="3077" width="4.42578125" style="6" customWidth="1"/>
    <col min="3078" max="3078" width="6.85546875" style="6" customWidth="1"/>
    <col min="3079" max="3080" width="9.140625" style="6"/>
    <col min="3081" max="3081" width="50.5703125" style="6" customWidth="1"/>
    <col min="3082" max="3082" width="11.42578125" style="6" bestFit="1" customWidth="1"/>
    <col min="3083" max="3083" width="8.140625" style="6" customWidth="1"/>
    <col min="3084" max="3085" width="9.140625" style="6"/>
    <col min="3086" max="3086" width="48" style="6" customWidth="1"/>
    <col min="3087" max="3087" width="11.42578125" style="6" bestFit="1" customWidth="1"/>
    <col min="3088" max="3089" width="9.140625" style="6"/>
    <col min="3090" max="3090" width="12.5703125" style="6" customWidth="1"/>
    <col min="3091" max="3092" width="9.140625" style="6"/>
    <col min="3093" max="3093" width="9.7109375" style="6" customWidth="1"/>
    <col min="3094" max="3332" width="9.140625" style="6"/>
    <col min="3333" max="3333" width="4.42578125" style="6" customWidth="1"/>
    <col min="3334" max="3334" width="6.85546875" style="6" customWidth="1"/>
    <col min="3335" max="3336" width="9.140625" style="6"/>
    <col min="3337" max="3337" width="50.5703125" style="6" customWidth="1"/>
    <col min="3338" max="3338" width="11.42578125" style="6" bestFit="1" customWidth="1"/>
    <col min="3339" max="3339" width="8.140625" style="6" customWidth="1"/>
    <col min="3340" max="3341" width="9.140625" style="6"/>
    <col min="3342" max="3342" width="48" style="6" customWidth="1"/>
    <col min="3343" max="3343" width="11.42578125" style="6" bestFit="1" customWidth="1"/>
    <col min="3344" max="3345" width="9.140625" style="6"/>
    <col min="3346" max="3346" width="12.5703125" style="6" customWidth="1"/>
    <col min="3347" max="3348" width="9.140625" style="6"/>
    <col min="3349" max="3349" width="9.7109375" style="6" customWidth="1"/>
    <col min="3350" max="3588" width="9.140625" style="6"/>
    <col min="3589" max="3589" width="4.42578125" style="6" customWidth="1"/>
    <col min="3590" max="3590" width="6.85546875" style="6" customWidth="1"/>
    <col min="3591" max="3592" width="9.140625" style="6"/>
    <col min="3593" max="3593" width="50.5703125" style="6" customWidth="1"/>
    <col min="3594" max="3594" width="11.42578125" style="6" bestFit="1" customWidth="1"/>
    <col min="3595" max="3595" width="8.140625" style="6" customWidth="1"/>
    <col min="3596" max="3597" width="9.140625" style="6"/>
    <col min="3598" max="3598" width="48" style="6" customWidth="1"/>
    <col min="3599" max="3599" width="11.42578125" style="6" bestFit="1" customWidth="1"/>
    <col min="3600" max="3601" width="9.140625" style="6"/>
    <col min="3602" max="3602" width="12.5703125" style="6" customWidth="1"/>
    <col min="3603" max="3604" width="9.140625" style="6"/>
    <col min="3605" max="3605" width="9.7109375" style="6" customWidth="1"/>
    <col min="3606" max="3844" width="9.140625" style="6"/>
    <col min="3845" max="3845" width="4.42578125" style="6" customWidth="1"/>
    <col min="3846" max="3846" width="6.85546875" style="6" customWidth="1"/>
    <col min="3847" max="3848" width="9.140625" style="6"/>
    <col min="3849" max="3849" width="50.5703125" style="6" customWidth="1"/>
    <col min="3850" max="3850" width="11.42578125" style="6" bestFit="1" customWidth="1"/>
    <col min="3851" max="3851" width="8.140625" style="6" customWidth="1"/>
    <col min="3852" max="3853" width="9.140625" style="6"/>
    <col min="3854" max="3854" width="48" style="6" customWidth="1"/>
    <col min="3855" max="3855" width="11.42578125" style="6" bestFit="1" customWidth="1"/>
    <col min="3856" max="3857" width="9.140625" style="6"/>
    <col min="3858" max="3858" width="12.5703125" style="6" customWidth="1"/>
    <col min="3859" max="3860" width="9.140625" style="6"/>
    <col min="3861" max="3861" width="9.7109375" style="6" customWidth="1"/>
    <col min="3862" max="4100" width="9.140625" style="6"/>
    <col min="4101" max="4101" width="4.42578125" style="6" customWidth="1"/>
    <col min="4102" max="4102" width="6.85546875" style="6" customWidth="1"/>
    <col min="4103" max="4104" width="9.140625" style="6"/>
    <col min="4105" max="4105" width="50.5703125" style="6" customWidth="1"/>
    <col min="4106" max="4106" width="11.42578125" style="6" bestFit="1" customWidth="1"/>
    <col min="4107" max="4107" width="8.140625" style="6" customWidth="1"/>
    <col min="4108" max="4109" width="9.140625" style="6"/>
    <col min="4110" max="4110" width="48" style="6" customWidth="1"/>
    <col min="4111" max="4111" width="11.42578125" style="6" bestFit="1" customWidth="1"/>
    <col min="4112" max="4113" width="9.140625" style="6"/>
    <col min="4114" max="4114" width="12.5703125" style="6" customWidth="1"/>
    <col min="4115" max="4116" width="9.140625" style="6"/>
    <col min="4117" max="4117" width="9.7109375" style="6" customWidth="1"/>
    <col min="4118" max="4356" width="9.140625" style="6"/>
    <col min="4357" max="4357" width="4.42578125" style="6" customWidth="1"/>
    <col min="4358" max="4358" width="6.85546875" style="6" customWidth="1"/>
    <col min="4359" max="4360" width="9.140625" style="6"/>
    <col min="4361" max="4361" width="50.5703125" style="6" customWidth="1"/>
    <col min="4362" max="4362" width="11.42578125" style="6" bestFit="1" customWidth="1"/>
    <col min="4363" max="4363" width="8.140625" style="6" customWidth="1"/>
    <col min="4364" max="4365" width="9.140625" style="6"/>
    <col min="4366" max="4366" width="48" style="6" customWidth="1"/>
    <col min="4367" max="4367" width="11.42578125" style="6" bestFit="1" customWidth="1"/>
    <col min="4368" max="4369" width="9.140625" style="6"/>
    <col min="4370" max="4370" width="12.5703125" style="6" customWidth="1"/>
    <col min="4371" max="4372" width="9.140625" style="6"/>
    <col min="4373" max="4373" width="9.7109375" style="6" customWidth="1"/>
    <col min="4374" max="4612" width="9.140625" style="6"/>
    <col min="4613" max="4613" width="4.42578125" style="6" customWidth="1"/>
    <col min="4614" max="4614" width="6.85546875" style="6" customWidth="1"/>
    <col min="4615" max="4616" width="9.140625" style="6"/>
    <col min="4617" max="4617" width="50.5703125" style="6" customWidth="1"/>
    <col min="4618" max="4618" width="11.42578125" style="6" bestFit="1" customWidth="1"/>
    <col min="4619" max="4619" width="8.140625" style="6" customWidth="1"/>
    <col min="4620" max="4621" width="9.140625" style="6"/>
    <col min="4622" max="4622" width="48" style="6" customWidth="1"/>
    <col min="4623" max="4623" width="11.42578125" style="6" bestFit="1" customWidth="1"/>
    <col min="4624" max="4625" width="9.140625" style="6"/>
    <col min="4626" max="4626" width="12.5703125" style="6" customWidth="1"/>
    <col min="4627" max="4628" width="9.140625" style="6"/>
    <col min="4629" max="4629" width="9.7109375" style="6" customWidth="1"/>
    <col min="4630" max="4868" width="9.140625" style="6"/>
    <col min="4869" max="4869" width="4.42578125" style="6" customWidth="1"/>
    <col min="4870" max="4870" width="6.85546875" style="6" customWidth="1"/>
    <col min="4871" max="4872" width="9.140625" style="6"/>
    <col min="4873" max="4873" width="50.5703125" style="6" customWidth="1"/>
    <col min="4874" max="4874" width="11.42578125" style="6" bestFit="1" customWidth="1"/>
    <col min="4875" max="4875" width="8.140625" style="6" customWidth="1"/>
    <col min="4876" max="4877" width="9.140625" style="6"/>
    <col min="4878" max="4878" width="48" style="6" customWidth="1"/>
    <col min="4879" max="4879" width="11.42578125" style="6" bestFit="1" customWidth="1"/>
    <col min="4880" max="4881" width="9.140625" style="6"/>
    <col min="4882" max="4882" width="12.5703125" style="6" customWidth="1"/>
    <col min="4883" max="4884" width="9.140625" style="6"/>
    <col min="4885" max="4885" width="9.7109375" style="6" customWidth="1"/>
    <col min="4886" max="5124" width="9.140625" style="6"/>
    <col min="5125" max="5125" width="4.42578125" style="6" customWidth="1"/>
    <col min="5126" max="5126" width="6.85546875" style="6" customWidth="1"/>
    <col min="5127" max="5128" width="9.140625" style="6"/>
    <col min="5129" max="5129" width="50.5703125" style="6" customWidth="1"/>
    <col min="5130" max="5130" width="11.42578125" style="6" bestFit="1" customWidth="1"/>
    <col min="5131" max="5131" width="8.140625" style="6" customWidth="1"/>
    <col min="5132" max="5133" width="9.140625" style="6"/>
    <col min="5134" max="5134" width="48" style="6" customWidth="1"/>
    <col min="5135" max="5135" width="11.42578125" style="6" bestFit="1" customWidth="1"/>
    <col min="5136" max="5137" width="9.140625" style="6"/>
    <col min="5138" max="5138" width="12.5703125" style="6" customWidth="1"/>
    <col min="5139" max="5140" width="9.140625" style="6"/>
    <col min="5141" max="5141" width="9.7109375" style="6" customWidth="1"/>
    <col min="5142" max="5380" width="9.140625" style="6"/>
    <col min="5381" max="5381" width="4.42578125" style="6" customWidth="1"/>
    <col min="5382" max="5382" width="6.85546875" style="6" customWidth="1"/>
    <col min="5383" max="5384" width="9.140625" style="6"/>
    <col min="5385" max="5385" width="50.5703125" style="6" customWidth="1"/>
    <col min="5386" max="5386" width="11.42578125" style="6" bestFit="1" customWidth="1"/>
    <col min="5387" max="5387" width="8.140625" style="6" customWidth="1"/>
    <col min="5388" max="5389" width="9.140625" style="6"/>
    <col min="5390" max="5390" width="48" style="6" customWidth="1"/>
    <col min="5391" max="5391" width="11.42578125" style="6" bestFit="1" customWidth="1"/>
    <col min="5392" max="5393" width="9.140625" style="6"/>
    <col min="5394" max="5394" width="12.5703125" style="6" customWidth="1"/>
    <col min="5395" max="5396" width="9.140625" style="6"/>
    <col min="5397" max="5397" width="9.7109375" style="6" customWidth="1"/>
    <col min="5398" max="5636" width="9.140625" style="6"/>
    <col min="5637" max="5637" width="4.42578125" style="6" customWidth="1"/>
    <col min="5638" max="5638" width="6.85546875" style="6" customWidth="1"/>
    <col min="5639" max="5640" width="9.140625" style="6"/>
    <col min="5641" max="5641" width="50.5703125" style="6" customWidth="1"/>
    <col min="5642" max="5642" width="11.42578125" style="6" bestFit="1" customWidth="1"/>
    <col min="5643" max="5643" width="8.140625" style="6" customWidth="1"/>
    <col min="5644" max="5645" width="9.140625" style="6"/>
    <col min="5646" max="5646" width="48" style="6" customWidth="1"/>
    <col min="5647" max="5647" width="11.42578125" style="6" bestFit="1" customWidth="1"/>
    <col min="5648" max="5649" width="9.140625" style="6"/>
    <col min="5650" max="5650" width="12.5703125" style="6" customWidth="1"/>
    <col min="5651" max="5652" width="9.140625" style="6"/>
    <col min="5653" max="5653" width="9.7109375" style="6" customWidth="1"/>
    <col min="5654" max="5892" width="9.140625" style="6"/>
    <col min="5893" max="5893" width="4.42578125" style="6" customWidth="1"/>
    <col min="5894" max="5894" width="6.85546875" style="6" customWidth="1"/>
    <col min="5895" max="5896" width="9.140625" style="6"/>
    <col min="5897" max="5897" width="50.5703125" style="6" customWidth="1"/>
    <col min="5898" max="5898" width="11.42578125" style="6" bestFit="1" customWidth="1"/>
    <col min="5899" max="5899" width="8.140625" style="6" customWidth="1"/>
    <col min="5900" max="5901" width="9.140625" style="6"/>
    <col min="5902" max="5902" width="48" style="6" customWidth="1"/>
    <col min="5903" max="5903" width="11.42578125" style="6" bestFit="1" customWidth="1"/>
    <col min="5904" max="5905" width="9.140625" style="6"/>
    <col min="5906" max="5906" width="12.5703125" style="6" customWidth="1"/>
    <col min="5907" max="5908" width="9.140625" style="6"/>
    <col min="5909" max="5909" width="9.7109375" style="6" customWidth="1"/>
    <col min="5910" max="6148" width="9.140625" style="6"/>
    <col min="6149" max="6149" width="4.42578125" style="6" customWidth="1"/>
    <col min="6150" max="6150" width="6.85546875" style="6" customWidth="1"/>
    <col min="6151" max="6152" width="9.140625" style="6"/>
    <col min="6153" max="6153" width="50.5703125" style="6" customWidth="1"/>
    <col min="6154" max="6154" width="11.42578125" style="6" bestFit="1" customWidth="1"/>
    <col min="6155" max="6155" width="8.140625" style="6" customWidth="1"/>
    <col min="6156" max="6157" width="9.140625" style="6"/>
    <col min="6158" max="6158" width="48" style="6" customWidth="1"/>
    <col min="6159" max="6159" width="11.42578125" style="6" bestFit="1" customWidth="1"/>
    <col min="6160" max="6161" width="9.140625" style="6"/>
    <col min="6162" max="6162" width="12.5703125" style="6" customWidth="1"/>
    <col min="6163" max="6164" width="9.140625" style="6"/>
    <col min="6165" max="6165" width="9.7109375" style="6" customWidth="1"/>
    <col min="6166" max="6404" width="9.140625" style="6"/>
    <col min="6405" max="6405" width="4.42578125" style="6" customWidth="1"/>
    <col min="6406" max="6406" width="6.85546875" style="6" customWidth="1"/>
    <col min="6407" max="6408" width="9.140625" style="6"/>
    <col min="6409" max="6409" width="50.5703125" style="6" customWidth="1"/>
    <col min="6410" max="6410" width="11.42578125" style="6" bestFit="1" customWidth="1"/>
    <col min="6411" max="6411" width="8.140625" style="6" customWidth="1"/>
    <col min="6412" max="6413" width="9.140625" style="6"/>
    <col min="6414" max="6414" width="48" style="6" customWidth="1"/>
    <col min="6415" max="6415" width="11.42578125" style="6" bestFit="1" customWidth="1"/>
    <col min="6416" max="6417" width="9.140625" style="6"/>
    <col min="6418" max="6418" width="12.5703125" style="6" customWidth="1"/>
    <col min="6419" max="6420" width="9.140625" style="6"/>
    <col min="6421" max="6421" width="9.7109375" style="6" customWidth="1"/>
    <col min="6422" max="6660" width="9.140625" style="6"/>
    <col min="6661" max="6661" width="4.42578125" style="6" customWidth="1"/>
    <col min="6662" max="6662" width="6.85546875" style="6" customWidth="1"/>
    <col min="6663" max="6664" width="9.140625" style="6"/>
    <col min="6665" max="6665" width="50.5703125" style="6" customWidth="1"/>
    <col min="6666" max="6666" width="11.42578125" style="6" bestFit="1" customWidth="1"/>
    <col min="6667" max="6667" width="8.140625" style="6" customWidth="1"/>
    <col min="6668" max="6669" width="9.140625" style="6"/>
    <col min="6670" max="6670" width="48" style="6" customWidth="1"/>
    <col min="6671" max="6671" width="11.42578125" style="6" bestFit="1" customWidth="1"/>
    <col min="6672" max="6673" width="9.140625" style="6"/>
    <col min="6674" max="6674" width="12.5703125" style="6" customWidth="1"/>
    <col min="6675" max="6676" width="9.140625" style="6"/>
    <col min="6677" max="6677" width="9.7109375" style="6" customWidth="1"/>
    <col min="6678" max="6916" width="9.140625" style="6"/>
    <col min="6917" max="6917" width="4.42578125" style="6" customWidth="1"/>
    <col min="6918" max="6918" width="6.85546875" style="6" customWidth="1"/>
    <col min="6919" max="6920" width="9.140625" style="6"/>
    <col min="6921" max="6921" width="50.5703125" style="6" customWidth="1"/>
    <col min="6922" max="6922" width="11.42578125" style="6" bestFit="1" customWidth="1"/>
    <col min="6923" max="6923" width="8.140625" style="6" customWidth="1"/>
    <col min="6924" max="6925" width="9.140625" style="6"/>
    <col min="6926" max="6926" width="48" style="6" customWidth="1"/>
    <col min="6927" max="6927" width="11.42578125" style="6" bestFit="1" customWidth="1"/>
    <col min="6928" max="6929" width="9.140625" style="6"/>
    <col min="6930" max="6930" width="12.5703125" style="6" customWidth="1"/>
    <col min="6931" max="6932" width="9.140625" style="6"/>
    <col min="6933" max="6933" width="9.7109375" style="6" customWidth="1"/>
    <col min="6934" max="7172" width="9.140625" style="6"/>
    <col min="7173" max="7173" width="4.42578125" style="6" customWidth="1"/>
    <col min="7174" max="7174" width="6.85546875" style="6" customWidth="1"/>
    <col min="7175" max="7176" width="9.140625" style="6"/>
    <col min="7177" max="7177" width="50.5703125" style="6" customWidth="1"/>
    <col min="7178" max="7178" width="11.42578125" style="6" bestFit="1" customWidth="1"/>
    <col min="7179" max="7179" width="8.140625" style="6" customWidth="1"/>
    <col min="7180" max="7181" width="9.140625" style="6"/>
    <col min="7182" max="7182" width="48" style="6" customWidth="1"/>
    <col min="7183" max="7183" width="11.42578125" style="6" bestFit="1" customWidth="1"/>
    <col min="7184" max="7185" width="9.140625" style="6"/>
    <col min="7186" max="7186" width="12.5703125" style="6" customWidth="1"/>
    <col min="7187" max="7188" width="9.140625" style="6"/>
    <col min="7189" max="7189" width="9.7109375" style="6" customWidth="1"/>
    <col min="7190" max="7428" width="9.140625" style="6"/>
    <col min="7429" max="7429" width="4.42578125" style="6" customWidth="1"/>
    <col min="7430" max="7430" width="6.85546875" style="6" customWidth="1"/>
    <col min="7431" max="7432" width="9.140625" style="6"/>
    <col min="7433" max="7433" width="50.5703125" style="6" customWidth="1"/>
    <col min="7434" max="7434" width="11.42578125" style="6" bestFit="1" customWidth="1"/>
    <col min="7435" max="7435" width="8.140625" style="6" customWidth="1"/>
    <col min="7436" max="7437" width="9.140625" style="6"/>
    <col min="7438" max="7438" width="48" style="6" customWidth="1"/>
    <col min="7439" max="7439" width="11.42578125" style="6" bestFit="1" customWidth="1"/>
    <col min="7440" max="7441" width="9.140625" style="6"/>
    <col min="7442" max="7442" width="12.5703125" style="6" customWidth="1"/>
    <col min="7443" max="7444" width="9.140625" style="6"/>
    <col min="7445" max="7445" width="9.7109375" style="6" customWidth="1"/>
    <col min="7446" max="7684" width="9.140625" style="6"/>
    <col min="7685" max="7685" width="4.42578125" style="6" customWidth="1"/>
    <col min="7686" max="7686" width="6.85546875" style="6" customWidth="1"/>
    <col min="7687" max="7688" width="9.140625" style="6"/>
    <col min="7689" max="7689" width="50.5703125" style="6" customWidth="1"/>
    <col min="7690" max="7690" width="11.42578125" style="6" bestFit="1" customWidth="1"/>
    <col min="7691" max="7691" width="8.140625" style="6" customWidth="1"/>
    <col min="7692" max="7693" width="9.140625" style="6"/>
    <col min="7694" max="7694" width="48" style="6" customWidth="1"/>
    <col min="7695" max="7695" width="11.42578125" style="6" bestFit="1" customWidth="1"/>
    <col min="7696" max="7697" width="9.140625" style="6"/>
    <col min="7698" max="7698" width="12.5703125" style="6" customWidth="1"/>
    <col min="7699" max="7700" width="9.140625" style="6"/>
    <col min="7701" max="7701" width="9.7109375" style="6" customWidth="1"/>
    <col min="7702" max="7940" width="9.140625" style="6"/>
    <col min="7941" max="7941" width="4.42578125" style="6" customWidth="1"/>
    <col min="7942" max="7942" width="6.85546875" style="6" customWidth="1"/>
    <col min="7943" max="7944" width="9.140625" style="6"/>
    <col min="7945" max="7945" width="50.5703125" style="6" customWidth="1"/>
    <col min="7946" max="7946" width="11.42578125" style="6" bestFit="1" customWidth="1"/>
    <col min="7947" max="7947" width="8.140625" style="6" customWidth="1"/>
    <col min="7948" max="7949" width="9.140625" style="6"/>
    <col min="7950" max="7950" width="48" style="6" customWidth="1"/>
    <col min="7951" max="7951" width="11.42578125" style="6" bestFit="1" customWidth="1"/>
    <col min="7952" max="7953" width="9.140625" style="6"/>
    <col min="7954" max="7954" width="12.5703125" style="6" customWidth="1"/>
    <col min="7955" max="7956" width="9.140625" style="6"/>
    <col min="7957" max="7957" width="9.7109375" style="6" customWidth="1"/>
    <col min="7958" max="8196" width="9.140625" style="6"/>
    <col min="8197" max="8197" width="4.42578125" style="6" customWidth="1"/>
    <col min="8198" max="8198" width="6.85546875" style="6" customWidth="1"/>
    <col min="8199" max="8200" width="9.140625" style="6"/>
    <col min="8201" max="8201" width="50.5703125" style="6" customWidth="1"/>
    <col min="8202" max="8202" width="11.42578125" style="6" bestFit="1" customWidth="1"/>
    <col min="8203" max="8203" width="8.140625" style="6" customWidth="1"/>
    <col min="8204" max="8205" width="9.140625" style="6"/>
    <col min="8206" max="8206" width="48" style="6" customWidth="1"/>
    <col min="8207" max="8207" width="11.42578125" style="6" bestFit="1" customWidth="1"/>
    <col min="8208" max="8209" width="9.140625" style="6"/>
    <col min="8210" max="8210" width="12.5703125" style="6" customWidth="1"/>
    <col min="8211" max="8212" width="9.140625" style="6"/>
    <col min="8213" max="8213" width="9.7109375" style="6" customWidth="1"/>
    <col min="8214" max="8452" width="9.140625" style="6"/>
    <col min="8453" max="8453" width="4.42578125" style="6" customWidth="1"/>
    <col min="8454" max="8454" width="6.85546875" style="6" customWidth="1"/>
    <col min="8455" max="8456" width="9.140625" style="6"/>
    <col min="8457" max="8457" width="50.5703125" style="6" customWidth="1"/>
    <col min="8458" max="8458" width="11.42578125" style="6" bestFit="1" customWidth="1"/>
    <col min="8459" max="8459" width="8.140625" style="6" customWidth="1"/>
    <col min="8460" max="8461" width="9.140625" style="6"/>
    <col min="8462" max="8462" width="48" style="6" customWidth="1"/>
    <col min="8463" max="8463" width="11.42578125" style="6" bestFit="1" customWidth="1"/>
    <col min="8464" max="8465" width="9.140625" style="6"/>
    <col min="8466" max="8466" width="12.5703125" style="6" customWidth="1"/>
    <col min="8467" max="8468" width="9.140625" style="6"/>
    <col min="8469" max="8469" width="9.7109375" style="6" customWidth="1"/>
    <col min="8470" max="8708" width="9.140625" style="6"/>
    <col min="8709" max="8709" width="4.42578125" style="6" customWidth="1"/>
    <col min="8710" max="8710" width="6.85546875" style="6" customWidth="1"/>
    <col min="8711" max="8712" width="9.140625" style="6"/>
    <col min="8713" max="8713" width="50.5703125" style="6" customWidth="1"/>
    <col min="8714" max="8714" width="11.42578125" style="6" bestFit="1" customWidth="1"/>
    <col min="8715" max="8715" width="8.140625" style="6" customWidth="1"/>
    <col min="8716" max="8717" width="9.140625" style="6"/>
    <col min="8718" max="8718" width="48" style="6" customWidth="1"/>
    <col min="8719" max="8719" width="11.42578125" style="6" bestFit="1" customWidth="1"/>
    <col min="8720" max="8721" width="9.140625" style="6"/>
    <col min="8722" max="8722" width="12.5703125" style="6" customWidth="1"/>
    <col min="8723" max="8724" width="9.140625" style="6"/>
    <col min="8725" max="8725" width="9.7109375" style="6" customWidth="1"/>
    <col min="8726" max="8964" width="9.140625" style="6"/>
    <col min="8965" max="8965" width="4.42578125" style="6" customWidth="1"/>
    <col min="8966" max="8966" width="6.85546875" style="6" customWidth="1"/>
    <col min="8967" max="8968" width="9.140625" style="6"/>
    <col min="8969" max="8969" width="50.5703125" style="6" customWidth="1"/>
    <col min="8970" max="8970" width="11.42578125" style="6" bestFit="1" customWidth="1"/>
    <col min="8971" max="8971" width="8.140625" style="6" customWidth="1"/>
    <col min="8972" max="8973" width="9.140625" style="6"/>
    <col min="8974" max="8974" width="48" style="6" customWidth="1"/>
    <col min="8975" max="8975" width="11.42578125" style="6" bestFit="1" customWidth="1"/>
    <col min="8976" max="8977" width="9.140625" style="6"/>
    <col min="8978" max="8978" width="12.5703125" style="6" customWidth="1"/>
    <col min="8979" max="8980" width="9.140625" style="6"/>
    <col min="8981" max="8981" width="9.7109375" style="6" customWidth="1"/>
    <col min="8982" max="9220" width="9.140625" style="6"/>
    <col min="9221" max="9221" width="4.42578125" style="6" customWidth="1"/>
    <col min="9222" max="9222" width="6.85546875" style="6" customWidth="1"/>
    <col min="9223" max="9224" width="9.140625" style="6"/>
    <col min="9225" max="9225" width="50.5703125" style="6" customWidth="1"/>
    <col min="9226" max="9226" width="11.42578125" style="6" bestFit="1" customWidth="1"/>
    <col min="9227" max="9227" width="8.140625" style="6" customWidth="1"/>
    <col min="9228" max="9229" width="9.140625" style="6"/>
    <col min="9230" max="9230" width="48" style="6" customWidth="1"/>
    <col min="9231" max="9231" width="11.42578125" style="6" bestFit="1" customWidth="1"/>
    <col min="9232" max="9233" width="9.140625" style="6"/>
    <col min="9234" max="9234" width="12.5703125" style="6" customWidth="1"/>
    <col min="9235" max="9236" width="9.140625" style="6"/>
    <col min="9237" max="9237" width="9.7109375" style="6" customWidth="1"/>
    <col min="9238" max="9476" width="9.140625" style="6"/>
    <col min="9477" max="9477" width="4.42578125" style="6" customWidth="1"/>
    <col min="9478" max="9478" width="6.85546875" style="6" customWidth="1"/>
    <col min="9479" max="9480" width="9.140625" style="6"/>
    <col min="9481" max="9481" width="50.5703125" style="6" customWidth="1"/>
    <col min="9482" max="9482" width="11.42578125" style="6" bestFit="1" customWidth="1"/>
    <col min="9483" max="9483" width="8.140625" style="6" customWidth="1"/>
    <col min="9484" max="9485" width="9.140625" style="6"/>
    <col min="9486" max="9486" width="48" style="6" customWidth="1"/>
    <col min="9487" max="9487" width="11.42578125" style="6" bestFit="1" customWidth="1"/>
    <col min="9488" max="9489" width="9.140625" style="6"/>
    <col min="9490" max="9490" width="12.5703125" style="6" customWidth="1"/>
    <col min="9491" max="9492" width="9.140625" style="6"/>
    <col min="9493" max="9493" width="9.7109375" style="6" customWidth="1"/>
    <col min="9494" max="9732" width="9.140625" style="6"/>
    <col min="9733" max="9733" width="4.42578125" style="6" customWidth="1"/>
    <col min="9734" max="9734" width="6.85546875" style="6" customWidth="1"/>
    <col min="9735" max="9736" width="9.140625" style="6"/>
    <col min="9737" max="9737" width="50.5703125" style="6" customWidth="1"/>
    <col min="9738" max="9738" width="11.42578125" style="6" bestFit="1" customWidth="1"/>
    <col min="9739" max="9739" width="8.140625" style="6" customWidth="1"/>
    <col min="9740" max="9741" width="9.140625" style="6"/>
    <col min="9742" max="9742" width="48" style="6" customWidth="1"/>
    <col min="9743" max="9743" width="11.42578125" style="6" bestFit="1" customWidth="1"/>
    <col min="9744" max="9745" width="9.140625" style="6"/>
    <col min="9746" max="9746" width="12.5703125" style="6" customWidth="1"/>
    <col min="9747" max="9748" width="9.140625" style="6"/>
    <col min="9749" max="9749" width="9.7109375" style="6" customWidth="1"/>
    <col min="9750" max="9988" width="9.140625" style="6"/>
    <col min="9989" max="9989" width="4.42578125" style="6" customWidth="1"/>
    <col min="9990" max="9990" width="6.85546875" style="6" customWidth="1"/>
    <col min="9991" max="9992" width="9.140625" style="6"/>
    <col min="9993" max="9993" width="50.5703125" style="6" customWidth="1"/>
    <col min="9994" max="9994" width="11.42578125" style="6" bestFit="1" customWidth="1"/>
    <col min="9995" max="9995" width="8.140625" style="6" customWidth="1"/>
    <col min="9996" max="9997" width="9.140625" style="6"/>
    <col min="9998" max="9998" width="48" style="6" customWidth="1"/>
    <col min="9999" max="9999" width="11.42578125" style="6" bestFit="1" customWidth="1"/>
    <col min="10000" max="10001" width="9.140625" style="6"/>
    <col min="10002" max="10002" width="12.5703125" style="6" customWidth="1"/>
    <col min="10003" max="10004" width="9.140625" style="6"/>
    <col min="10005" max="10005" width="9.7109375" style="6" customWidth="1"/>
    <col min="10006" max="10244" width="9.140625" style="6"/>
    <col min="10245" max="10245" width="4.42578125" style="6" customWidth="1"/>
    <col min="10246" max="10246" width="6.85546875" style="6" customWidth="1"/>
    <col min="10247" max="10248" width="9.140625" style="6"/>
    <col min="10249" max="10249" width="50.5703125" style="6" customWidth="1"/>
    <col min="10250" max="10250" width="11.42578125" style="6" bestFit="1" customWidth="1"/>
    <col min="10251" max="10251" width="8.140625" style="6" customWidth="1"/>
    <col min="10252" max="10253" width="9.140625" style="6"/>
    <col min="10254" max="10254" width="48" style="6" customWidth="1"/>
    <col min="10255" max="10255" width="11.42578125" style="6" bestFit="1" customWidth="1"/>
    <col min="10256" max="10257" width="9.140625" style="6"/>
    <col min="10258" max="10258" width="12.5703125" style="6" customWidth="1"/>
    <col min="10259" max="10260" width="9.140625" style="6"/>
    <col min="10261" max="10261" width="9.7109375" style="6" customWidth="1"/>
    <col min="10262" max="10500" width="9.140625" style="6"/>
    <col min="10501" max="10501" width="4.42578125" style="6" customWidth="1"/>
    <col min="10502" max="10502" width="6.85546875" style="6" customWidth="1"/>
    <col min="10503" max="10504" width="9.140625" style="6"/>
    <col min="10505" max="10505" width="50.5703125" style="6" customWidth="1"/>
    <col min="10506" max="10506" width="11.42578125" style="6" bestFit="1" customWidth="1"/>
    <col min="10507" max="10507" width="8.140625" style="6" customWidth="1"/>
    <col min="10508" max="10509" width="9.140625" style="6"/>
    <col min="10510" max="10510" width="48" style="6" customWidth="1"/>
    <col min="10511" max="10511" width="11.42578125" style="6" bestFit="1" customWidth="1"/>
    <col min="10512" max="10513" width="9.140625" style="6"/>
    <col min="10514" max="10514" width="12.5703125" style="6" customWidth="1"/>
    <col min="10515" max="10516" width="9.140625" style="6"/>
    <col min="10517" max="10517" width="9.7109375" style="6" customWidth="1"/>
    <col min="10518" max="10756" width="9.140625" style="6"/>
    <col min="10757" max="10757" width="4.42578125" style="6" customWidth="1"/>
    <col min="10758" max="10758" width="6.85546875" style="6" customWidth="1"/>
    <col min="10759" max="10760" width="9.140625" style="6"/>
    <col min="10761" max="10761" width="50.5703125" style="6" customWidth="1"/>
    <col min="10762" max="10762" width="11.42578125" style="6" bestFit="1" customWidth="1"/>
    <col min="10763" max="10763" width="8.140625" style="6" customWidth="1"/>
    <col min="10764" max="10765" width="9.140625" style="6"/>
    <col min="10766" max="10766" width="48" style="6" customWidth="1"/>
    <col min="10767" max="10767" width="11.42578125" style="6" bestFit="1" customWidth="1"/>
    <col min="10768" max="10769" width="9.140625" style="6"/>
    <col min="10770" max="10770" width="12.5703125" style="6" customWidth="1"/>
    <col min="10771" max="10772" width="9.140625" style="6"/>
    <col min="10773" max="10773" width="9.7109375" style="6" customWidth="1"/>
    <col min="10774" max="11012" width="9.140625" style="6"/>
    <col min="11013" max="11013" width="4.42578125" style="6" customWidth="1"/>
    <col min="11014" max="11014" width="6.85546875" style="6" customWidth="1"/>
    <col min="11015" max="11016" width="9.140625" style="6"/>
    <col min="11017" max="11017" width="50.5703125" style="6" customWidth="1"/>
    <col min="11018" max="11018" width="11.42578125" style="6" bestFit="1" customWidth="1"/>
    <col min="11019" max="11019" width="8.140625" style="6" customWidth="1"/>
    <col min="11020" max="11021" width="9.140625" style="6"/>
    <col min="11022" max="11022" width="48" style="6" customWidth="1"/>
    <col min="11023" max="11023" width="11.42578125" style="6" bestFit="1" customWidth="1"/>
    <col min="11024" max="11025" width="9.140625" style="6"/>
    <col min="11026" max="11026" width="12.5703125" style="6" customWidth="1"/>
    <col min="11027" max="11028" width="9.140625" style="6"/>
    <col min="11029" max="11029" width="9.7109375" style="6" customWidth="1"/>
    <col min="11030" max="11268" width="9.140625" style="6"/>
    <col min="11269" max="11269" width="4.42578125" style="6" customWidth="1"/>
    <col min="11270" max="11270" width="6.85546875" style="6" customWidth="1"/>
    <col min="11271" max="11272" width="9.140625" style="6"/>
    <col min="11273" max="11273" width="50.5703125" style="6" customWidth="1"/>
    <col min="11274" max="11274" width="11.42578125" style="6" bestFit="1" customWidth="1"/>
    <col min="11275" max="11275" width="8.140625" style="6" customWidth="1"/>
    <col min="11276" max="11277" width="9.140625" style="6"/>
    <col min="11278" max="11278" width="48" style="6" customWidth="1"/>
    <col min="11279" max="11279" width="11.42578125" style="6" bestFit="1" customWidth="1"/>
    <col min="11280" max="11281" width="9.140625" style="6"/>
    <col min="11282" max="11282" width="12.5703125" style="6" customWidth="1"/>
    <col min="11283" max="11284" width="9.140625" style="6"/>
    <col min="11285" max="11285" width="9.7109375" style="6" customWidth="1"/>
    <col min="11286" max="11524" width="9.140625" style="6"/>
    <col min="11525" max="11525" width="4.42578125" style="6" customWidth="1"/>
    <col min="11526" max="11526" width="6.85546875" style="6" customWidth="1"/>
    <col min="11527" max="11528" width="9.140625" style="6"/>
    <col min="11529" max="11529" width="50.5703125" style="6" customWidth="1"/>
    <col min="11530" max="11530" width="11.42578125" style="6" bestFit="1" customWidth="1"/>
    <col min="11531" max="11531" width="8.140625" style="6" customWidth="1"/>
    <col min="11532" max="11533" width="9.140625" style="6"/>
    <col min="11534" max="11534" width="48" style="6" customWidth="1"/>
    <col min="11535" max="11535" width="11.42578125" style="6" bestFit="1" customWidth="1"/>
    <col min="11536" max="11537" width="9.140625" style="6"/>
    <col min="11538" max="11538" width="12.5703125" style="6" customWidth="1"/>
    <col min="11539" max="11540" width="9.140625" style="6"/>
    <col min="11541" max="11541" width="9.7109375" style="6" customWidth="1"/>
    <col min="11542" max="11780" width="9.140625" style="6"/>
    <col min="11781" max="11781" width="4.42578125" style="6" customWidth="1"/>
    <col min="11782" max="11782" width="6.85546875" style="6" customWidth="1"/>
    <col min="11783" max="11784" width="9.140625" style="6"/>
    <col min="11785" max="11785" width="50.5703125" style="6" customWidth="1"/>
    <col min="11786" max="11786" width="11.42578125" style="6" bestFit="1" customWidth="1"/>
    <col min="11787" max="11787" width="8.140625" style="6" customWidth="1"/>
    <col min="11788" max="11789" width="9.140625" style="6"/>
    <col min="11790" max="11790" width="48" style="6" customWidth="1"/>
    <col min="11791" max="11791" width="11.42578125" style="6" bestFit="1" customWidth="1"/>
    <col min="11792" max="11793" width="9.140625" style="6"/>
    <col min="11794" max="11794" width="12.5703125" style="6" customWidth="1"/>
    <col min="11795" max="11796" width="9.140625" style="6"/>
    <col min="11797" max="11797" width="9.7109375" style="6" customWidth="1"/>
    <col min="11798" max="12036" width="9.140625" style="6"/>
    <col min="12037" max="12037" width="4.42578125" style="6" customWidth="1"/>
    <col min="12038" max="12038" width="6.85546875" style="6" customWidth="1"/>
    <col min="12039" max="12040" width="9.140625" style="6"/>
    <col min="12041" max="12041" width="50.5703125" style="6" customWidth="1"/>
    <col min="12042" max="12042" width="11.42578125" style="6" bestFit="1" customWidth="1"/>
    <col min="12043" max="12043" width="8.140625" style="6" customWidth="1"/>
    <col min="12044" max="12045" width="9.140625" style="6"/>
    <col min="12046" max="12046" width="48" style="6" customWidth="1"/>
    <col min="12047" max="12047" width="11.42578125" style="6" bestFit="1" customWidth="1"/>
    <col min="12048" max="12049" width="9.140625" style="6"/>
    <col min="12050" max="12050" width="12.5703125" style="6" customWidth="1"/>
    <col min="12051" max="12052" width="9.140625" style="6"/>
    <col min="12053" max="12053" width="9.7109375" style="6" customWidth="1"/>
    <col min="12054" max="12292" width="9.140625" style="6"/>
    <col min="12293" max="12293" width="4.42578125" style="6" customWidth="1"/>
    <col min="12294" max="12294" width="6.85546875" style="6" customWidth="1"/>
    <col min="12295" max="12296" width="9.140625" style="6"/>
    <col min="12297" max="12297" width="50.5703125" style="6" customWidth="1"/>
    <col min="12298" max="12298" width="11.42578125" style="6" bestFit="1" customWidth="1"/>
    <col min="12299" max="12299" width="8.140625" style="6" customWidth="1"/>
    <col min="12300" max="12301" width="9.140625" style="6"/>
    <col min="12302" max="12302" width="48" style="6" customWidth="1"/>
    <col min="12303" max="12303" width="11.42578125" style="6" bestFit="1" customWidth="1"/>
    <col min="12304" max="12305" width="9.140625" style="6"/>
    <col min="12306" max="12306" width="12.5703125" style="6" customWidth="1"/>
    <col min="12307" max="12308" width="9.140625" style="6"/>
    <col min="12309" max="12309" width="9.7109375" style="6" customWidth="1"/>
    <col min="12310" max="12548" width="9.140625" style="6"/>
    <col min="12549" max="12549" width="4.42578125" style="6" customWidth="1"/>
    <col min="12550" max="12550" width="6.85546875" style="6" customWidth="1"/>
    <col min="12551" max="12552" width="9.140625" style="6"/>
    <col min="12553" max="12553" width="50.5703125" style="6" customWidth="1"/>
    <col min="12554" max="12554" width="11.42578125" style="6" bestFit="1" customWidth="1"/>
    <col min="12555" max="12555" width="8.140625" style="6" customWidth="1"/>
    <col min="12556" max="12557" width="9.140625" style="6"/>
    <col min="12558" max="12558" width="48" style="6" customWidth="1"/>
    <col min="12559" max="12559" width="11.42578125" style="6" bestFit="1" customWidth="1"/>
    <col min="12560" max="12561" width="9.140625" style="6"/>
    <col min="12562" max="12562" width="12.5703125" style="6" customWidth="1"/>
    <col min="12563" max="12564" width="9.140625" style="6"/>
    <col min="12565" max="12565" width="9.7109375" style="6" customWidth="1"/>
    <col min="12566" max="12804" width="9.140625" style="6"/>
    <col min="12805" max="12805" width="4.42578125" style="6" customWidth="1"/>
    <col min="12806" max="12806" width="6.85546875" style="6" customWidth="1"/>
    <col min="12807" max="12808" width="9.140625" style="6"/>
    <col min="12809" max="12809" width="50.5703125" style="6" customWidth="1"/>
    <col min="12810" max="12810" width="11.42578125" style="6" bestFit="1" customWidth="1"/>
    <col min="12811" max="12811" width="8.140625" style="6" customWidth="1"/>
    <col min="12812" max="12813" width="9.140625" style="6"/>
    <col min="12814" max="12814" width="48" style="6" customWidth="1"/>
    <col min="12815" max="12815" width="11.42578125" style="6" bestFit="1" customWidth="1"/>
    <col min="12816" max="12817" width="9.140625" style="6"/>
    <col min="12818" max="12818" width="12.5703125" style="6" customWidth="1"/>
    <col min="12819" max="12820" width="9.140625" style="6"/>
    <col min="12821" max="12821" width="9.7109375" style="6" customWidth="1"/>
    <col min="12822" max="13060" width="9.140625" style="6"/>
    <col min="13061" max="13061" width="4.42578125" style="6" customWidth="1"/>
    <col min="13062" max="13062" width="6.85546875" style="6" customWidth="1"/>
    <col min="13063" max="13064" width="9.140625" style="6"/>
    <col min="13065" max="13065" width="50.5703125" style="6" customWidth="1"/>
    <col min="13066" max="13066" width="11.42578125" style="6" bestFit="1" customWidth="1"/>
    <col min="13067" max="13067" width="8.140625" style="6" customWidth="1"/>
    <col min="13068" max="13069" width="9.140625" style="6"/>
    <col min="13070" max="13070" width="48" style="6" customWidth="1"/>
    <col min="13071" max="13071" width="11.42578125" style="6" bestFit="1" customWidth="1"/>
    <col min="13072" max="13073" width="9.140625" style="6"/>
    <col min="13074" max="13074" width="12.5703125" style="6" customWidth="1"/>
    <col min="13075" max="13076" width="9.140625" style="6"/>
    <col min="13077" max="13077" width="9.7109375" style="6" customWidth="1"/>
    <col min="13078" max="13316" width="9.140625" style="6"/>
    <col min="13317" max="13317" width="4.42578125" style="6" customWidth="1"/>
    <col min="13318" max="13318" width="6.85546875" style="6" customWidth="1"/>
    <col min="13319" max="13320" width="9.140625" style="6"/>
    <col min="13321" max="13321" width="50.5703125" style="6" customWidth="1"/>
    <col min="13322" max="13322" width="11.42578125" style="6" bestFit="1" customWidth="1"/>
    <col min="13323" max="13323" width="8.140625" style="6" customWidth="1"/>
    <col min="13324" max="13325" width="9.140625" style="6"/>
    <col min="13326" max="13326" width="48" style="6" customWidth="1"/>
    <col min="13327" max="13327" width="11.42578125" style="6" bestFit="1" customWidth="1"/>
    <col min="13328" max="13329" width="9.140625" style="6"/>
    <col min="13330" max="13330" width="12.5703125" style="6" customWidth="1"/>
    <col min="13331" max="13332" width="9.140625" style="6"/>
    <col min="13333" max="13333" width="9.7109375" style="6" customWidth="1"/>
    <col min="13334" max="13572" width="9.140625" style="6"/>
    <col min="13573" max="13573" width="4.42578125" style="6" customWidth="1"/>
    <col min="13574" max="13574" width="6.85546875" style="6" customWidth="1"/>
    <col min="13575" max="13576" width="9.140625" style="6"/>
    <col min="13577" max="13577" width="50.5703125" style="6" customWidth="1"/>
    <col min="13578" max="13578" width="11.42578125" style="6" bestFit="1" customWidth="1"/>
    <col min="13579" max="13579" width="8.140625" style="6" customWidth="1"/>
    <col min="13580" max="13581" width="9.140625" style="6"/>
    <col min="13582" max="13582" width="48" style="6" customWidth="1"/>
    <col min="13583" max="13583" width="11.42578125" style="6" bestFit="1" customWidth="1"/>
    <col min="13584" max="13585" width="9.140625" style="6"/>
    <col min="13586" max="13586" width="12.5703125" style="6" customWidth="1"/>
    <col min="13587" max="13588" width="9.140625" style="6"/>
    <col min="13589" max="13589" width="9.7109375" style="6" customWidth="1"/>
    <col min="13590" max="13828" width="9.140625" style="6"/>
    <col min="13829" max="13829" width="4.42578125" style="6" customWidth="1"/>
    <col min="13830" max="13830" width="6.85546875" style="6" customWidth="1"/>
    <col min="13831" max="13832" width="9.140625" style="6"/>
    <col min="13833" max="13833" width="50.5703125" style="6" customWidth="1"/>
    <col min="13834" max="13834" width="11.42578125" style="6" bestFit="1" customWidth="1"/>
    <col min="13835" max="13835" width="8.140625" style="6" customWidth="1"/>
    <col min="13836" max="13837" width="9.140625" style="6"/>
    <col min="13838" max="13838" width="48" style="6" customWidth="1"/>
    <col min="13839" max="13839" width="11.42578125" style="6" bestFit="1" customWidth="1"/>
    <col min="13840" max="13841" width="9.140625" style="6"/>
    <col min="13842" max="13842" width="12.5703125" style="6" customWidth="1"/>
    <col min="13843" max="13844" width="9.140625" style="6"/>
    <col min="13845" max="13845" width="9.7109375" style="6" customWidth="1"/>
    <col min="13846" max="14084" width="9.140625" style="6"/>
    <col min="14085" max="14085" width="4.42578125" style="6" customWidth="1"/>
    <col min="14086" max="14086" width="6.85546875" style="6" customWidth="1"/>
    <col min="14087" max="14088" width="9.140625" style="6"/>
    <col min="14089" max="14089" width="50.5703125" style="6" customWidth="1"/>
    <col min="14090" max="14090" width="11.42578125" style="6" bestFit="1" customWidth="1"/>
    <col min="14091" max="14091" width="8.140625" style="6" customWidth="1"/>
    <col min="14092" max="14093" width="9.140625" style="6"/>
    <col min="14094" max="14094" width="48" style="6" customWidth="1"/>
    <col min="14095" max="14095" width="11.42578125" style="6" bestFit="1" customWidth="1"/>
    <col min="14096" max="14097" width="9.140625" style="6"/>
    <col min="14098" max="14098" width="12.5703125" style="6" customWidth="1"/>
    <col min="14099" max="14100" width="9.140625" style="6"/>
    <col min="14101" max="14101" width="9.7109375" style="6" customWidth="1"/>
    <col min="14102" max="14340" width="9.140625" style="6"/>
    <col min="14341" max="14341" width="4.42578125" style="6" customWidth="1"/>
    <col min="14342" max="14342" width="6.85546875" style="6" customWidth="1"/>
    <col min="14343" max="14344" width="9.140625" style="6"/>
    <col min="14345" max="14345" width="50.5703125" style="6" customWidth="1"/>
    <col min="14346" max="14346" width="11.42578125" style="6" bestFit="1" customWidth="1"/>
    <col min="14347" max="14347" width="8.140625" style="6" customWidth="1"/>
    <col min="14348" max="14349" width="9.140625" style="6"/>
    <col min="14350" max="14350" width="48" style="6" customWidth="1"/>
    <col min="14351" max="14351" width="11.42578125" style="6" bestFit="1" customWidth="1"/>
    <col min="14352" max="14353" width="9.140625" style="6"/>
    <col min="14354" max="14354" width="12.5703125" style="6" customWidth="1"/>
    <col min="14355" max="14356" width="9.140625" style="6"/>
    <col min="14357" max="14357" width="9.7109375" style="6" customWidth="1"/>
    <col min="14358" max="14596" width="9.140625" style="6"/>
    <col min="14597" max="14597" width="4.42578125" style="6" customWidth="1"/>
    <col min="14598" max="14598" width="6.85546875" style="6" customWidth="1"/>
    <col min="14599" max="14600" width="9.140625" style="6"/>
    <col min="14601" max="14601" width="50.5703125" style="6" customWidth="1"/>
    <col min="14602" max="14602" width="11.42578125" style="6" bestFit="1" customWidth="1"/>
    <col min="14603" max="14603" width="8.140625" style="6" customWidth="1"/>
    <col min="14604" max="14605" width="9.140625" style="6"/>
    <col min="14606" max="14606" width="48" style="6" customWidth="1"/>
    <col min="14607" max="14607" width="11.42578125" style="6" bestFit="1" customWidth="1"/>
    <col min="14608" max="14609" width="9.140625" style="6"/>
    <col min="14610" max="14610" width="12.5703125" style="6" customWidth="1"/>
    <col min="14611" max="14612" width="9.140625" style="6"/>
    <col min="14613" max="14613" width="9.7109375" style="6" customWidth="1"/>
    <col min="14614" max="14852" width="9.140625" style="6"/>
    <col min="14853" max="14853" width="4.42578125" style="6" customWidth="1"/>
    <col min="14854" max="14854" width="6.85546875" style="6" customWidth="1"/>
    <col min="14855" max="14856" width="9.140625" style="6"/>
    <col min="14857" max="14857" width="50.5703125" style="6" customWidth="1"/>
    <col min="14858" max="14858" width="11.42578125" style="6" bestFit="1" customWidth="1"/>
    <col min="14859" max="14859" width="8.140625" style="6" customWidth="1"/>
    <col min="14860" max="14861" width="9.140625" style="6"/>
    <col min="14862" max="14862" width="48" style="6" customWidth="1"/>
    <col min="14863" max="14863" width="11.42578125" style="6" bestFit="1" customWidth="1"/>
    <col min="14864" max="14865" width="9.140625" style="6"/>
    <col min="14866" max="14866" width="12.5703125" style="6" customWidth="1"/>
    <col min="14867" max="14868" width="9.140625" style="6"/>
    <col min="14869" max="14869" width="9.7109375" style="6" customWidth="1"/>
    <col min="14870" max="15108" width="9.140625" style="6"/>
    <col min="15109" max="15109" width="4.42578125" style="6" customWidth="1"/>
    <col min="15110" max="15110" width="6.85546875" style="6" customWidth="1"/>
    <col min="15111" max="15112" width="9.140625" style="6"/>
    <col min="15113" max="15113" width="50.5703125" style="6" customWidth="1"/>
    <col min="15114" max="15114" width="11.42578125" style="6" bestFit="1" customWidth="1"/>
    <col min="15115" max="15115" width="8.140625" style="6" customWidth="1"/>
    <col min="15116" max="15117" width="9.140625" style="6"/>
    <col min="15118" max="15118" width="48" style="6" customWidth="1"/>
    <col min="15119" max="15119" width="11.42578125" style="6" bestFit="1" customWidth="1"/>
    <col min="15120" max="15121" width="9.140625" style="6"/>
    <col min="15122" max="15122" width="12.5703125" style="6" customWidth="1"/>
    <col min="15123" max="15124" width="9.140625" style="6"/>
    <col min="15125" max="15125" width="9.7109375" style="6" customWidth="1"/>
    <col min="15126" max="15364" width="9.140625" style="6"/>
    <col min="15365" max="15365" width="4.42578125" style="6" customWidth="1"/>
    <col min="15366" max="15366" width="6.85546875" style="6" customWidth="1"/>
    <col min="15367" max="15368" width="9.140625" style="6"/>
    <col min="15369" max="15369" width="50.5703125" style="6" customWidth="1"/>
    <col min="15370" max="15370" width="11.42578125" style="6" bestFit="1" customWidth="1"/>
    <col min="15371" max="15371" width="8.140625" style="6" customWidth="1"/>
    <col min="15372" max="15373" width="9.140625" style="6"/>
    <col min="15374" max="15374" width="48" style="6" customWidth="1"/>
    <col min="15375" max="15375" width="11.42578125" style="6" bestFit="1" customWidth="1"/>
    <col min="15376" max="15377" width="9.140625" style="6"/>
    <col min="15378" max="15378" width="12.5703125" style="6" customWidth="1"/>
    <col min="15379" max="15380" width="9.140625" style="6"/>
    <col min="15381" max="15381" width="9.7109375" style="6" customWidth="1"/>
    <col min="15382" max="15620" width="9.140625" style="6"/>
    <col min="15621" max="15621" width="4.42578125" style="6" customWidth="1"/>
    <col min="15622" max="15622" width="6.85546875" style="6" customWidth="1"/>
    <col min="15623" max="15624" width="9.140625" style="6"/>
    <col min="15625" max="15625" width="50.5703125" style="6" customWidth="1"/>
    <col min="15626" max="15626" width="11.42578125" style="6" bestFit="1" customWidth="1"/>
    <col min="15627" max="15627" width="8.140625" style="6" customWidth="1"/>
    <col min="15628" max="15629" width="9.140625" style="6"/>
    <col min="15630" max="15630" width="48" style="6" customWidth="1"/>
    <col min="15631" max="15631" width="11.42578125" style="6" bestFit="1" customWidth="1"/>
    <col min="15632" max="15633" width="9.140625" style="6"/>
    <col min="15634" max="15634" width="12.5703125" style="6" customWidth="1"/>
    <col min="15635" max="15636" width="9.140625" style="6"/>
    <col min="15637" max="15637" width="9.7109375" style="6" customWidth="1"/>
    <col min="15638" max="15876" width="9.140625" style="6"/>
    <col min="15877" max="15877" width="4.42578125" style="6" customWidth="1"/>
    <col min="15878" max="15878" width="6.85546875" style="6" customWidth="1"/>
    <col min="15879" max="15880" width="9.140625" style="6"/>
    <col min="15881" max="15881" width="50.5703125" style="6" customWidth="1"/>
    <col min="15882" max="15882" width="11.42578125" style="6" bestFit="1" customWidth="1"/>
    <col min="15883" max="15883" width="8.140625" style="6" customWidth="1"/>
    <col min="15884" max="15885" width="9.140625" style="6"/>
    <col min="15886" max="15886" width="48" style="6" customWidth="1"/>
    <col min="15887" max="15887" width="11.42578125" style="6" bestFit="1" customWidth="1"/>
    <col min="15888" max="15889" width="9.140625" style="6"/>
    <col min="15890" max="15890" width="12.5703125" style="6" customWidth="1"/>
    <col min="15891" max="15892" width="9.140625" style="6"/>
    <col min="15893" max="15893" width="9.7109375" style="6" customWidth="1"/>
    <col min="15894" max="16132" width="9.140625" style="6"/>
    <col min="16133" max="16133" width="4.42578125" style="6" customWidth="1"/>
    <col min="16134" max="16134" width="6.85546875" style="6" customWidth="1"/>
    <col min="16135" max="16136" width="9.140625" style="6"/>
    <col min="16137" max="16137" width="50.5703125" style="6" customWidth="1"/>
    <col min="16138" max="16138" width="11.42578125" style="6" bestFit="1" customWidth="1"/>
    <col min="16139" max="16139" width="8.140625" style="6" customWidth="1"/>
    <col min="16140" max="16141" width="9.140625" style="6"/>
    <col min="16142" max="16142" width="48" style="6" customWidth="1"/>
    <col min="16143" max="16143" width="11.42578125" style="6" bestFit="1" customWidth="1"/>
    <col min="16144" max="16145" width="9.140625" style="6"/>
    <col min="16146" max="16146" width="12.5703125" style="6" customWidth="1"/>
    <col min="16147" max="16148" width="9.140625" style="6"/>
    <col min="16149" max="16149" width="9.7109375" style="6" customWidth="1"/>
    <col min="16150" max="16384" width="9.140625" style="6"/>
  </cols>
  <sheetData>
    <row r="1" spans="1:17" x14ac:dyDescent="0.25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748" t="s">
        <v>232</v>
      </c>
      <c r="N1" s="748"/>
      <c r="O1" s="748"/>
      <c r="P1" s="4"/>
      <c r="Q1" s="5"/>
    </row>
    <row r="2" spans="1:17" x14ac:dyDescent="0.25">
      <c r="A2" s="7"/>
      <c r="B2" s="749" t="s">
        <v>233</v>
      </c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4"/>
      <c r="Q2" s="5"/>
    </row>
    <row r="3" spans="1:17" x14ac:dyDescent="0.25">
      <c r="A3" s="7"/>
      <c r="B3" s="750" t="s">
        <v>234</v>
      </c>
      <c r="C3" s="750"/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  <c r="P3" s="4"/>
      <c r="Q3" s="5"/>
    </row>
    <row r="4" spans="1:17" x14ac:dyDescent="0.25">
      <c r="A4" s="7"/>
      <c r="B4" s="750"/>
      <c r="C4" s="750"/>
      <c r="D4" s="750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4"/>
      <c r="Q4" s="5"/>
    </row>
    <row r="5" spans="1:17" ht="16.5" thickBot="1" x14ac:dyDescent="0.3">
      <c r="A5" s="8"/>
      <c r="B5" s="9"/>
      <c r="C5" s="10"/>
      <c r="D5" s="10"/>
      <c r="E5" s="11"/>
      <c r="F5" s="12"/>
      <c r="G5" s="13" t="s">
        <v>235</v>
      </c>
      <c r="H5" s="13"/>
      <c r="I5" s="13"/>
      <c r="J5" s="9"/>
      <c r="K5" s="10"/>
      <c r="L5" s="10"/>
      <c r="M5" s="11"/>
      <c r="N5" s="12"/>
      <c r="O5" s="14" t="s">
        <v>235</v>
      </c>
      <c r="P5" s="4"/>
      <c r="Q5" s="5"/>
    </row>
    <row r="6" spans="1:17" x14ac:dyDescent="0.25">
      <c r="A6" s="751" t="s">
        <v>236</v>
      </c>
      <c r="B6" s="752"/>
      <c r="C6" s="752"/>
      <c r="D6" s="752"/>
      <c r="E6" s="752"/>
      <c r="F6" s="15" t="s">
        <v>430</v>
      </c>
      <c r="G6" s="16" t="s">
        <v>430</v>
      </c>
      <c r="H6" s="16" t="s">
        <v>430</v>
      </c>
      <c r="I6" s="17" t="s">
        <v>428</v>
      </c>
      <c r="J6" s="18" t="s">
        <v>236</v>
      </c>
      <c r="K6" s="18"/>
      <c r="L6" s="18"/>
      <c r="M6" s="18"/>
      <c r="N6" s="15" t="s">
        <v>430</v>
      </c>
      <c r="O6" s="19" t="s">
        <v>430</v>
      </c>
      <c r="P6" s="16" t="s">
        <v>430</v>
      </c>
      <c r="Q6" s="17" t="s">
        <v>428</v>
      </c>
    </row>
    <row r="7" spans="1:17" x14ac:dyDescent="0.25">
      <c r="A7" s="20"/>
      <c r="B7" s="21"/>
      <c r="C7" s="21"/>
      <c r="D7" s="21"/>
      <c r="E7" s="21"/>
      <c r="F7" s="22" t="s">
        <v>431</v>
      </c>
      <c r="G7" s="23" t="s">
        <v>432</v>
      </c>
      <c r="H7" s="24" t="s">
        <v>433</v>
      </c>
      <c r="I7" s="24" t="s">
        <v>434</v>
      </c>
      <c r="J7" s="25"/>
      <c r="K7" s="25"/>
      <c r="L7" s="25"/>
      <c r="M7" s="25"/>
      <c r="N7" s="22" t="s">
        <v>431</v>
      </c>
      <c r="O7" s="26" t="s">
        <v>432</v>
      </c>
      <c r="P7" s="24" t="s">
        <v>433</v>
      </c>
      <c r="Q7" s="24" t="s">
        <v>434</v>
      </c>
    </row>
    <row r="8" spans="1:17" x14ac:dyDescent="0.25">
      <c r="A8" s="753" t="s">
        <v>237</v>
      </c>
      <c r="B8" s="754"/>
      <c r="C8" s="754"/>
      <c r="D8" s="754"/>
      <c r="E8" s="754"/>
      <c r="F8" s="27" t="s">
        <v>238</v>
      </c>
      <c r="G8" s="28" t="s">
        <v>238</v>
      </c>
      <c r="H8" s="29"/>
      <c r="I8" s="29"/>
      <c r="J8" s="30" t="s">
        <v>237</v>
      </c>
      <c r="K8" s="30"/>
      <c r="L8" s="30"/>
      <c r="M8" s="30"/>
      <c r="N8" s="27" t="s">
        <v>238</v>
      </c>
      <c r="O8" s="31" t="s">
        <v>238</v>
      </c>
      <c r="P8" s="29"/>
      <c r="Q8" s="29"/>
    </row>
    <row r="9" spans="1:17" ht="27.75" customHeight="1" x14ac:dyDescent="0.25">
      <c r="A9" s="32"/>
      <c r="B9" s="33" t="s">
        <v>239</v>
      </c>
      <c r="C9" s="34"/>
      <c r="D9" s="34"/>
      <c r="E9" s="34"/>
      <c r="F9" s="35"/>
      <c r="G9" s="36"/>
      <c r="H9" s="37"/>
      <c r="I9" s="37"/>
      <c r="J9" s="33" t="s">
        <v>240</v>
      </c>
      <c r="K9" s="34"/>
      <c r="L9" s="34"/>
      <c r="M9" s="34"/>
      <c r="N9" s="38"/>
      <c r="O9" s="39"/>
      <c r="P9" s="40"/>
      <c r="Q9" s="41"/>
    </row>
    <row r="10" spans="1:17" ht="14.1" customHeight="1" x14ac:dyDescent="0.25">
      <c r="A10" s="42" t="s">
        <v>227</v>
      </c>
      <c r="B10" s="755" t="s">
        <v>241</v>
      </c>
      <c r="C10" s="756"/>
      <c r="D10" s="756"/>
      <c r="E10" s="756"/>
      <c r="F10" s="43"/>
      <c r="G10" s="44"/>
      <c r="H10" s="45"/>
      <c r="I10" s="45"/>
      <c r="J10" s="755" t="s">
        <v>241</v>
      </c>
      <c r="K10" s="756"/>
      <c r="L10" s="756"/>
      <c r="M10" s="756"/>
      <c r="N10" s="46"/>
      <c r="O10" s="47"/>
      <c r="P10" s="48"/>
      <c r="Q10" s="49"/>
    </row>
    <row r="11" spans="1:17" ht="39" customHeight="1" x14ac:dyDescent="0.25">
      <c r="A11" s="50"/>
      <c r="B11" s="757"/>
      <c r="C11" s="758"/>
      <c r="D11" s="758"/>
      <c r="E11" s="758"/>
      <c r="F11" s="51"/>
      <c r="G11" s="52"/>
      <c r="H11" s="53"/>
      <c r="I11" s="53"/>
      <c r="J11" s="757"/>
      <c r="K11" s="758"/>
      <c r="L11" s="758"/>
      <c r="M11" s="758"/>
      <c r="N11" s="46"/>
      <c r="O11" s="47"/>
      <c r="P11" s="54"/>
      <c r="Q11" s="55"/>
    </row>
    <row r="12" spans="1:17" ht="14.1" customHeight="1" x14ac:dyDescent="0.25">
      <c r="A12" s="50"/>
      <c r="B12" s="56" t="s">
        <v>171</v>
      </c>
      <c r="C12" s="57"/>
      <c r="D12" s="58"/>
      <c r="E12" s="58"/>
      <c r="F12" s="59"/>
      <c r="G12" s="44"/>
      <c r="H12" s="44"/>
      <c r="I12" s="44"/>
      <c r="J12" s="56" t="s">
        <v>242</v>
      </c>
      <c r="K12" s="57"/>
      <c r="L12" s="58"/>
      <c r="M12" s="58"/>
      <c r="N12" s="60"/>
      <c r="O12" s="61"/>
      <c r="P12" s="62"/>
      <c r="Q12" s="63"/>
    </row>
    <row r="13" spans="1:17" ht="14.1" customHeight="1" x14ac:dyDescent="0.25">
      <c r="A13" s="50"/>
      <c r="B13" s="64" t="s">
        <v>172</v>
      </c>
      <c r="C13" s="631" t="s">
        <v>173</v>
      </c>
      <c r="D13" s="632"/>
      <c r="E13" s="632"/>
      <c r="F13" s="65">
        <v>12242</v>
      </c>
      <c r="G13" s="44">
        <v>12242</v>
      </c>
      <c r="H13" s="44">
        <v>12916</v>
      </c>
      <c r="I13" s="66">
        <f>H13/G13*100</f>
        <v>105.50563633393237</v>
      </c>
      <c r="J13" s="67" t="s">
        <v>243</v>
      </c>
      <c r="K13" s="631" t="s">
        <v>244</v>
      </c>
      <c r="L13" s="632"/>
      <c r="M13" s="632"/>
      <c r="N13" s="68"/>
      <c r="O13" s="61">
        <v>181266</v>
      </c>
      <c r="P13" s="62">
        <v>0</v>
      </c>
      <c r="Q13" s="63"/>
    </row>
    <row r="14" spans="1:17" ht="14.1" customHeight="1" x14ac:dyDescent="0.25">
      <c r="A14" s="50"/>
      <c r="B14" s="64" t="s">
        <v>174</v>
      </c>
      <c r="C14" s="63" t="s">
        <v>175</v>
      </c>
      <c r="D14" s="69"/>
      <c r="E14" s="70"/>
      <c r="F14" s="65">
        <v>3390</v>
      </c>
      <c r="G14" s="44">
        <v>3390</v>
      </c>
      <c r="H14" s="44">
        <v>3061</v>
      </c>
      <c r="I14" s="66">
        <f t="shared" ref="I14:I18" si="0">H14/G14*100</f>
        <v>90.294985250737454</v>
      </c>
      <c r="J14" s="71"/>
      <c r="K14" s="72"/>
      <c r="L14" s="72"/>
      <c r="M14" s="72"/>
      <c r="N14" s="65"/>
      <c r="O14" s="61"/>
      <c r="P14" s="62"/>
      <c r="Q14" s="63"/>
    </row>
    <row r="15" spans="1:17" ht="14.1" customHeight="1" x14ac:dyDescent="0.25">
      <c r="A15" s="50"/>
      <c r="B15" s="64" t="s">
        <v>176</v>
      </c>
      <c r="C15" s="640" t="s">
        <v>177</v>
      </c>
      <c r="D15" s="640"/>
      <c r="E15" s="641"/>
      <c r="F15" s="73">
        <v>494</v>
      </c>
      <c r="G15" s="44">
        <f>494+1961</f>
        <v>2455</v>
      </c>
      <c r="H15" s="44">
        <v>3003</v>
      </c>
      <c r="I15" s="66">
        <f t="shared" si="0"/>
        <v>122.32179226069246</v>
      </c>
      <c r="J15" s="74"/>
      <c r="K15" s="72"/>
      <c r="L15" s="72"/>
      <c r="M15" s="72"/>
      <c r="N15" s="65"/>
      <c r="O15" s="61"/>
      <c r="P15" s="62"/>
      <c r="Q15" s="63"/>
    </row>
    <row r="16" spans="1:17" ht="14.1" customHeight="1" x14ac:dyDescent="0.25">
      <c r="A16" s="50"/>
      <c r="B16" s="75" t="s">
        <v>245</v>
      </c>
      <c r="C16" s="76" t="s">
        <v>246</v>
      </c>
      <c r="D16" s="77"/>
      <c r="E16" s="77"/>
      <c r="F16" s="68">
        <v>25000</v>
      </c>
      <c r="G16" s="78">
        <v>0</v>
      </c>
      <c r="H16" s="79"/>
      <c r="I16" s="66"/>
      <c r="J16" s="759"/>
      <c r="K16" s="760"/>
      <c r="L16" s="760"/>
      <c r="M16" s="80"/>
      <c r="N16" s="81"/>
      <c r="O16" s="82"/>
      <c r="P16" s="62"/>
      <c r="Q16" s="63"/>
    </row>
    <row r="17" spans="1:17" ht="14.1" customHeight="1" thickBot="1" x14ac:dyDescent="0.3">
      <c r="A17" s="50"/>
      <c r="B17" s="64" t="s">
        <v>188</v>
      </c>
      <c r="C17" s="83" t="s">
        <v>189</v>
      </c>
      <c r="D17" s="77"/>
      <c r="E17" s="77"/>
      <c r="F17" s="84"/>
      <c r="G17" s="85">
        <v>3065</v>
      </c>
      <c r="H17" s="85">
        <v>3064</v>
      </c>
      <c r="I17" s="86">
        <f t="shared" si="0"/>
        <v>99.9673735725938</v>
      </c>
      <c r="J17" s="87"/>
      <c r="K17" s="88"/>
      <c r="L17" s="88"/>
      <c r="M17" s="80"/>
      <c r="N17" s="89"/>
      <c r="O17" s="90"/>
      <c r="P17" s="91"/>
      <c r="Q17" s="92"/>
    </row>
    <row r="18" spans="1:17" ht="14.1" customHeight="1" thickBot="1" x14ac:dyDescent="0.3">
      <c r="A18" s="50"/>
      <c r="B18" s="75"/>
      <c r="C18" s="631" t="s">
        <v>247</v>
      </c>
      <c r="D18" s="632"/>
      <c r="E18" s="632"/>
      <c r="F18" s="93">
        <f>SUM(F13:F17)</f>
        <v>41126</v>
      </c>
      <c r="G18" s="94">
        <f>SUM(G13:G17)</f>
        <v>21152</v>
      </c>
      <c r="H18" s="94">
        <f>SUM(H12:H17)</f>
        <v>22044</v>
      </c>
      <c r="I18" s="86">
        <f t="shared" si="0"/>
        <v>104.21709531013616</v>
      </c>
      <c r="J18" s="71"/>
      <c r="K18" s="631" t="s">
        <v>248</v>
      </c>
      <c r="L18" s="632"/>
      <c r="M18" s="632"/>
      <c r="N18" s="95"/>
      <c r="O18" s="90">
        <f>SUM(O13)</f>
        <v>181266</v>
      </c>
      <c r="P18" s="96"/>
      <c r="Q18" s="97"/>
    </row>
    <row r="19" spans="1:17" ht="14.1" customHeight="1" x14ac:dyDescent="0.25">
      <c r="A19" s="42" t="s">
        <v>36</v>
      </c>
      <c r="B19" s="652" t="s">
        <v>249</v>
      </c>
      <c r="C19" s="653"/>
      <c r="D19" s="653"/>
      <c r="E19" s="653"/>
      <c r="F19" s="98"/>
      <c r="G19" s="99"/>
      <c r="H19" s="100"/>
      <c r="I19" s="100"/>
      <c r="J19" s="652" t="s">
        <v>249</v>
      </c>
      <c r="K19" s="653"/>
      <c r="L19" s="653"/>
      <c r="M19" s="653"/>
      <c r="N19" s="101"/>
      <c r="O19" s="82"/>
      <c r="P19" s="54"/>
      <c r="Q19" s="55"/>
    </row>
    <row r="20" spans="1:17" ht="14.1" customHeight="1" x14ac:dyDescent="0.25">
      <c r="A20" s="50"/>
      <c r="B20" s="56" t="s">
        <v>171</v>
      </c>
      <c r="C20" s="102"/>
      <c r="D20" s="80"/>
      <c r="E20" s="80"/>
      <c r="F20" s="68"/>
      <c r="G20" s="78"/>
      <c r="H20" s="78"/>
      <c r="I20" s="78"/>
      <c r="J20" s="56" t="s">
        <v>250</v>
      </c>
      <c r="K20" s="57"/>
      <c r="L20" s="80"/>
      <c r="M20" s="80"/>
      <c r="N20" s="68"/>
      <c r="O20" s="61"/>
      <c r="P20" s="62"/>
      <c r="Q20" s="63"/>
    </row>
    <row r="21" spans="1:17" ht="14.1" customHeight="1" x14ac:dyDescent="0.25">
      <c r="A21" s="50"/>
      <c r="B21" s="64" t="s">
        <v>251</v>
      </c>
      <c r="C21" s="640" t="s">
        <v>177</v>
      </c>
      <c r="D21" s="640"/>
      <c r="E21" s="641"/>
      <c r="F21" s="73">
        <v>47126</v>
      </c>
      <c r="G21" s="44">
        <f>47126</f>
        <v>47126</v>
      </c>
      <c r="H21" s="44">
        <v>8918</v>
      </c>
      <c r="I21" s="66">
        <f>H21/G21*100</f>
        <v>18.923736366337053</v>
      </c>
      <c r="J21" s="103" t="s">
        <v>65</v>
      </c>
      <c r="K21" s="641" t="s">
        <v>66</v>
      </c>
      <c r="L21" s="651"/>
      <c r="M21" s="651"/>
      <c r="N21" s="68">
        <v>7649</v>
      </c>
      <c r="O21" s="61">
        <v>7649</v>
      </c>
      <c r="P21" s="62">
        <v>8055</v>
      </c>
      <c r="Q21" s="105">
        <f>P21/O21*100</f>
        <v>105.30788338344881</v>
      </c>
    </row>
    <row r="22" spans="1:17" ht="14.1" customHeight="1" x14ac:dyDescent="0.25">
      <c r="A22" s="50"/>
      <c r="B22" s="75"/>
      <c r="C22" s="77"/>
      <c r="D22" s="77"/>
      <c r="E22" s="77"/>
      <c r="F22" s="73"/>
      <c r="G22" s="44"/>
      <c r="H22" s="44"/>
      <c r="I22" s="66"/>
      <c r="J22" s="103" t="s">
        <v>67</v>
      </c>
      <c r="K22" s="106" t="s">
        <v>68</v>
      </c>
      <c r="L22" s="77"/>
      <c r="M22" s="77"/>
      <c r="N22" s="68"/>
      <c r="O22" s="61"/>
      <c r="P22" s="62">
        <v>202</v>
      </c>
      <c r="Q22" s="105"/>
    </row>
    <row r="23" spans="1:17" ht="14.1" customHeight="1" x14ac:dyDescent="0.25">
      <c r="A23" s="50"/>
      <c r="B23" s="75"/>
      <c r="C23" s="77"/>
      <c r="D23" s="77"/>
      <c r="E23" s="77"/>
      <c r="F23" s="73"/>
      <c r="G23" s="44"/>
      <c r="H23" s="44"/>
      <c r="I23" s="66"/>
      <c r="J23" s="103" t="s">
        <v>69</v>
      </c>
      <c r="K23" s="106" t="s">
        <v>70</v>
      </c>
      <c r="L23" s="77"/>
      <c r="M23" s="77"/>
      <c r="N23" s="68"/>
      <c r="O23" s="61">
        <v>19730</v>
      </c>
      <c r="P23" s="62">
        <v>22737</v>
      </c>
      <c r="Q23" s="105">
        <f t="shared" ref="Q23:Q27" si="1">P23/O23*100</f>
        <v>115.24075012671059</v>
      </c>
    </row>
    <row r="24" spans="1:17" ht="14.1" customHeight="1" x14ac:dyDescent="0.25">
      <c r="A24" s="50"/>
      <c r="B24" s="716" t="s">
        <v>205</v>
      </c>
      <c r="C24" s="717"/>
      <c r="D24" s="717"/>
      <c r="E24" s="717"/>
      <c r="F24" s="107"/>
      <c r="G24" s="78"/>
      <c r="H24" s="78"/>
      <c r="I24" s="66"/>
      <c r="J24" s="103" t="s">
        <v>73</v>
      </c>
      <c r="K24" s="106" t="s">
        <v>74</v>
      </c>
      <c r="L24" s="108"/>
      <c r="M24" s="108"/>
      <c r="N24" s="68">
        <v>45326</v>
      </c>
      <c r="O24" s="61">
        <v>45326</v>
      </c>
      <c r="P24" s="62">
        <v>3042</v>
      </c>
      <c r="Q24" s="105">
        <f t="shared" si="1"/>
        <v>6.7113797820235632</v>
      </c>
    </row>
    <row r="25" spans="1:17" ht="14.1" customHeight="1" x14ac:dyDescent="0.25">
      <c r="A25" s="50"/>
      <c r="B25" s="109" t="s">
        <v>252</v>
      </c>
      <c r="C25" s="70" t="s">
        <v>206</v>
      </c>
      <c r="D25" s="110"/>
      <c r="E25" s="110"/>
      <c r="F25" s="111">
        <v>8000</v>
      </c>
      <c r="G25" s="52">
        <f>9000-1000</f>
        <v>8000</v>
      </c>
      <c r="H25" s="52">
        <v>7192</v>
      </c>
      <c r="I25" s="66">
        <f t="shared" ref="I25:I27" si="2">H25/G25*100</f>
        <v>89.9</v>
      </c>
      <c r="J25" s="112" t="s">
        <v>253</v>
      </c>
      <c r="K25" s="106"/>
      <c r="L25" s="108"/>
      <c r="M25" s="108"/>
      <c r="N25" s="81"/>
      <c r="O25" s="82"/>
      <c r="P25" s="62"/>
      <c r="Q25" s="105"/>
    </row>
    <row r="26" spans="1:17" ht="14.1" customHeight="1" thickBot="1" x14ac:dyDescent="0.3">
      <c r="A26" s="50"/>
      <c r="B26" s="67" t="s">
        <v>254</v>
      </c>
      <c r="C26" s="70" t="s">
        <v>211</v>
      </c>
      <c r="D26" s="110"/>
      <c r="E26" s="110"/>
      <c r="F26" s="113">
        <v>2500</v>
      </c>
      <c r="G26" s="78">
        <f>2500-2500</f>
        <v>0</v>
      </c>
      <c r="H26" s="114"/>
      <c r="I26" s="86"/>
      <c r="J26" s="115" t="s">
        <v>255</v>
      </c>
      <c r="K26" s="106" t="s">
        <v>90</v>
      </c>
      <c r="L26" s="108"/>
      <c r="M26" s="108"/>
      <c r="N26" s="116">
        <v>160225</v>
      </c>
      <c r="O26" s="117">
        <f>160225+21035</f>
        <v>181260</v>
      </c>
      <c r="P26" s="91">
        <v>267</v>
      </c>
      <c r="Q26" s="118">
        <f t="shared" si="1"/>
        <v>0.14730221780867261</v>
      </c>
    </row>
    <row r="27" spans="1:17" ht="14.1" customHeight="1" thickBot="1" x14ac:dyDescent="0.3">
      <c r="A27" s="50"/>
      <c r="B27" s="67"/>
      <c r="C27" s="69" t="s">
        <v>247</v>
      </c>
      <c r="D27" s="69"/>
      <c r="E27" s="70"/>
      <c r="F27" s="93">
        <f>SUM(F21:F26)</f>
        <v>57626</v>
      </c>
      <c r="G27" s="119">
        <f>SUM(G21:G26)</f>
        <v>55126</v>
      </c>
      <c r="H27" s="119">
        <f>SUM(H21:H26)</f>
        <v>16110</v>
      </c>
      <c r="I27" s="86">
        <f t="shared" si="2"/>
        <v>29.223959656060661</v>
      </c>
      <c r="J27" s="120"/>
      <c r="K27" s="631" t="s">
        <v>248</v>
      </c>
      <c r="L27" s="632"/>
      <c r="M27" s="632"/>
      <c r="N27" s="95">
        <f>SUM(N21:N26)</f>
        <v>213200</v>
      </c>
      <c r="O27" s="121">
        <f>SUM(O21:O26)</f>
        <v>253965</v>
      </c>
      <c r="P27" s="122">
        <f>SUM(P21:P26)</f>
        <v>34303</v>
      </c>
      <c r="Q27" s="118">
        <f t="shared" si="1"/>
        <v>13.506979308172387</v>
      </c>
    </row>
    <row r="28" spans="1:17" ht="14.1" customHeight="1" x14ac:dyDescent="0.25">
      <c r="A28" s="42" t="s">
        <v>49</v>
      </c>
      <c r="B28" s="638" t="s">
        <v>256</v>
      </c>
      <c r="C28" s="639"/>
      <c r="D28" s="639"/>
      <c r="E28" s="639"/>
      <c r="F28" s="123"/>
      <c r="G28" s="99"/>
      <c r="H28" s="100"/>
      <c r="I28" s="100"/>
      <c r="J28" s="638" t="s">
        <v>256</v>
      </c>
      <c r="K28" s="639"/>
      <c r="L28" s="639"/>
      <c r="M28" s="639"/>
      <c r="N28" s="123"/>
      <c r="O28" s="82"/>
      <c r="P28" s="54"/>
      <c r="Q28" s="55"/>
    </row>
    <row r="29" spans="1:17" ht="14.1" customHeight="1" x14ac:dyDescent="0.25">
      <c r="A29" s="50"/>
      <c r="B29" s="56" t="s">
        <v>171</v>
      </c>
      <c r="C29" s="124"/>
      <c r="D29" s="124"/>
      <c r="E29" s="124"/>
      <c r="F29" s="68"/>
      <c r="G29" s="78"/>
      <c r="H29" s="78"/>
      <c r="I29" s="78"/>
      <c r="J29" s="125" t="s">
        <v>257</v>
      </c>
      <c r="K29" s="718" t="s">
        <v>9</v>
      </c>
      <c r="L29" s="719"/>
      <c r="M29" s="719"/>
      <c r="N29" s="126"/>
      <c r="O29" s="61"/>
      <c r="P29" s="62"/>
      <c r="Q29" s="63"/>
    </row>
    <row r="30" spans="1:17" ht="14.1" customHeight="1" x14ac:dyDescent="0.25">
      <c r="A30" s="50"/>
      <c r="B30" s="64" t="s">
        <v>176</v>
      </c>
      <c r="C30" s="640" t="s">
        <v>177</v>
      </c>
      <c r="D30" s="640"/>
      <c r="E30" s="641"/>
      <c r="F30" s="127">
        <v>11705</v>
      </c>
      <c r="G30" s="78">
        <f>17232+46</f>
        <v>17278</v>
      </c>
      <c r="H30" s="78">
        <v>17278</v>
      </c>
      <c r="I30" s="128">
        <f>H30/G30*100</f>
        <v>100</v>
      </c>
      <c r="J30" s="67" t="s">
        <v>10</v>
      </c>
      <c r="K30" s="666" t="s">
        <v>11</v>
      </c>
      <c r="L30" s="667"/>
      <c r="M30" s="667"/>
      <c r="N30" s="129">
        <v>156988</v>
      </c>
      <c r="O30" s="61">
        <f>158528+1</f>
        <v>158529</v>
      </c>
      <c r="P30" s="62">
        <v>158529</v>
      </c>
      <c r="Q30" s="105">
        <f>P30/O30*100</f>
        <v>100</v>
      </c>
    </row>
    <row r="31" spans="1:17" ht="14.1" customHeight="1" x14ac:dyDescent="0.25">
      <c r="A31" s="50"/>
      <c r="B31" s="67" t="s">
        <v>258</v>
      </c>
      <c r="C31" s="702" t="s">
        <v>259</v>
      </c>
      <c r="D31" s="703"/>
      <c r="E31" s="703"/>
      <c r="F31" s="130">
        <v>180737</v>
      </c>
      <c r="G31" s="78">
        <f>187419+358</f>
        <v>187777</v>
      </c>
      <c r="H31" s="78">
        <v>187775</v>
      </c>
      <c r="I31" s="128">
        <f t="shared" ref="I31:I33" si="3">H31/G31*100</f>
        <v>99.998934906830968</v>
      </c>
      <c r="J31" s="64" t="s">
        <v>260</v>
      </c>
      <c r="K31" s="666" t="s">
        <v>261</v>
      </c>
      <c r="L31" s="667"/>
      <c r="M31" s="667"/>
      <c r="N31" s="131">
        <v>136896</v>
      </c>
      <c r="O31" s="132">
        <v>138988</v>
      </c>
      <c r="P31" s="62">
        <v>138988</v>
      </c>
      <c r="Q31" s="105">
        <f t="shared" ref="Q31:Q54" si="4">P31/O31*100</f>
        <v>100</v>
      </c>
    </row>
    <row r="32" spans="1:17" ht="14.1" customHeight="1" x14ac:dyDescent="0.25">
      <c r="A32" s="50"/>
      <c r="B32" s="133" t="s">
        <v>262</v>
      </c>
      <c r="C32" s="102"/>
      <c r="D32" s="80"/>
      <c r="E32" s="80"/>
      <c r="F32" s="68"/>
      <c r="G32" s="78"/>
      <c r="H32" s="78"/>
      <c r="I32" s="128"/>
      <c r="J32" s="64" t="s">
        <v>14</v>
      </c>
      <c r="K32" s="666" t="s">
        <v>263</v>
      </c>
      <c r="L32" s="667"/>
      <c r="M32" s="667"/>
      <c r="N32" s="131">
        <v>650936</v>
      </c>
      <c r="O32" s="132">
        <v>693605</v>
      </c>
      <c r="P32" s="62">
        <v>693605</v>
      </c>
      <c r="Q32" s="105">
        <f t="shared" si="4"/>
        <v>100</v>
      </c>
    </row>
    <row r="33" spans="1:17" ht="14.1" customHeight="1" x14ac:dyDescent="0.25">
      <c r="A33" s="50"/>
      <c r="B33" s="134" t="s">
        <v>36</v>
      </c>
      <c r="C33" s="135" t="s">
        <v>229</v>
      </c>
      <c r="D33" s="80"/>
      <c r="E33" s="80"/>
      <c r="F33" s="68"/>
      <c r="G33" s="78">
        <v>28968</v>
      </c>
      <c r="H33" s="78">
        <v>28968</v>
      </c>
      <c r="I33" s="128">
        <f t="shared" si="3"/>
        <v>100</v>
      </c>
      <c r="J33" s="64" t="s">
        <v>16</v>
      </c>
      <c r="K33" s="666" t="s">
        <v>17</v>
      </c>
      <c r="L33" s="667"/>
      <c r="M33" s="667"/>
      <c r="N33" s="131">
        <v>9590</v>
      </c>
      <c r="O33" s="132">
        <f>9988-1</f>
        <v>9987</v>
      </c>
      <c r="P33" s="62">
        <v>9987</v>
      </c>
      <c r="Q33" s="105">
        <f t="shared" si="4"/>
        <v>100</v>
      </c>
    </row>
    <row r="34" spans="1:17" ht="14.1" customHeight="1" x14ac:dyDescent="0.25">
      <c r="A34" s="50"/>
      <c r="B34" s="67"/>
      <c r="C34" s="124"/>
      <c r="D34" s="80"/>
      <c r="E34" s="80"/>
      <c r="F34" s="68"/>
      <c r="G34" s="78"/>
      <c r="H34" s="79"/>
      <c r="I34" s="79"/>
      <c r="J34" s="75" t="s">
        <v>264</v>
      </c>
      <c r="K34" s="83" t="s">
        <v>19</v>
      </c>
      <c r="L34" s="110"/>
      <c r="M34" s="110"/>
      <c r="N34" s="65">
        <v>238742</v>
      </c>
      <c r="O34" s="132">
        <f>262893-168742</f>
        <v>94151</v>
      </c>
      <c r="P34" s="62">
        <v>94151</v>
      </c>
      <c r="Q34" s="105">
        <f t="shared" si="4"/>
        <v>100</v>
      </c>
    </row>
    <row r="35" spans="1:17" ht="14.1" customHeight="1" x14ac:dyDescent="0.25">
      <c r="A35" s="50"/>
      <c r="B35" s="67"/>
      <c r="C35" s="124"/>
      <c r="D35" s="80"/>
      <c r="E35" s="80"/>
      <c r="F35" s="68"/>
      <c r="G35" s="78"/>
      <c r="H35" s="79"/>
      <c r="I35" s="79"/>
      <c r="J35" s="75" t="s">
        <v>20</v>
      </c>
      <c r="K35" s="83" t="s">
        <v>21</v>
      </c>
      <c r="L35" s="110"/>
      <c r="M35" s="110"/>
      <c r="N35" s="65"/>
      <c r="O35" s="132">
        <v>1384</v>
      </c>
      <c r="P35" s="62">
        <v>1384</v>
      </c>
      <c r="Q35" s="105">
        <f t="shared" si="4"/>
        <v>100</v>
      </c>
    </row>
    <row r="36" spans="1:17" ht="14.1" customHeight="1" x14ac:dyDescent="0.25">
      <c r="A36" s="50"/>
      <c r="B36" s="67"/>
      <c r="C36" s="124"/>
      <c r="D36" s="80"/>
      <c r="E36" s="80"/>
      <c r="F36" s="68"/>
      <c r="G36" s="78"/>
      <c r="H36" s="79"/>
      <c r="I36" s="79"/>
      <c r="J36" s="75"/>
      <c r="K36" s="83" t="s">
        <v>265</v>
      </c>
      <c r="L36" s="110"/>
      <c r="M36" s="110"/>
      <c r="N36" s="136">
        <f>SUM(N30:N35)</f>
        <v>1193152</v>
      </c>
      <c r="O36" s="137">
        <f>SUM(O30:O35)</f>
        <v>1096644</v>
      </c>
      <c r="P36" s="137">
        <f>SUM(P30:P35)</f>
        <v>1096644</v>
      </c>
      <c r="Q36" s="105">
        <f t="shared" si="4"/>
        <v>100</v>
      </c>
    </row>
    <row r="37" spans="1:17" ht="14.1" customHeight="1" x14ac:dyDescent="0.25">
      <c r="A37" s="50"/>
      <c r="B37" s="67"/>
      <c r="C37" s="124"/>
      <c r="D37" s="80"/>
      <c r="E37" s="80"/>
      <c r="F37" s="68"/>
      <c r="G37" s="78"/>
      <c r="H37" s="78"/>
      <c r="I37" s="78"/>
      <c r="J37" s="138" t="s">
        <v>22</v>
      </c>
      <c r="K37" s="139" t="s">
        <v>23</v>
      </c>
      <c r="L37" s="140"/>
      <c r="M37" s="140"/>
      <c r="N37" s="141"/>
      <c r="O37" s="132"/>
      <c r="P37" s="62"/>
      <c r="Q37" s="105"/>
    </row>
    <row r="38" spans="1:17" ht="14.1" customHeight="1" x14ac:dyDescent="0.25">
      <c r="A38" s="50"/>
      <c r="B38" s="67"/>
      <c r="C38" s="124"/>
      <c r="D38" s="80"/>
      <c r="E38" s="80"/>
      <c r="F38" s="68"/>
      <c r="G38" s="78"/>
      <c r="H38" s="78"/>
      <c r="I38" s="78"/>
      <c r="J38" s="103" t="s">
        <v>266</v>
      </c>
      <c r="K38" s="641" t="s">
        <v>25</v>
      </c>
      <c r="L38" s="651"/>
      <c r="M38" s="651"/>
      <c r="N38" s="65">
        <v>1384</v>
      </c>
      <c r="O38" s="132">
        <v>0</v>
      </c>
      <c r="P38" s="62"/>
      <c r="Q38" s="105"/>
    </row>
    <row r="39" spans="1:17" ht="14.1" customHeight="1" x14ac:dyDescent="0.25">
      <c r="A39" s="50"/>
      <c r="B39" s="67"/>
      <c r="C39" s="124"/>
      <c r="D39" s="80"/>
      <c r="E39" s="80"/>
      <c r="F39" s="68"/>
      <c r="G39" s="78"/>
      <c r="H39" s="78"/>
      <c r="I39" s="78"/>
      <c r="J39" s="103" t="s">
        <v>32</v>
      </c>
      <c r="K39" s="76" t="s">
        <v>33</v>
      </c>
      <c r="L39" s="77"/>
      <c r="M39" s="77"/>
      <c r="N39" s="136"/>
      <c r="O39" s="132">
        <v>3498</v>
      </c>
      <c r="P39" s="62">
        <v>3497</v>
      </c>
      <c r="Q39" s="105">
        <f t="shared" si="4"/>
        <v>99.971412235563179</v>
      </c>
    </row>
    <row r="40" spans="1:17" ht="14.1" customHeight="1" x14ac:dyDescent="0.25">
      <c r="A40" s="50"/>
      <c r="B40" s="67"/>
      <c r="C40" s="124"/>
      <c r="D40" s="80"/>
      <c r="E40" s="80"/>
      <c r="F40" s="68"/>
      <c r="G40" s="78"/>
      <c r="H40" s="78"/>
      <c r="I40" s="78"/>
      <c r="J40" s="125"/>
      <c r="K40" s="139" t="s">
        <v>267</v>
      </c>
      <c r="L40" s="142"/>
      <c r="M40" s="143"/>
      <c r="N40" s="136">
        <f>SUM(N36:N39)</f>
        <v>1194536</v>
      </c>
      <c r="O40" s="137">
        <f>SUM(O38,O36,O39)</f>
        <v>1100142</v>
      </c>
      <c r="P40" s="137">
        <f>SUM(P38,P36,P39)</f>
        <v>1100141</v>
      </c>
      <c r="Q40" s="105">
        <f t="shared" si="4"/>
        <v>99.999909102643116</v>
      </c>
    </row>
    <row r="41" spans="1:17" ht="14.1" customHeight="1" x14ac:dyDescent="0.25">
      <c r="A41" s="50"/>
      <c r="B41" s="67"/>
      <c r="C41" s="124"/>
      <c r="D41" s="80"/>
      <c r="E41" s="80"/>
      <c r="F41" s="68"/>
      <c r="G41" s="78"/>
      <c r="H41" s="78"/>
      <c r="I41" s="78"/>
      <c r="J41" s="144" t="s">
        <v>268</v>
      </c>
      <c r="K41" s="145"/>
      <c r="L41" s="146"/>
      <c r="M41" s="146"/>
      <c r="N41" s="141"/>
      <c r="O41" s="132"/>
      <c r="P41" s="62"/>
      <c r="Q41" s="105"/>
    </row>
    <row r="42" spans="1:17" ht="14.1" customHeight="1" x14ac:dyDescent="0.25">
      <c r="A42" s="50"/>
      <c r="B42" s="67"/>
      <c r="C42" s="124"/>
      <c r="D42" s="80"/>
      <c r="E42" s="80"/>
      <c r="F42" s="68"/>
      <c r="G42" s="78"/>
      <c r="H42" s="78"/>
      <c r="I42" s="78"/>
      <c r="J42" s="103" t="s">
        <v>269</v>
      </c>
      <c r="K42" s="76" t="s">
        <v>39</v>
      </c>
      <c r="L42" s="146"/>
      <c r="M42" s="146"/>
      <c r="N42" s="141"/>
      <c r="O42" s="132">
        <f>427206+6384</f>
        <v>433590</v>
      </c>
      <c r="P42" s="62">
        <v>433590</v>
      </c>
      <c r="Q42" s="105">
        <f t="shared" si="4"/>
        <v>100</v>
      </c>
    </row>
    <row r="43" spans="1:17" ht="14.1" customHeight="1" x14ac:dyDescent="0.25">
      <c r="A43" s="50"/>
      <c r="B43" s="67"/>
      <c r="C43" s="124"/>
      <c r="D43" s="80"/>
      <c r="E43" s="80"/>
      <c r="F43" s="68"/>
      <c r="G43" s="78"/>
      <c r="H43" s="44"/>
      <c r="I43" s="44"/>
      <c r="J43" s="115"/>
      <c r="K43" s="147" t="s">
        <v>270</v>
      </c>
      <c r="L43" s="146"/>
      <c r="M43" s="146"/>
      <c r="N43" s="141"/>
      <c r="O43" s="132">
        <f>SUM(O42)</f>
        <v>433590</v>
      </c>
      <c r="P43" s="137">
        <f>SUM(P42)</f>
        <v>433590</v>
      </c>
      <c r="Q43" s="105">
        <f t="shared" si="4"/>
        <v>100</v>
      </c>
    </row>
    <row r="44" spans="1:17" ht="14.1" customHeight="1" x14ac:dyDescent="0.25">
      <c r="A44" s="50"/>
      <c r="B44" s="67"/>
      <c r="C44" s="761"/>
      <c r="D44" s="761"/>
      <c r="E44" s="631"/>
      <c r="F44" s="127"/>
      <c r="G44" s="78"/>
      <c r="H44" s="44"/>
      <c r="I44" s="44"/>
      <c r="J44" s="148" t="s">
        <v>49</v>
      </c>
      <c r="K44" s="142" t="s">
        <v>271</v>
      </c>
      <c r="L44" s="149"/>
      <c r="M44" s="149"/>
      <c r="N44" s="126"/>
      <c r="O44" s="61"/>
      <c r="P44" s="62"/>
      <c r="Q44" s="105"/>
    </row>
    <row r="45" spans="1:17" ht="14.1" customHeight="1" x14ac:dyDescent="0.25">
      <c r="A45" s="50"/>
      <c r="B45" s="67"/>
      <c r="C45" s="83"/>
      <c r="D45" s="124"/>
      <c r="E45" s="124"/>
      <c r="F45" s="68"/>
      <c r="G45" s="79"/>
      <c r="H45" s="79"/>
      <c r="I45" s="79"/>
      <c r="J45" s="150" t="s">
        <v>272</v>
      </c>
      <c r="K45" s="702" t="s">
        <v>52</v>
      </c>
      <c r="L45" s="703"/>
      <c r="M45" s="703"/>
      <c r="N45" s="151">
        <v>6600</v>
      </c>
      <c r="O45" s="61">
        <v>6600</v>
      </c>
      <c r="P45" s="620" t="s">
        <v>443</v>
      </c>
      <c r="Q45" s="621"/>
    </row>
    <row r="46" spans="1:17" ht="14.1" customHeight="1" x14ac:dyDescent="0.25">
      <c r="A46" s="50"/>
      <c r="B46" s="67"/>
      <c r="C46" s="83"/>
      <c r="D46" s="124"/>
      <c r="E46" s="124"/>
      <c r="F46" s="68"/>
      <c r="G46" s="79"/>
      <c r="H46" s="79"/>
      <c r="I46" s="79"/>
      <c r="J46" s="152" t="s">
        <v>53</v>
      </c>
      <c r="K46" s="629" t="s">
        <v>54</v>
      </c>
      <c r="L46" s="630"/>
      <c r="M46" s="630"/>
      <c r="N46" s="153">
        <v>405000</v>
      </c>
      <c r="O46" s="61">
        <f>405000+150000</f>
        <v>555000</v>
      </c>
      <c r="P46" s="622"/>
      <c r="Q46" s="623"/>
    </row>
    <row r="47" spans="1:17" ht="14.1" customHeight="1" x14ac:dyDescent="0.25">
      <c r="A47" s="50"/>
      <c r="B47" s="67"/>
      <c r="C47" s="83"/>
      <c r="D47" s="124"/>
      <c r="E47" s="124"/>
      <c r="F47" s="68"/>
      <c r="G47" s="79"/>
      <c r="H47" s="79"/>
      <c r="I47" s="79"/>
      <c r="J47" s="152" t="s">
        <v>55</v>
      </c>
      <c r="K47" s="629" t="s">
        <v>56</v>
      </c>
      <c r="L47" s="630"/>
      <c r="M47" s="630"/>
      <c r="N47" s="153">
        <v>28000</v>
      </c>
      <c r="O47" s="61">
        <v>28000</v>
      </c>
      <c r="P47" s="622"/>
      <c r="Q47" s="623"/>
    </row>
    <row r="48" spans="1:17" ht="34.5" customHeight="1" x14ac:dyDescent="0.25">
      <c r="A48" s="50"/>
      <c r="B48" s="67"/>
      <c r="C48" s="83"/>
      <c r="D48" s="124"/>
      <c r="E48" s="124"/>
      <c r="F48" s="68"/>
      <c r="G48" s="79"/>
      <c r="H48" s="79"/>
      <c r="I48" s="79"/>
      <c r="J48" s="152" t="s">
        <v>57</v>
      </c>
      <c r="K48" s="629" t="s">
        <v>58</v>
      </c>
      <c r="L48" s="630"/>
      <c r="M48" s="630"/>
      <c r="N48" s="153">
        <v>5600</v>
      </c>
      <c r="O48" s="61">
        <v>5600</v>
      </c>
      <c r="P48" s="624"/>
      <c r="Q48" s="625"/>
    </row>
    <row r="49" spans="1:17" ht="65.25" customHeight="1" x14ac:dyDescent="0.25">
      <c r="A49" s="50"/>
      <c r="B49" s="154"/>
      <c r="C49" s="704"/>
      <c r="D49" s="705"/>
      <c r="E49" s="705"/>
      <c r="F49" s="68"/>
      <c r="G49" s="79"/>
      <c r="H49" s="79"/>
      <c r="I49" s="79"/>
      <c r="J49" s="152" t="s">
        <v>59</v>
      </c>
      <c r="K49" s="629" t="s">
        <v>60</v>
      </c>
      <c r="L49" s="630"/>
      <c r="M49" s="630"/>
      <c r="N49" s="153">
        <v>3000</v>
      </c>
      <c r="O49" s="61">
        <v>3000</v>
      </c>
      <c r="P49" s="62">
        <v>1697</v>
      </c>
      <c r="Q49" s="105">
        <f t="shared" si="4"/>
        <v>56.566666666666663</v>
      </c>
    </row>
    <row r="50" spans="1:17" ht="14.1" customHeight="1" x14ac:dyDescent="0.25">
      <c r="A50" s="50"/>
      <c r="B50" s="67"/>
      <c r="C50" s="124"/>
      <c r="D50" s="80"/>
      <c r="E50" s="80"/>
      <c r="F50" s="111"/>
      <c r="G50" s="52"/>
      <c r="H50" s="53"/>
      <c r="I50" s="53"/>
      <c r="J50" s="75"/>
      <c r="K50" s="83" t="s">
        <v>273</v>
      </c>
      <c r="L50" s="110"/>
      <c r="M50" s="110"/>
      <c r="N50" s="136">
        <v>448200</v>
      </c>
      <c r="O50" s="137">
        <f>SUM(O45:O49)</f>
        <v>598200</v>
      </c>
      <c r="P50" s="137">
        <f>SUM(P45:P49)</f>
        <v>1697</v>
      </c>
      <c r="Q50" s="105"/>
    </row>
    <row r="51" spans="1:17" ht="14.1" customHeight="1" x14ac:dyDescent="0.25">
      <c r="A51" s="50"/>
      <c r="B51" s="67"/>
      <c r="C51" s="124"/>
      <c r="D51" s="80"/>
      <c r="E51" s="80"/>
      <c r="F51" s="111"/>
      <c r="G51" s="52"/>
      <c r="H51" s="52"/>
      <c r="I51" s="52"/>
      <c r="J51" s="56" t="s">
        <v>242</v>
      </c>
      <c r="K51" s="57"/>
      <c r="L51" s="58"/>
      <c r="M51" s="58"/>
      <c r="N51" s="60"/>
      <c r="O51" s="61"/>
      <c r="P51" s="62"/>
      <c r="Q51" s="105"/>
    </row>
    <row r="52" spans="1:17" ht="14.1" customHeight="1" thickBot="1" x14ac:dyDescent="0.3">
      <c r="A52" s="50"/>
      <c r="B52" s="67"/>
      <c r="C52" s="124"/>
      <c r="D52" s="80"/>
      <c r="E52" s="80"/>
      <c r="F52" s="84"/>
      <c r="G52" s="52"/>
      <c r="H52" s="85"/>
      <c r="I52" s="85"/>
      <c r="J52" s="67" t="s">
        <v>243</v>
      </c>
      <c r="K52" s="631" t="s">
        <v>244</v>
      </c>
      <c r="L52" s="632"/>
      <c r="M52" s="632"/>
      <c r="N52" s="68"/>
      <c r="O52" s="61">
        <v>35004</v>
      </c>
      <c r="P52" s="62"/>
      <c r="Q52" s="105"/>
    </row>
    <row r="53" spans="1:17" ht="14.1" customHeight="1" thickBot="1" x14ac:dyDescent="0.3">
      <c r="A53" s="50"/>
      <c r="B53" s="67"/>
      <c r="C53" s="124"/>
      <c r="D53" s="80"/>
      <c r="E53" s="80"/>
      <c r="F53" s="84"/>
      <c r="G53" s="52"/>
      <c r="H53" s="85"/>
      <c r="I53" s="85"/>
      <c r="J53" s="103" t="s">
        <v>146</v>
      </c>
      <c r="K53" s="641" t="s">
        <v>147</v>
      </c>
      <c r="L53" s="651"/>
      <c r="M53" s="651"/>
      <c r="N53" s="89"/>
      <c r="O53" s="90"/>
      <c r="P53" s="96">
        <v>35293</v>
      </c>
      <c r="Q53" s="118"/>
    </row>
    <row r="54" spans="1:17" ht="14.1" customHeight="1" thickBot="1" x14ac:dyDescent="0.3">
      <c r="A54" s="50"/>
      <c r="B54" s="155"/>
      <c r="C54" s="631" t="s">
        <v>247</v>
      </c>
      <c r="D54" s="632"/>
      <c r="E54" s="632"/>
      <c r="F54" s="93">
        <f>SUM(F30:F31)</f>
        <v>192442</v>
      </c>
      <c r="G54" s="119">
        <f>SUM(G30:G50)</f>
        <v>234023</v>
      </c>
      <c r="H54" s="119">
        <f>SUM(H30:H50)</f>
        <v>234021</v>
      </c>
      <c r="I54" s="156">
        <f>H54/G54*100</f>
        <v>99.9991453831461</v>
      </c>
      <c r="J54" s="67"/>
      <c r="K54" s="631" t="s">
        <v>248</v>
      </c>
      <c r="L54" s="632"/>
      <c r="M54" s="632"/>
      <c r="N54" s="95">
        <f>SUM(N50,N40)</f>
        <v>1642736</v>
      </c>
      <c r="O54" s="121">
        <f>SUM(O50,O40,O43,O52)</f>
        <v>2166936</v>
      </c>
      <c r="P54" s="122">
        <f>SUM(P53,P50,P43,P40)</f>
        <v>1570721</v>
      </c>
      <c r="Q54" s="118">
        <f t="shared" si="4"/>
        <v>72.485804841490477</v>
      </c>
    </row>
    <row r="55" spans="1:17" ht="14.1" customHeight="1" x14ac:dyDescent="0.25">
      <c r="A55" s="42" t="s">
        <v>61</v>
      </c>
      <c r="B55" s="157" t="s">
        <v>274</v>
      </c>
      <c r="C55" s="158"/>
      <c r="D55" s="158"/>
      <c r="E55" s="158"/>
      <c r="F55" s="159"/>
      <c r="G55" s="99"/>
      <c r="H55" s="100"/>
      <c r="I55" s="100"/>
      <c r="J55" s="157" t="s">
        <v>274</v>
      </c>
      <c r="K55" s="160"/>
      <c r="L55" s="161"/>
      <c r="M55" s="161"/>
      <c r="N55" s="111"/>
      <c r="O55" s="47"/>
      <c r="P55" s="54"/>
      <c r="Q55" s="55"/>
    </row>
    <row r="56" spans="1:17" ht="14.1" customHeight="1" thickBot="1" x14ac:dyDescent="0.3">
      <c r="A56" s="50"/>
      <c r="B56" s="676" t="s">
        <v>275</v>
      </c>
      <c r="C56" s="677"/>
      <c r="D56" s="677"/>
      <c r="E56" s="677"/>
      <c r="F56" s="162">
        <v>453148</v>
      </c>
      <c r="G56" s="114">
        <v>465561</v>
      </c>
      <c r="H56" s="114">
        <v>416150</v>
      </c>
      <c r="I56" s="86">
        <f>H56/G56*100</f>
        <v>89.38678282759939</v>
      </c>
      <c r="J56" s="163" t="s">
        <v>114</v>
      </c>
      <c r="K56" s="649" t="s">
        <v>115</v>
      </c>
      <c r="L56" s="650"/>
      <c r="M56" s="650"/>
      <c r="N56" s="68"/>
      <c r="O56" s="164"/>
      <c r="P56" s="62"/>
      <c r="Q56" s="63"/>
    </row>
    <row r="57" spans="1:17" ht="14.1" customHeight="1" thickBot="1" x14ac:dyDescent="0.3">
      <c r="A57" s="50"/>
      <c r="B57" s="165"/>
      <c r="C57" s="166"/>
      <c r="D57" s="166"/>
      <c r="E57" s="166"/>
      <c r="F57" s="162"/>
      <c r="G57" s="114"/>
      <c r="H57" s="114"/>
      <c r="I57" s="86"/>
      <c r="J57" s="167" t="s">
        <v>138</v>
      </c>
      <c r="K57" s="649" t="s">
        <v>139</v>
      </c>
      <c r="L57" s="650"/>
      <c r="M57" s="650"/>
      <c r="N57" s="81"/>
      <c r="O57" s="168"/>
      <c r="P57" s="62"/>
      <c r="Q57" s="63"/>
    </row>
    <row r="58" spans="1:17" ht="14.1" customHeight="1" thickBot="1" x14ac:dyDescent="0.3">
      <c r="A58" s="50"/>
      <c r="B58" s="165"/>
      <c r="C58" s="166"/>
      <c r="D58" s="166"/>
      <c r="E58" s="166"/>
      <c r="F58" s="162"/>
      <c r="G58" s="114"/>
      <c r="H58" s="114"/>
      <c r="I58" s="86"/>
      <c r="J58" s="169" t="s">
        <v>140</v>
      </c>
      <c r="K58" s="641" t="s">
        <v>141</v>
      </c>
      <c r="L58" s="651"/>
      <c r="M58" s="651"/>
      <c r="N58" s="89"/>
      <c r="O58" s="90"/>
      <c r="P58" s="91">
        <f>273820-10280</f>
        <v>263540</v>
      </c>
      <c r="Q58" s="92"/>
    </row>
    <row r="59" spans="1:17" ht="14.1" customHeight="1" thickBot="1" x14ac:dyDescent="0.3">
      <c r="A59" s="50"/>
      <c r="B59" s="157"/>
      <c r="C59" s="738" t="s">
        <v>247</v>
      </c>
      <c r="D59" s="739"/>
      <c r="E59" s="739"/>
      <c r="F59" s="170">
        <f>SUM(F56)</f>
        <v>453148</v>
      </c>
      <c r="G59" s="171">
        <f>SUM(G56)</f>
        <v>465561</v>
      </c>
      <c r="H59" s="171">
        <f>SUM(H56)</f>
        <v>416150</v>
      </c>
      <c r="I59" s="86">
        <f>H59/G59*100</f>
        <v>89.38678282759939</v>
      </c>
      <c r="J59" s="172"/>
      <c r="K59" s="631" t="s">
        <v>248</v>
      </c>
      <c r="L59" s="632"/>
      <c r="M59" s="632"/>
      <c r="N59" s="89"/>
      <c r="O59" s="90"/>
      <c r="P59" s="122">
        <f>SUM(P58)</f>
        <v>263540</v>
      </c>
      <c r="Q59" s="97"/>
    </row>
    <row r="60" spans="1:17" ht="14.1" customHeight="1" x14ac:dyDescent="0.25">
      <c r="A60" s="42" t="s">
        <v>85</v>
      </c>
      <c r="B60" s="638" t="s">
        <v>276</v>
      </c>
      <c r="C60" s="639"/>
      <c r="D60" s="639"/>
      <c r="E60" s="639"/>
      <c r="F60" s="123"/>
      <c r="G60" s="99"/>
      <c r="H60" s="100"/>
      <c r="I60" s="100"/>
      <c r="J60" s="638" t="s">
        <v>276</v>
      </c>
      <c r="K60" s="639"/>
      <c r="L60" s="639"/>
      <c r="M60" s="639"/>
      <c r="N60" s="123"/>
      <c r="O60" s="82"/>
      <c r="P60" s="54"/>
      <c r="Q60" s="55"/>
    </row>
    <row r="61" spans="1:17" s="177" customFormat="1" ht="14.1" customHeight="1" x14ac:dyDescent="0.25">
      <c r="A61" s="173"/>
      <c r="B61" s="56" t="s">
        <v>171</v>
      </c>
      <c r="C61" s="102"/>
      <c r="D61" s="80"/>
      <c r="E61" s="80"/>
      <c r="F61" s="81"/>
      <c r="G61" s="168"/>
      <c r="H61" s="82"/>
      <c r="I61" s="82"/>
      <c r="J61" s="174"/>
      <c r="K61" s="175"/>
      <c r="L61" s="175"/>
      <c r="M61" s="175"/>
      <c r="N61" s="123"/>
      <c r="O61" s="82"/>
      <c r="P61" s="164"/>
      <c r="Q61" s="176"/>
    </row>
    <row r="62" spans="1:17" s="177" customFormat="1" ht="14.1" customHeight="1" x14ac:dyDescent="0.25">
      <c r="A62" s="173"/>
      <c r="B62" s="64" t="s">
        <v>251</v>
      </c>
      <c r="C62" s="640" t="s">
        <v>177</v>
      </c>
      <c r="D62" s="640"/>
      <c r="E62" s="641"/>
      <c r="F62" s="178"/>
      <c r="G62" s="168">
        <f>50400+515</f>
        <v>50915</v>
      </c>
      <c r="H62" s="82">
        <v>50915</v>
      </c>
      <c r="I62" s="179">
        <f>H62/G62*100</f>
        <v>100</v>
      </c>
      <c r="J62" s="174"/>
      <c r="K62" s="175"/>
      <c r="L62" s="175"/>
      <c r="M62" s="175"/>
      <c r="N62" s="123"/>
      <c r="O62" s="82"/>
      <c r="P62" s="164"/>
      <c r="Q62" s="176"/>
    </row>
    <row r="63" spans="1:17" ht="14.1" customHeight="1" x14ac:dyDescent="0.25">
      <c r="A63" s="180"/>
      <c r="B63" s="144" t="s">
        <v>205</v>
      </c>
      <c r="C63" s="181"/>
      <c r="D63" s="80"/>
      <c r="E63" s="80"/>
      <c r="F63" s="178"/>
      <c r="G63" s="99"/>
      <c r="H63" s="99"/>
      <c r="I63" s="179"/>
      <c r="J63" s="144" t="s">
        <v>268</v>
      </c>
      <c r="K63" s="145"/>
      <c r="L63" s="182"/>
      <c r="M63" s="77"/>
      <c r="N63" s="68"/>
      <c r="O63" s="61"/>
      <c r="P63" s="62"/>
      <c r="Q63" s="63"/>
    </row>
    <row r="64" spans="1:17" ht="14.1" customHeight="1" x14ac:dyDescent="0.25">
      <c r="A64" s="180"/>
      <c r="B64" s="64" t="s">
        <v>38</v>
      </c>
      <c r="C64" s="83" t="s">
        <v>206</v>
      </c>
      <c r="D64" s="124"/>
      <c r="E64" s="149"/>
      <c r="F64" s="81">
        <v>259209</v>
      </c>
      <c r="G64" s="99">
        <v>234012</v>
      </c>
      <c r="H64" s="99">
        <v>234012</v>
      </c>
      <c r="I64" s="179">
        <f t="shared" ref="I64:I67" si="5">H64/G64*100</f>
        <v>100</v>
      </c>
      <c r="J64" s="103" t="s">
        <v>46</v>
      </c>
      <c r="K64" s="76" t="s">
        <v>47</v>
      </c>
      <c r="L64" s="182"/>
      <c r="M64" s="77"/>
      <c r="N64" s="68">
        <v>254983</v>
      </c>
      <c r="O64" s="61">
        <v>245110</v>
      </c>
      <c r="P64" s="62">
        <v>234352</v>
      </c>
      <c r="Q64" s="105">
        <f>P64/O64*100</f>
        <v>95.610950185630941</v>
      </c>
    </row>
    <row r="65" spans="1:17" ht="14.1" customHeight="1" x14ac:dyDescent="0.25">
      <c r="A65" s="180"/>
      <c r="B65" s="64"/>
      <c r="C65" s="83" t="s">
        <v>277</v>
      </c>
      <c r="D65" s="124"/>
      <c r="E65" s="149"/>
      <c r="F65" s="183">
        <v>259209</v>
      </c>
      <c r="G65" s="184">
        <v>209209</v>
      </c>
      <c r="H65" s="184">
        <v>233666</v>
      </c>
      <c r="I65" s="179">
        <f t="shared" si="5"/>
        <v>111.69022365194614</v>
      </c>
      <c r="J65" s="185"/>
      <c r="K65" s="186" t="s">
        <v>35</v>
      </c>
      <c r="L65" s="186"/>
      <c r="M65" s="186"/>
      <c r="N65" s="187">
        <v>238196</v>
      </c>
      <c r="O65" s="188">
        <v>238196</v>
      </c>
      <c r="P65" s="189">
        <v>234352</v>
      </c>
      <c r="Q65" s="105">
        <f t="shared" ref="Q65:Q67" si="6">P65/O65*100</f>
        <v>98.386202958907788</v>
      </c>
    </row>
    <row r="66" spans="1:17" ht="14.1" customHeight="1" thickBot="1" x14ac:dyDescent="0.3">
      <c r="A66" s="180"/>
      <c r="B66" s="190" t="s">
        <v>213</v>
      </c>
      <c r="C66" s="745" t="s">
        <v>211</v>
      </c>
      <c r="D66" s="745"/>
      <c r="E66" s="702"/>
      <c r="F66" s="191">
        <v>15744</v>
      </c>
      <c r="G66" s="78">
        <f>49625+4384</f>
        <v>54009</v>
      </c>
      <c r="H66" s="114">
        <v>34258</v>
      </c>
      <c r="I66" s="192">
        <f t="shared" si="5"/>
        <v>63.430169045899753</v>
      </c>
      <c r="J66" s="185"/>
      <c r="K66" s="193"/>
      <c r="L66" s="194"/>
      <c r="M66" s="194"/>
      <c r="N66" s="195"/>
      <c r="O66" s="117"/>
      <c r="P66" s="91"/>
      <c r="Q66" s="118"/>
    </row>
    <row r="67" spans="1:17" ht="14.1" customHeight="1" thickBot="1" x14ac:dyDescent="0.3">
      <c r="A67" s="50"/>
      <c r="B67" s="120"/>
      <c r="C67" s="69" t="s">
        <v>247</v>
      </c>
      <c r="D67" s="69"/>
      <c r="E67" s="70"/>
      <c r="F67" s="95">
        <f>SUM(F66,F64)</f>
        <v>274953</v>
      </c>
      <c r="G67" s="119">
        <f>G64+G66+G62</f>
        <v>338936</v>
      </c>
      <c r="H67" s="119">
        <f>H64+H66+H62</f>
        <v>319185</v>
      </c>
      <c r="I67" s="192">
        <f t="shared" si="5"/>
        <v>94.172646163287467</v>
      </c>
      <c r="J67" s="186"/>
      <c r="K67" s="631" t="s">
        <v>248</v>
      </c>
      <c r="L67" s="632"/>
      <c r="M67" s="632"/>
      <c r="N67" s="95">
        <f>SUM(N64)</f>
        <v>254983</v>
      </c>
      <c r="O67" s="121">
        <f>SUM(O64)</f>
        <v>245110</v>
      </c>
      <c r="P67" s="122">
        <f>SUM(P64)</f>
        <v>234352</v>
      </c>
      <c r="Q67" s="118">
        <f t="shared" si="6"/>
        <v>95.610950185630941</v>
      </c>
    </row>
    <row r="68" spans="1:17" ht="14.1" customHeight="1" x14ac:dyDescent="0.25">
      <c r="A68" s="42" t="s">
        <v>97</v>
      </c>
      <c r="B68" s="746" t="s">
        <v>278</v>
      </c>
      <c r="C68" s="747"/>
      <c r="D68" s="747"/>
      <c r="E68" s="747"/>
      <c r="F68" s="123"/>
      <c r="G68" s="196"/>
      <c r="H68" s="197"/>
      <c r="I68" s="197"/>
      <c r="J68" s="746" t="s">
        <v>278</v>
      </c>
      <c r="K68" s="747"/>
      <c r="L68" s="747"/>
      <c r="M68" s="747"/>
      <c r="N68" s="123"/>
      <c r="O68" s="198"/>
      <c r="P68" s="54"/>
      <c r="Q68" s="55"/>
    </row>
    <row r="69" spans="1:17" ht="14.1" customHeight="1" x14ac:dyDescent="0.25">
      <c r="A69" s="199"/>
      <c r="B69" s="56" t="s">
        <v>171</v>
      </c>
      <c r="C69" s="102"/>
      <c r="D69" s="80"/>
      <c r="E69" s="80"/>
      <c r="F69" s="65"/>
      <c r="G69" s="44"/>
      <c r="H69" s="44"/>
      <c r="I69" s="44"/>
      <c r="J69" s="69"/>
      <c r="K69" s="70"/>
      <c r="L69" s="110"/>
      <c r="M69" s="110"/>
      <c r="N69" s="65"/>
      <c r="O69" s="200"/>
      <c r="P69" s="62"/>
      <c r="Q69" s="63"/>
    </row>
    <row r="70" spans="1:17" ht="14.1" customHeight="1" x14ac:dyDescent="0.25">
      <c r="A70" s="50"/>
      <c r="B70" s="64" t="s">
        <v>251</v>
      </c>
      <c r="C70" s="640" t="s">
        <v>177</v>
      </c>
      <c r="D70" s="640"/>
      <c r="E70" s="641"/>
      <c r="F70" s="127">
        <v>5486</v>
      </c>
      <c r="G70" s="78">
        <f>5486-2500</f>
        <v>2986</v>
      </c>
      <c r="H70" s="78">
        <v>2493</v>
      </c>
      <c r="I70" s="128">
        <f>H70/G70*100</f>
        <v>83.489618218352319</v>
      </c>
      <c r="J70" s="69"/>
      <c r="K70" s="70"/>
      <c r="L70" s="110"/>
      <c r="M70" s="110"/>
      <c r="N70" s="68"/>
      <c r="O70" s="176"/>
      <c r="P70" s="62"/>
      <c r="Q70" s="63"/>
    </row>
    <row r="71" spans="1:17" ht="14.1" customHeight="1" thickBot="1" x14ac:dyDescent="0.3">
      <c r="A71" s="50"/>
      <c r="B71" s="64" t="s">
        <v>188</v>
      </c>
      <c r="C71" s="201" t="s">
        <v>279</v>
      </c>
      <c r="D71" s="201"/>
      <c r="E71" s="76"/>
      <c r="F71" s="113">
        <v>210</v>
      </c>
      <c r="G71" s="85">
        <v>210</v>
      </c>
      <c r="H71" s="114"/>
      <c r="I71" s="86"/>
      <c r="J71" s="69"/>
      <c r="K71" s="70"/>
      <c r="L71" s="110"/>
      <c r="M71" s="110"/>
      <c r="N71" s="89"/>
      <c r="O71" s="202"/>
      <c r="P71" s="91"/>
      <c r="Q71" s="92"/>
    </row>
    <row r="72" spans="1:17" ht="14.1" customHeight="1" thickBot="1" x14ac:dyDescent="0.3">
      <c r="A72" s="50"/>
      <c r="B72" s="67"/>
      <c r="C72" s="69" t="s">
        <v>247</v>
      </c>
      <c r="D72" s="69"/>
      <c r="E72" s="70"/>
      <c r="F72" s="170">
        <f>SUM(F70:F71)</f>
        <v>5696</v>
      </c>
      <c r="G72" s="171">
        <f>SUM(G70:G71)</f>
        <v>3196</v>
      </c>
      <c r="H72" s="171">
        <f>SUM(H70:H71)</f>
        <v>2493</v>
      </c>
      <c r="I72" s="86">
        <f t="shared" ref="I72" si="7">H72/G72*100</f>
        <v>78.003754693366716</v>
      </c>
      <c r="J72" s="69"/>
      <c r="K72" s="631" t="s">
        <v>248</v>
      </c>
      <c r="L72" s="632"/>
      <c r="M72" s="632"/>
      <c r="N72" s="89"/>
      <c r="O72" s="202"/>
      <c r="P72" s="96"/>
      <c r="Q72" s="97"/>
    </row>
    <row r="73" spans="1:17" ht="14.1" customHeight="1" x14ac:dyDescent="0.25">
      <c r="A73" s="42" t="s">
        <v>105</v>
      </c>
      <c r="B73" s="638" t="s">
        <v>280</v>
      </c>
      <c r="C73" s="639"/>
      <c r="D73" s="639"/>
      <c r="E73" s="639"/>
      <c r="F73" s="203"/>
      <c r="G73" s="99"/>
      <c r="H73" s="100"/>
      <c r="I73" s="100"/>
      <c r="J73" s="638" t="s">
        <v>280</v>
      </c>
      <c r="K73" s="639"/>
      <c r="L73" s="639"/>
      <c r="M73" s="639"/>
      <c r="N73" s="123"/>
      <c r="O73" s="204"/>
      <c r="P73" s="54"/>
      <c r="Q73" s="55"/>
    </row>
    <row r="74" spans="1:17" ht="14.1" customHeight="1" x14ac:dyDescent="0.25">
      <c r="A74" s="50"/>
      <c r="B74" s="56" t="s">
        <v>171</v>
      </c>
      <c r="C74" s="102"/>
      <c r="D74" s="80"/>
      <c r="E74" s="80"/>
      <c r="F74" s="68"/>
      <c r="G74" s="78"/>
      <c r="H74" s="78"/>
      <c r="I74" s="78"/>
      <c r="J74" s="56" t="s">
        <v>250</v>
      </c>
      <c r="K74" s="57"/>
      <c r="L74" s="80"/>
      <c r="M74" s="80"/>
      <c r="N74" s="68"/>
      <c r="O74" s="61"/>
      <c r="P74" s="62"/>
      <c r="Q74" s="63"/>
    </row>
    <row r="75" spans="1:17" ht="14.1" customHeight="1" thickBot="1" x14ac:dyDescent="0.3">
      <c r="A75" s="50"/>
      <c r="B75" s="64" t="s">
        <v>251</v>
      </c>
      <c r="C75" s="201" t="s">
        <v>177</v>
      </c>
      <c r="D75" s="201"/>
      <c r="E75" s="76"/>
      <c r="F75" s="113">
        <v>162</v>
      </c>
      <c r="G75" s="44">
        <f>162+136</f>
        <v>298</v>
      </c>
      <c r="H75" s="114">
        <v>298</v>
      </c>
      <c r="I75" s="86">
        <f>H75/G75*100</f>
        <v>100</v>
      </c>
      <c r="J75" s="103" t="s">
        <v>281</v>
      </c>
      <c r="K75" s="641" t="s">
        <v>70</v>
      </c>
      <c r="L75" s="651"/>
      <c r="M75" s="651"/>
      <c r="N75" s="68">
        <v>600</v>
      </c>
      <c r="O75" s="61">
        <v>600</v>
      </c>
      <c r="P75" s="62">
        <v>602</v>
      </c>
      <c r="Q75" s="105">
        <f>P75/O75*100</f>
        <v>100.33333333333334</v>
      </c>
    </row>
    <row r="76" spans="1:17" ht="14.1" customHeight="1" thickBot="1" x14ac:dyDescent="0.3">
      <c r="A76" s="50"/>
      <c r="B76" s="67"/>
      <c r="C76" s="69" t="s">
        <v>247</v>
      </c>
      <c r="D76" s="69"/>
      <c r="E76" s="70"/>
      <c r="F76" s="93">
        <f>SUM(F75)</f>
        <v>162</v>
      </c>
      <c r="G76" s="119">
        <f>SUM(G75)</f>
        <v>298</v>
      </c>
      <c r="H76" s="119">
        <f>SUM(H75)</f>
        <v>298</v>
      </c>
      <c r="I76" s="86">
        <f>H76/G76*100</f>
        <v>100</v>
      </c>
      <c r="J76" s="103" t="s">
        <v>73</v>
      </c>
      <c r="K76" s="106" t="s">
        <v>74</v>
      </c>
      <c r="L76" s="108"/>
      <c r="M76" s="108"/>
      <c r="N76" s="116">
        <v>162</v>
      </c>
      <c r="O76" s="117">
        <v>162</v>
      </c>
      <c r="P76" s="91">
        <v>162</v>
      </c>
      <c r="Q76" s="105">
        <f t="shared" ref="Q76:Q77" si="8">P76/O76*100</f>
        <v>100</v>
      </c>
    </row>
    <row r="77" spans="1:17" ht="14.1" customHeight="1" thickBot="1" x14ac:dyDescent="0.3">
      <c r="A77" s="50"/>
      <c r="B77" s="67"/>
      <c r="C77" s="69"/>
      <c r="D77" s="69"/>
      <c r="E77" s="70"/>
      <c r="F77" s="81"/>
      <c r="G77" s="205"/>
      <c r="H77" s="52"/>
      <c r="I77" s="52"/>
      <c r="J77" s="120"/>
      <c r="K77" s="631" t="s">
        <v>248</v>
      </c>
      <c r="L77" s="632"/>
      <c r="M77" s="632"/>
      <c r="N77" s="95">
        <f>SUM(N75:N76)</f>
        <v>762</v>
      </c>
      <c r="O77" s="121">
        <v>762</v>
      </c>
      <c r="P77" s="121">
        <f>SUM(P75:P76)</f>
        <v>764</v>
      </c>
      <c r="Q77" s="118">
        <f t="shared" si="8"/>
        <v>100.26246719160106</v>
      </c>
    </row>
    <row r="78" spans="1:17" ht="14.1" customHeight="1" x14ac:dyDescent="0.25">
      <c r="A78" s="42" t="s">
        <v>282</v>
      </c>
      <c r="B78" s="638" t="s">
        <v>283</v>
      </c>
      <c r="C78" s="639"/>
      <c r="D78" s="639"/>
      <c r="E78" s="639"/>
      <c r="F78" s="123"/>
      <c r="G78" s="99"/>
      <c r="H78" s="100"/>
      <c r="I78" s="100"/>
      <c r="J78" s="638" t="s">
        <v>283</v>
      </c>
      <c r="K78" s="639"/>
      <c r="L78" s="639"/>
      <c r="M78" s="639"/>
      <c r="N78" s="123"/>
      <c r="O78" s="82"/>
      <c r="P78" s="54"/>
      <c r="Q78" s="55"/>
    </row>
    <row r="79" spans="1:17" ht="14.1" customHeight="1" x14ac:dyDescent="0.25">
      <c r="A79" s="206"/>
      <c r="B79" s="56" t="s">
        <v>171</v>
      </c>
      <c r="C79" s="57"/>
      <c r="D79" s="58"/>
      <c r="E79" s="58"/>
      <c r="F79" s="60"/>
      <c r="G79" s="78"/>
      <c r="H79" s="78"/>
      <c r="I79" s="78"/>
      <c r="J79" s="207" t="s">
        <v>284</v>
      </c>
      <c r="K79" s="58"/>
      <c r="L79" s="149"/>
      <c r="M79" s="149"/>
      <c r="N79" s="126"/>
      <c r="O79" s="61"/>
      <c r="P79" s="62"/>
      <c r="Q79" s="63"/>
    </row>
    <row r="80" spans="1:17" ht="14.1" customHeight="1" x14ac:dyDescent="0.25">
      <c r="A80" s="50"/>
      <c r="B80" s="64" t="s">
        <v>172</v>
      </c>
      <c r="C80" s="631" t="s">
        <v>173</v>
      </c>
      <c r="D80" s="632"/>
      <c r="E80" s="632"/>
      <c r="F80" s="68">
        <v>52855</v>
      </c>
      <c r="G80" s="78">
        <f>96312-775</f>
        <v>95537</v>
      </c>
      <c r="H80" s="78">
        <v>89810</v>
      </c>
      <c r="I80" s="128">
        <f>H80/G80*100</f>
        <v>94.005463851701435</v>
      </c>
      <c r="J80" s="64" t="s">
        <v>285</v>
      </c>
      <c r="K80" s="124" t="s">
        <v>33</v>
      </c>
      <c r="L80" s="124"/>
      <c r="M80" s="124"/>
      <c r="N80" s="65">
        <v>34679</v>
      </c>
      <c r="O80" s="132">
        <v>88154</v>
      </c>
      <c r="P80" s="62">
        <v>91599</v>
      </c>
      <c r="Q80" s="105">
        <f>P80/O80*100</f>
        <v>103.9079338430474</v>
      </c>
    </row>
    <row r="81" spans="1:17" ht="14.1" customHeight="1" x14ac:dyDescent="0.25">
      <c r="A81" s="50"/>
      <c r="B81" s="64" t="s">
        <v>174</v>
      </c>
      <c r="C81" s="63" t="s">
        <v>175</v>
      </c>
      <c r="D81" s="69"/>
      <c r="E81" s="70"/>
      <c r="F81" s="68">
        <v>7804</v>
      </c>
      <c r="G81" s="78">
        <v>13709</v>
      </c>
      <c r="H81" s="78">
        <v>13276</v>
      </c>
      <c r="I81" s="128">
        <f t="shared" ref="I81:I88" si="9">H81/G81*100</f>
        <v>96.841490991319574</v>
      </c>
      <c r="J81" s="138" t="s">
        <v>61</v>
      </c>
      <c r="K81" s="139" t="s">
        <v>62</v>
      </c>
      <c r="L81" s="58"/>
      <c r="M81" s="58"/>
      <c r="N81" s="59"/>
      <c r="O81" s="132"/>
      <c r="P81" s="62"/>
      <c r="Q81" s="63"/>
    </row>
    <row r="82" spans="1:17" ht="14.1" customHeight="1" x14ac:dyDescent="0.25">
      <c r="A82" s="50"/>
      <c r="B82" s="64" t="s">
        <v>176</v>
      </c>
      <c r="C82" s="640" t="s">
        <v>177</v>
      </c>
      <c r="D82" s="640"/>
      <c r="E82" s="641"/>
      <c r="F82" s="73">
        <v>15120</v>
      </c>
      <c r="G82" s="44">
        <f>18036-1000</f>
        <v>17036</v>
      </c>
      <c r="H82" s="44">
        <v>16081</v>
      </c>
      <c r="I82" s="128">
        <f t="shared" si="9"/>
        <v>94.394223996243255</v>
      </c>
      <c r="J82" s="103" t="s">
        <v>63</v>
      </c>
      <c r="K82" s="106" t="s">
        <v>64</v>
      </c>
      <c r="L82" s="80"/>
      <c r="M82" s="80"/>
      <c r="N82" s="65"/>
      <c r="O82" s="132"/>
      <c r="P82" s="62">
        <v>227</v>
      </c>
      <c r="Q82" s="63"/>
    </row>
    <row r="83" spans="1:17" ht="14.1" customHeight="1" x14ac:dyDescent="0.25">
      <c r="A83" s="50"/>
      <c r="B83" s="64"/>
      <c r="C83" s="76"/>
      <c r="D83" s="77"/>
      <c r="E83" s="77"/>
      <c r="F83" s="65"/>
      <c r="G83" s="44"/>
      <c r="H83" s="44"/>
      <c r="I83" s="128"/>
      <c r="J83" s="103" t="s">
        <v>73</v>
      </c>
      <c r="K83" s="106" t="s">
        <v>74</v>
      </c>
      <c r="L83" s="124"/>
      <c r="M83" s="124"/>
      <c r="N83" s="65"/>
      <c r="O83" s="132"/>
      <c r="P83" s="62">
        <v>44</v>
      </c>
      <c r="Q83" s="63"/>
    </row>
    <row r="84" spans="1:17" ht="14.1" customHeight="1" x14ac:dyDescent="0.25">
      <c r="A84" s="50"/>
      <c r="B84" s="64"/>
      <c r="C84" s="76"/>
      <c r="D84" s="77"/>
      <c r="E84" s="77"/>
      <c r="F84" s="65"/>
      <c r="G84" s="44"/>
      <c r="H84" s="44"/>
      <c r="I84" s="128"/>
      <c r="J84" s="103" t="s">
        <v>75</v>
      </c>
      <c r="K84" s="106" t="s">
        <v>76</v>
      </c>
      <c r="L84" s="124"/>
      <c r="M84" s="124"/>
      <c r="N84" s="65"/>
      <c r="O84" s="132"/>
      <c r="P84" s="62">
        <v>7</v>
      </c>
      <c r="Q84" s="63"/>
    </row>
    <row r="85" spans="1:17" ht="14.1" customHeight="1" x14ac:dyDescent="0.25">
      <c r="A85" s="50"/>
      <c r="B85" s="109" t="s">
        <v>286</v>
      </c>
      <c r="C85" s="181" t="s">
        <v>246</v>
      </c>
      <c r="D85" s="80"/>
      <c r="E85" s="80"/>
      <c r="F85" s="68">
        <v>3720</v>
      </c>
      <c r="G85" s="208">
        <v>0</v>
      </c>
      <c r="H85" s="208"/>
      <c r="I85" s="128"/>
      <c r="J85" s="103" t="s">
        <v>83</v>
      </c>
      <c r="K85" s="106" t="s">
        <v>84</v>
      </c>
      <c r="L85" s="124"/>
      <c r="M85" s="124"/>
      <c r="N85" s="68"/>
      <c r="O85" s="61"/>
      <c r="P85" s="62">
        <v>2</v>
      </c>
      <c r="Q85" s="63"/>
    </row>
    <row r="86" spans="1:17" ht="14.1" customHeight="1" x14ac:dyDescent="0.25">
      <c r="A86" s="50"/>
      <c r="B86" s="144" t="s">
        <v>205</v>
      </c>
      <c r="C86" s="181"/>
      <c r="D86" s="80"/>
      <c r="E86" s="80"/>
      <c r="F86" s="68"/>
      <c r="G86" s="208"/>
      <c r="H86" s="208"/>
      <c r="I86" s="128"/>
      <c r="J86" s="56" t="s">
        <v>242</v>
      </c>
      <c r="K86" s="57"/>
      <c r="L86" s="58"/>
      <c r="M86" s="58"/>
      <c r="N86" s="59"/>
      <c r="O86" s="132"/>
      <c r="P86" s="62"/>
      <c r="Q86" s="63"/>
    </row>
    <row r="87" spans="1:17" ht="14.1" customHeight="1" thickBot="1" x14ac:dyDescent="0.3">
      <c r="A87" s="50"/>
      <c r="B87" s="64" t="s">
        <v>38</v>
      </c>
      <c r="C87" s="83" t="s">
        <v>206</v>
      </c>
      <c r="D87" s="80"/>
      <c r="E87" s="80"/>
      <c r="F87" s="113"/>
      <c r="G87" s="209">
        <f>1651+15</f>
        <v>1666</v>
      </c>
      <c r="H87" s="210">
        <v>1654</v>
      </c>
      <c r="I87" s="86">
        <f t="shared" si="9"/>
        <v>99.279711884753894</v>
      </c>
      <c r="J87" s="67" t="s">
        <v>243</v>
      </c>
      <c r="K87" s="631" t="s">
        <v>244</v>
      </c>
      <c r="L87" s="632"/>
      <c r="M87" s="632"/>
      <c r="N87" s="116">
        <v>19271</v>
      </c>
      <c r="O87" s="211">
        <v>19271</v>
      </c>
      <c r="P87" s="91"/>
      <c r="Q87" s="92"/>
    </row>
    <row r="88" spans="1:17" ht="14.1" customHeight="1" thickBot="1" x14ac:dyDescent="0.3">
      <c r="A88" s="50"/>
      <c r="B88" s="67"/>
      <c r="C88" s="631" t="s">
        <v>247</v>
      </c>
      <c r="D88" s="632"/>
      <c r="E88" s="632"/>
      <c r="F88" s="170">
        <f>SUM(F80:F87)</f>
        <v>79499</v>
      </c>
      <c r="G88" s="119">
        <f>SUM(G80:G87)</f>
        <v>127948</v>
      </c>
      <c r="H88" s="119">
        <f>SUM(H80:H87)</f>
        <v>120821</v>
      </c>
      <c r="I88" s="86">
        <f t="shared" si="9"/>
        <v>94.429768343389497</v>
      </c>
      <c r="J88" s="67"/>
      <c r="K88" s="631" t="s">
        <v>248</v>
      </c>
      <c r="L88" s="632"/>
      <c r="M88" s="632"/>
      <c r="N88" s="95">
        <f>SUM(N80:N87)</f>
        <v>53950</v>
      </c>
      <c r="O88" s="121">
        <f>SUM(O80:O85)</f>
        <v>88154</v>
      </c>
      <c r="P88" s="122">
        <f>SUM(P80:P87)</f>
        <v>91879</v>
      </c>
      <c r="Q88" s="212">
        <f>P88/O88*100</f>
        <v>104.22555981577692</v>
      </c>
    </row>
    <row r="89" spans="1:17" ht="14.1" customHeight="1" x14ac:dyDescent="0.25">
      <c r="A89" s="213" t="s">
        <v>287</v>
      </c>
      <c r="B89" s="638" t="s">
        <v>288</v>
      </c>
      <c r="C89" s="639"/>
      <c r="D89" s="639"/>
      <c r="E89" s="639"/>
      <c r="F89" s="214"/>
      <c r="G89" s="215"/>
      <c r="H89" s="216"/>
      <c r="I89" s="216"/>
      <c r="J89" s="638" t="s">
        <v>288</v>
      </c>
      <c r="K89" s="639"/>
      <c r="L89" s="639"/>
      <c r="M89" s="639"/>
      <c r="N89" s="123"/>
      <c r="O89" s="217"/>
      <c r="P89" s="54"/>
      <c r="Q89" s="55"/>
    </row>
    <row r="90" spans="1:17" ht="14.1" customHeight="1" x14ac:dyDescent="0.25">
      <c r="A90" s="50"/>
      <c r="B90" s="56" t="s">
        <v>171</v>
      </c>
      <c r="C90" s="57"/>
      <c r="D90" s="58"/>
      <c r="E90" s="58"/>
      <c r="F90" s="60"/>
      <c r="G90" s="218"/>
      <c r="H90" s="218"/>
      <c r="I90" s="218"/>
      <c r="J90" s="207" t="s">
        <v>284</v>
      </c>
      <c r="K90" s="58"/>
      <c r="L90" s="149"/>
      <c r="M90" s="149"/>
      <c r="N90" s="123"/>
      <c r="O90" s="217"/>
      <c r="P90" s="62"/>
      <c r="Q90" s="63"/>
    </row>
    <row r="91" spans="1:17" ht="14.1" customHeight="1" x14ac:dyDescent="0.25">
      <c r="A91" s="50"/>
      <c r="B91" s="64" t="s">
        <v>172</v>
      </c>
      <c r="C91" s="631" t="s">
        <v>173</v>
      </c>
      <c r="D91" s="632"/>
      <c r="E91" s="632"/>
      <c r="F91" s="68"/>
      <c r="G91" s="78">
        <v>119749</v>
      </c>
      <c r="H91" s="78">
        <v>117775</v>
      </c>
      <c r="I91" s="128">
        <f>H91/G91*100</f>
        <v>98.351551996258848</v>
      </c>
      <c r="J91" s="64" t="s">
        <v>285</v>
      </c>
      <c r="K91" s="124" t="s">
        <v>33</v>
      </c>
      <c r="L91" s="124"/>
      <c r="M91" s="124"/>
      <c r="N91" s="81"/>
      <c r="O91" s="82">
        <v>156832</v>
      </c>
      <c r="P91" s="164">
        <v>181105</v>
      </c>
      <c r="Q91" s="219">
        <f>P91/O91*100</f>
        <v>115.47707100591715</v>
      </c>
    </row>
    <row r="92" spans="1:17" ht="14.1" customHeight="1" x14ac:dyDescent="0.25">
      <c r="A92" s="50"/>
      <c r="B92" s="64" t="s">
        <v>174</v>
      </c>
      <c r="C92" s="63" t="s">
        <v>175</v>
      </c>
      <c r="D92" s="69"/>
      <c r="E92" s="70"/>
      <c r="F92" s="68"/>
      <c r="G92" s="78">
        <v>16658</v>
      </c>
      <c r="H92" s="78">
        <v>16509</v>
      </c>
      <c r="I92" s="128">
        <f t="shared" ref="I92:I99" si="10">H92/G92*100</f>
        <v>99.105534878136638</v>
      </c>
      <c r="J92" s="56" t="s">
        <v>250</v>
      </c>
      <c r="K92" s="57"/>
      <c r="L92" s="80"/>
      <c r="M92" s="80"/>
      <c r="N92" s="81"/>
      <c r="O92" s="82"/>
      <c r="P92" s="62"/>
      <c r="Q92" s="219"/>
    </row>
    <row r="93" spans="1:17" ht="14.1" customHeight="1" x14ac:dyDescent="0.25">
      <c r="A93" s="50"/>
      <c r="B93" s="64" t="s">
        <v>176</v>
      </c>
      <c r="C93" s="640" t="s">
        <v>177</v>
      </c>
      <c r="D93" s="640"/>
      <c r="E93" s="641"/>
      <c r="F93" s="127"/>
      <c r="G93" s="78">
        <f>25873+8000+47</f>
        <v>33920</v>
      </c>
      <c r="H93" s="78">
        <v>33919</v>
      </c>
      <c r="I93" s="128">
        <f t="shared" si="10"/>
        <v>99.997051886792448</v>
      </c>
      <c r="J93" s="103" t="s">
        <v>63</v>
      </c>
      <c r="K93" s="106" t="s">
        <v>64</v>
      </c>
      <c r="L93" s="108"/>
      <c r="M93" s="108"/>
      <c r="N93" s="81"/>
      <c r="O93" s="82">
        <v>10650</v>
      </c>
      <c r="P93" s="62">
        <v>16338</v>
      </c>
      <c r="Q93" s="219">
        <f t="shared" ref="Q93:Q98" si="11">P93/O93*100</f>
        <v>153.40845070422534</v>
      </c>
    </row>
    <row r="94" spans="1:17" ht="14.1" customHeight="1" x14ac:dyDescent="0.25">
      <c r="A94" s="50"/>
      <c r="B94" s="64"/>
      <c r="C94" s="76"/>
      <c r="D94" s="77"/>
      <c r="E94" s="77"/>
      <c r="F94" s="68"/>
      <c r="G94" s="78"/>
      <c r="H94" s="78"/>
      <c r="I94" s="128"/>
      <c r="J94" s="103" t="s">
        <v>65</v>
      </c>
      <c r="K94" s="106" t="s">
        <v>66</v>
      </c>
      <c r="L94" s="108"/>
      <c r="M94" s="108"/>
      <c r="N94" s="81"/>
      <c r="O94" s="82"/>
      <c r="P94" s="62">
        <v>881</v>
      </c>
      <c r="Q94" s="219"/>
    </row>
    <row r="95" spans="1:17" ht="14.1" customHeight="1" x14ac:dyDescent="0.25">
      <c r="A95" s="50"/>
      <c r="B95" s="144" t="s">
        <v>205</v>
      </c>
      <c r="C95" s="181"/>
      <c r="D95" s="77"/>
      <c r="E95" s="77"/>
      <c r="F95" s="68"/>
      <c r="G95" s="78"/>
      <c r="H95" s="78"/>
      <c r="I95" s="128"/>
      <c r="J95" s="103" t="s">
        <v>73</v>
      </c>
      <c r="K95" s="106" t="s">
        <v>74</v>
      </c>
      <c r="L95" s="108"/>
      <c r="M95" s="108"/>
      <c r="N95" s="68"/>
      <c r="O95" s="61">
        <v>2875</v>
      </c>
      <c r="P95" s="62">
        <v>995</v>
      </c>
      <c r="Q95" s="219">
        <f t="shared" si="11"/>
        <v>34.608695652173914</v>
      </c>
    </row>
    <row r="96" spans="1:17" ht="14.1" customHeight="1" x14ac:dyDescent="0.25">
      <c r="A96" s="50"/>
      <c r="B96" s="144"/>
      <c r="C96" s="181"/>
      <c r="D96" s="77"/>
      <c r="E96" s="77"/>
      <c r="F96" s="65"/>
      <c r="G96" s="44"/>
      <c r="H96" s="44"/>
      <c r="I96" s="128"/>
      <c r="J96" s="103" t="s">
        <v>75</v>
      </c>
      <c r="K96" s="106" t="s">
        <v>76</v>
      </c>
      <c r="L96" s="108"/>
      <c r="M96" s="108"/>
      <c r="N96" s="68"/>
      <c r="O96" s="61">
        <v>1651</v>
      </c>
      <c r="P96" s="62">
        <v>1765</v>
      </c>
      <c r="Q96" s="219">
        <f t="shared" si="11"/>
        <v>106.90490611750454</v>
      </c>
    </row>
    <row r="97" spans="1:17" ht="14.1" customHeight="1" thickBot="1" x14ac:dyDescent="0.3">
      <c r="A97" s="50"/>
      <c r="B97" s="144"/>
      <c r="C97" s="181"/>
      <c r="D97" s="77"/>
      <c r="E97" s="77"/>
      <c r="F97" s="65"/>
      <c r="G97" s="44"/>
      <c r="H97" s="44"/>
      <c r="I97" s="66"/>
      <c r="J97" s="103" t="s">
        <v>81</v>
      </c>
      <c r="K97" s="106" t="s">
        <v>82</v>
      </c>
      <c r="L97" s="108"/>
      <c r="M97" s="108"/>
      <c r="N97" s="89"/>
      <c r="O97" s="90"/>
      <c r="P97" s="96">
        <v>1028</v>
      </c>
      <c r="Q97" s="220"/>
    </row>
    <row r="98" spans="1:17" ht="14.1" customHeight="1" thickBot="1" x14ac:dyDescent="0.3">
      <c r="A98" s="50"/>
      <c r="B98" s="64" t="s">
        <v>38</v>
      </c>
      <c r="C98" s="83" t="s">
        <v>206</v>
      </c>
      <c r="D98" s="77"/>
      <c r="E98" s="77"/>
      <c r="F98" s="113"/>
      <c r="G98" s="114">
        <v>12010</v>
      </c>
      <c r="H98" s="114">
        <v>11916</v>
      </c>
      <c r="I98" s="86">
        <f t="shared" si="10"/>
        <v>99.217318900915913</v>
      </c>
      <c r="J98" s="221"/>
      <c r="K98" s="631" t="s">
        <v>248</v>
      </c>
      <c r="L98" s="632"/>
      <c r="M98" s="632"/>
      <c r="N98" s="89"/>
      <c r="O98" s="121">
        <f>SUM(O91:O96)</f>
        <v>172008</v>
      </c>
      <c r="P98" s="122">
        <f>SUM(P91:P97)</f>
        <v>202112</v>
      </c>
      <c r="Q98" s="220">
        <f t="shared" si="11"/>
        <v>117.50151155760197</v>
      </c>
    </row>
    <row r="99" spans="1:17" ht="14.1" customHeight="1" thickBot="1" x14ac:dyDescent="0.3">
      <c r="A99" s="50"/>
      <c r="B99" s="67"/>
      <c r="C99" s="631" t="s">
        <v>247</v>
      </c>
      <c r="D99" s="632"/>
      <c r="E99" s="632"/>
      <c r="F99" s="84"/>
      <c r="G99" s="171">
        <f>SUM(G91:G98)</f>
        <v>182337</v>
      </c>
      <c r="H99" s="171">
        <f>SUM(H91:H98)</f>
        <v>180119</v>
      </c>
      <c r="I99" s="86">
        <f t="shared" si="10"/>
        <v>98.783571079923433</v>
      </c>
      <c r="J99" s="221"/>
      <c r="K99" s="124"/>
      <c r="L99" s="124"/>
      <c r="M99" s="124"/>
      <c r="N99" s="81"/>
      <c r="O99" s="217"/>
      <c r="P99" s="54"/>
      <c r="Q99" s="55"/>
    </row>
    <row r="100" spans="1:17" ht="14.1" customHeight="1" x14ac:dyDescent="0.25">
      <c r="A100" s="42" t="s">
        <v>289</v>
      </c>
      <c r="B100" s="652" t="s">
        <v>290</v>
      </c>
      <c r="C100" s="653"/>
      <c r="D100" s="653"/>
      <c r="E100" s="653"/>
      <c r="F100" s="98"/>
      <c r="G100" s="99"/>
      <c r="H100" s="100"/>
      <c r="I100" s="100"/>
      <c r="J100" s="652" t="s">
        <v>290</v>
      </c>
      <c r="K100" s="653"/>
      <c r="L100" s="653"/>
      <c r="M100" s="653"/>
      <c r="N100" s="101"/>
      <c r="O100" s="82"/>
      <c r="P100" s="62"/>
      <c r="Q100" s="63"/>
    </row>
    <row r="101" spans="1:17" ht="14.1" customHeight="1" x14ac:dyDescent="0.25">
      <c r="A101" s="199"/>
      <c r="B101" s="56" t="s">
        <v>171</v>
      </c>
      <c r="C101" s="102"/>
      <c r="D101" s="80"/>
      <c r="E101" s="80"/>
      <c r="F101" s="68"/>
      <c r="G101" s="78"/>
      <c r="H101" s="78"/>
      <c r="I101" s="78"/>
      <c r="J101" s="56"/>
      <c r="K101" s="741"/>
      <c r="L101" s="742"/>
      <c r="M101" s="742"/>
      <c r="N101" s="60"/>
      <c r="O101" s="61"/>
      <c r="P101" s="62"/>
      <c r="Q101" s="63"/>
    </row>
    <row r="102" spans="1:17" ht="14.1" customHeight="1" x14ac:dyDescent="0.25">
      <c r="A102" s="50"/>
      <c r="B102" s="64" t="s">
        <v>251</v>
      </c>
      <c r="C102" s="640" t="s">
        <v>177</v>
      </c>
      <c r="D102" s="640"/>
      <c r="E102" s="641"/>
      <c r="F102" s="127">
        <v>19693</v>
      </c>
      <c r="G102" s="78">
        <v>20161</v>
      </c>
      <c r="H102" s="78">
        <v>11363</v>
      </c>
      <c r="I102" s="128">
        <f>H102/G102*100</f>
        <v>56.361291602599074</v>
      </c>
      <c r="J102" s="222"/>
      <c r="K102" s="743"/>
      <c r="L102" s="744"/>
      <c r="M102" s="744"/>
      <c r="N102" s="223"/>
      <c r="O102" s="61"/>
      <c r="P102" s="62"/>
      <c r="Q102" s="63"/>
    </row>
    <row r="103" spans="1:17" ht="14.1" customHeight="1" thickBot="1" x14ac:dyDescent="0.3">
      <c r="A103" s="199"/>
      <c r="B103" s="64" t="s">
        <v>291</v>
      </c>
      <c r="C103" s="201" t="s">
        <v>201</v>
      </c>
      <c r="D103" s="201"/>
      <c r="E103" s="76"/>
      <c r="F103" s="113">
        <v>1500</v>
      </c>
      <c r="G103" s="44">
        <v>1500</v>
      </c>
      <c r="H103" s="114">
        <v>599</v>
      </c>
      <c r="I103" s="86">
        <f t="shared" ref="I103:I104" si="12">H103/G103*100</f>
        <v>39.93333333333333</v>
      </c>
      <c r="J103" s="67"/>
      <c r="K103" s="704"/>
      <c r="L103" s="705"/>
      <c r="M103" s="705"/>
      <c r="N103" s="116"/>
      <c r="O103" s="117"/>
      <c r="P103" s="91"/>
      <c r="Q103" s="92"/>
    </row>
    <row r="104" spans="1:17" ht="14.1" customHeight="1" thickBot="1" x14ac:dyDescent="0.3">
      <c r="A104" s="50"/>
      <c r="B104" s="67"/>
      <c r="C104" s="69" t="s">
        <v>247</v>
      </c>
      <c r="D104" s="69"/>
      <c r="E104" s="70"/>
      <c r="F104" s="93">
        <f>SUM(F102:F103)</f>
        <v>21193</v>
      </c>
      <c r="G104" s="119">
        <f>SUM(G102:G103)</f>
        <v>21661</v>
      </c>
      <c r="H104" s="119">
        <f>SUM(H102:H103)</f>
        <v>11962</v>
      </c>
      <c r="I104" s="86">
        <f t="shared" si="12"/>
        <v>55.223673883938872</v>
      </c>
      <c r="J104" s="67"/>
      <c r="K104" s="631"/>
      <c r="L104" s="632"/>
      <c r="M104" s="632"/>
      <c r="N104" s="89"/>
      <c r="O104" s="90"/>
      <c r="P104" s="96"/>
      <c r="Q104" s="97"/>
    </row>
    <row r="105" spans="1:17" ht="14.1" customHeight="1" x14ac:dyDescent="0.25">
      <c r="A105" s="42" t="s">
        <v>292</v>
      </c>
      <c r="B105" s="638" t="s">
        <v>293</v>
      </c>
      <c r="C105" s="639"/>
      <c r="D105" s="639"/>
      <c r="E105" s="639"/>
      <c r="F105" s="123"/>
      <c r="G105" s="99"/>
      <c r="H105" s="100"/>
      <c r="I105" s="100"/>
      <c r="J105" s="638" t="s">
        <v>293</v>
      </c>
      <c r="K105" s="639"/>
      <c r="L105" s="639"/>
      <c r="M105" s="639"/>
      <c r="N105" s="123"/>
      <c r="O105" s="82"/>
      <c r="P105" s="54"/>
      <c r="Q105" s="55"/>
    </row>
    <row r="106" spans="1:17" ht="14.1" customHeight="1" x14ac:dyDescent="0.25">
      <c r="A106" s="199"/>
      <c r="B106" s="56" t="s">
        <v>171</v>
      </c>
      <c r="C106" s="102"/>
      <c r="D106" s="102"/>
      <c r="E106" s="102"/>
      <c r="F106" s="107"/>
      <c r="G106" s="78"/>
      <c r="H106" s="78"/>
      <c r="I106" s="78"/>
      <c r="J106" s="56" t="s">
        <v>250</v>
      </c>
      <c r="K106" s="193"/>
      <c r="L106" s="194"/>
      <c r="M106" s="224"/>
      <c r="N106" s="225"/>
      <c r="O106" s="226"/>
      <c r="P106" s="62"/>
      <c r="Q106" s="63"/>
    </row>
    <row r="107" spans="1:17" ht="14.1" customHeight="1" x14ac:dyDescent="0.25">
      <c r="A107" s="199"/>
      <c r="B107" s="56"/>
      <c r="C107" s="102"/>
      <c r="D107" s="102"/>
      <c r="E107" s="102"/>
      <c r="F107" s="107"/>
      <c r="G107" s="78"/>
      <c r="H107" s="78"/>
      <c r="I107" s="78"/>
      <c r="J107" s="103" t="s">
        <v>67</v>
      </c>
      <c r="K107" s="227" t="s">
        <v>68</v>
      </c>
      <c r="L107" s="186"/>
      <c r="M107" s="186"/>
      <c r="N107" s="228"/>
      <c r="O107" s="226"/>
      <c r="P107" s="62">
        <v>54</v>
      </c>
      <c r="Q107" s="63"/>
    </row>
    <row r="108" spans="1:17" ht="14.1" customHeight="1" x14ac:dyDescent="0.25">
      <c r="A108" s="199"/>
      <c r="B108" s="64" t="s">
        <v>251</v>
      </c>
      <c r="C108" s="640" t="s">
        <v>177</v>
      </c>
      <c r="D108" s="640"/>
      <c r="E108" s="641"/>
      <c r="F108" s="127">
        <v>3128</v>
      </c>
      <c r="G108" s="78">
        <v>125685</v>
      </c>
      <c r="H108" s="78">
        <v>71532</v>
      </c>
      <c r="I108" s="128">
        <f>H108/G108*100</f>
        <v>56.91371285356248</v>
      </c>
      <c r="J108" s="103" t="s">
        <v>69</v>
      </c>
      <c r="K108" s="106" t="s">
        <v>70</v>
      </c>
      <c r="L108" s="108"/>
      <c r="M108" s="108"/>
      <c r="N108" s="68">
        <v>11587</v>
      </c>
      <c r="O108" s="229">
        <v>11587</v>
      </c>
      <c r="P108" s="62"/>
      <c r="Q108" s="63"/>
    </row>
    <row r="109" spans="1:17" ht="14.1" customHeight="1" x14ac:dyDescent="0.25">
      <c r="A109" s="50"/>
      <c r="B109" s="64" t="s">
        <v>294</v>
      </c>
      <c r="C109" s="201" t="s">
        <v>195</v>
      </c>
      <c r="D109" s="201"/>
      <c r="E109" s="76"/>
      <c r="F109" s="73">
        <v>300</v>
      </c>
      <c r="G109" s="44">
        <f>582+134</f>
        <v>716</v>
      </c>
      <c r="H109" s="78">
        <v>582</v>
      </c>
      <c r="I109" s="128">
        <f t="shared" ref="I109:I118" si="13">H109/G109*100</f>
        <v>81.284916201117312</v>
      </c>
      <c r="J109" s="230" t="s">
        <v>295</v>
      </c>
      <c r="K109" s="631" t="s">
        <v>296</v>
      </c>
      <c r="L109" s="632"/>
      <c r="M109" s="632"/>
      <c r="N109" s="68">
        <v>3128</v>
      </c>
      <c r="O109" s="229">
        <v>3128</v>
      </c>
      <c r="P109" s="62"/>
      <c r="Q109" s="63"/>
    </row>
    <row r="110" spans="1:17" ht="14.1" customHeight="1" x14ac:dyDescent="0.25">
      <c r="A110" s="50"/>
      <c r="B110" s="64" t="s">
        <v>291</v>
      </c>
      <c r="C110" s="201" t="s">
        <v>201</v>
      </c>
      <c r="D110" s="77"/>
      <c r="E110" s="77"/>
      <c r="F110" s="73"/>
      <c r="G110" s="44">
        <v>647</v>
      </c>
      <c r="H110" s="78">
        <v>647</v>
      </c>
      <c r="I110" s="128">
        <f t="shared" si="13"/>
        <v>100</v>
      </c>
      <c r="J110" s="231" t="s">
        <v>297</v>
      </c>
      <c r="K110" s="83" t="s">
        <v>298</v>
      </c>
      <c r="L110" s="124"/>
      <c r="M110" s="124"/>
      <c r="N110" s="68">
        <v>118755</v>
      </c>
      <c r="O110" s="229">
        <v>152505</v>
      </c>
      <c r="P110" s="62">
        <v>84184</v>
      </c>
      <c r="Q110" s="105">
        <f>P110/O110*100</f>
        <v>55.200813088095465</v>
      </c>
    </row>
    <row r="111" spans="1:17" ht="14.1" customHeight="1" x14ac:dyDescent="0.25">
      <c r="A111" s="50"/>
      <c r="B111" s="64"/>
      <c r="C111" s="76"/>
      <c r="D111" s="77"/>
      <c r="E111" s="77"/>
      <c r="F111" s="73"/>
      <c r="G111" s="44"/>
      <c r="H111" s="78"/>
      <c r="I111" s="128"/>
      <c r="J111" s="103" t="s">
        <v>83</v>
      </c>
      <c r="K111" s="106" t="s">
        <v>84</v>
      </c>
      <c r="L111" s="124"/>
      <c r="M111" s="124"/>
      <c r="N111" s="68"/>
      <c r="O111" s="229"/>
      <c r="P111" s="62">
        <v>150</v>
      </c>
      <c r="Q111" s="63"/>
    </row>
    <row r="112" spans="1:17" ht="14.1" customHeight="1" x14ac:dyDescent="0.25">
      <c r="A112" s="50"/>
      <c r="B112" s="144" t="s">
        <v>205</v>
      </c>
      <c r="C112" s="181"/>
      <c r="D112" s="80"/>
      <c r="E112" s="80"/>
      <c r="F112" s="127"/>
      <c r="G112" s="78"/>
      <c r="H112" s="78"/>
      <c r="I112" s="128"/>
      <c r="J112" s="144" t="s">
        <v>268</v>
      </c>
      <c r="K112" s="145"/>
      <c r="L112" s="182"/>
      <c r="M112" s="77"/>
      <c r="N112" s="68"/>
      <c r="O112" s="226"/>
      <c r="P112" s="62"/>
      <c r="Q112" s="63"/>
    </row>
    <row r="113" spans="1:17" ht="14.1" customHeight="1" x14ac:dyDescent="0.25">
      <c r="A113" s="50"/>
      <c r="B113" s="64" t="s">
        <v>38</v>
      </c>
      <c r="C113" s="83" t="s">
        <v>206</v>
      </c>
      <c r="D113" s="124"/>
      <c r="E113" s="149"/>
      <c r="F113" s="68">
        <v>401953</v>
      </c>
      <c r="G113" s="232">
        <v>414451</v>
      </c>
      <c r="H113" s="232">
        <v>331697</v>
      </c>
      <c r="I113" s="128">
        <f t="shared" si="13"/>
        <v>80.032862750964526</v>
      </c>
      <c r="J113" s="103" t="s">
        <v>269</v>
      </c>
      <c r="K113" s="76" t="s">
        <v>39</v>
      </c>
      <c r="L113" s="182"/>
      <c r="M113" s="77"/>
      <c r="N113" s="68">
        <v>26783</v>
      </c>
      <c r="O113" s="229">
        <v>0</v>
      </c>
      <c r="P113" s="62"/>
      <c r="Q113" s="63"/>
    </row>
    <row r="114" spans="1:17" ht="14.1" customHeight="1" x14ac:dyDescent="0.25">
      <c r="A114" s="50"/>
      <c r="B114" s="64"/>
      <c r="C114" s="83" t="s">
        <v>277</v>
      </c>
      <c r="D114" s="124"/>
      <c r="E114" s="149"/>
      <c r="F114" s="233">
        <v>286395</v>
      </c>
      <c r="G114" s="234">
        <v>438303</v>
      </c>
      <c r="H114" s="234">
        <v>302223</v>
      </c>
      <c r="I114" s="128">
        <f t="shared" si="13"/>
        <v>68.952984579160997</v>
      </c>
      <c r="J114" s="185" t="s">
        <v>215</v>
      </c>
      <c r="K114" s="193" t="s">
        <v>47</v>
      </c>
      <c r="L114" s="194"/>
      <c r="M114" s="194"/>
      <c r="N114" s="235">
        <v>245128</v>
      </c>
      <c r="O114" s="61">
        <v>245128</v>
      </c>
      <c r="P114" s="62">
        <v>245129</v>
      </c>
      <c r="Q114" s="105">
        <f>P114/O114*100</f>
        <v>100.00040795013219</v>
      </c>
    </row>
    <row r="115" spans="1:17" ht="14.1" customHeight="1" thickBot="1" x14ac:dyDescent="0.3">
      <c r="A115" s="50"/>
      <c r="B115" s="236"/>
      <c r="C115" s="702" t="s">
        <v>299</v>
      </c>
      <c r="D115" s="703"/>
      <c r="E115" s="703"/>
      <c r="F115" s="237">
        <v>115558</v>
      </c>
      <c r="G115" s="234">
        <v>149308</v>
      </c>
      <c r="H115" s="238">
        <v>29354</v>
      </c>
      <c r="I115" s="86">
        <f t="shared" si="13"/>
        <v>19.660031612505694</v>
      </c>
      <c r="J115" s="185"/>
      <c r="K115" s="663" t="s">
        <v>300</v>
      </c>
      <c r="L115" s="664"/>
      <c r="M115" s="664"/>
      <c r="N115" s="239">
        <v>245128</v>
      </c>
      <c r="O115" s="188">
        <v>245128</v>
      </c>
      <c r="P115" s="189">
        <v>245129</v>
      </c>
      <c r="Q115" s="105">
        <f>P115/O115*100</f>
        <v>100.00040795013219</v>
      </c>
    </row>
    <row r="116" spans="1:17" ht="14.1" customHeight="1" thickBot="1" x14ac:dyDescent="0.3">
      <c r="A116" s="50"/>
      <c r="B116" s="240"/>
      <c r="C116" s="241"/>
      <c r="D116" s="242"/>
      <c r="E116" s="242"/>
      <c r="F116" s="243"/>
      <c r="G116" s="244"/>
      <c r="H116" s="245"/>
      <c r="I116" s="86"/>
      <c r="J116" s="138" t="s">
        <v>105</v>
      </c>
      <c r="K116" s="139" t="s">
        <v>106</v>
      </c>
      <c r="L116" s="246"/>
      <c r="M116" s="246"/>
      <c r="N116" s="247"/>
      <c r="O116" s="82"/>
      <c r="P116" s="168"/>
      <c r="Q116" s="248"/>
    </row>
    <row r="117" spans="1:17" ht="14.1" customHeight="1" thickBot="1" x14ac:dyDescent="0.3">
      <c r="A117" s="50"/>
      <c r="B117" s="240"/>
      <c r="C117" s="241"/>
      <c r="D117" s="242"/>
      <c r="E117" s="242"/>
      <c r="F117" s="243"/>
      <c r="G117" s="244"/>
      <c r="H117" s="245"/>
      <c r="I117" s="86"/>
      <c r="J117" s="103" t="s">
        <v>111</v>
      </c>
      <c r="K117" s="83" t="s">
        <v>112</v>
      </c>
      <c r="L117" s="246"/>
      <c r="M117" s="246"/>
      <c r="N117" s="249"/>
      <c r="O117" s="90"/>
      <c r="P117" s="250">
        <v>16</v>
      </c>
      <c r="Q117" s="251"/>
    </row>
    <row r="118" spans="1:17" ht="14.1" customHeight="1" thickBot="1" x14ac:dyDescent="0.3">
      <c r="A118" s="50"/>
      <c r="B118" s="109"/>
      <c r="C118" s="69" t="s">
        <v>247</v>
      </c>
      <c r="D118" s="69"/>
      <c r="E118" s="70"/>
      <c r="F118" s="170">
        <f>SUM(F108:F113)</f>
        <v>405381</v>
      </c>
      <c r="G118" s="119">
        <f>SUM(G113,G109,G108,G110)</f>
        <v>541499</v>
      </c>
      <c r="H118" s="171">
        <f>SUM(H108:H113)</f>
        <v>404458</v>
      </c>
      <c r="I118" s="86">
        <f t="shared" si="13"/>
        <v>74.692289367108714</v>
      </c>
      <c r="J118" s="69"/>
      <c r="K118" s="631" t="s">
        <v>248</v>
      </c>
      <c r="L118" s="632"/>
      <c r="M118" s="632"/>
      <c r="N118" s="95">
        <f>SUM(N108:N114)</f>
        <v>405381</v>
      </c>
      <c r="O118" s="121">
        <f>SUM(O108:O114)</f>
        <v>412348</v>
      </c>
      <c r="P118" s="122">
        <f>SUM(P117,P114,P111,P110,P107)</f>
        <v>329533</v>
      </c>
      <c r="Q118" s="212">
        <f>P118/O118*100</f>
        <v>79.916235800828431</v>
      </c>
    </row>
    <row r="119" spans="1:17" ht="14.1" customHeight="1" x14ac:dyDescent="0.25">
      <c r="A119" s="42" t="s">
        <v>301</v>
      </c>
      <c r="B119" s="638" t="s">
        <v>302</v>
      </c>
      <c r="C119" s="639"/>
      <c r="D119" s="639"/>
      <c r="E119" s="639"/>
      <c r="F119" s="123"/>
      <c r="G119" s="99"/>
      <c r="H119" s="100"/>
      <c r="I119" s="100"/>
      <c r="J119" s="638" t="s">
        <v>302</v>
      </c>
      <c r="K119" s="639"/>
      <c r="L119" s="639"/>
      <c r="M119" s="639"/>
      <c r="N119" s="123"/>
      <c r="O119" s="82"/>
      <c r="P119" s="54"/>
      <c r="Q119" s="55"/>
    </row>
    <row r="120" spans="1:17" ht="14.1" customHeight="1" x14ac:dyDescent="0.25">
      <c r="A120" s="252"/>
      <c r="B120" s="174"/>
      <c r="C120" s="175"/>
      <c r="D120" s="175"/>
      <c r="E120" s="175"/>
      <c r="F120" s="123"/>
      <c r="G120" s="99"/>
      <c r="H120" s="99"/>
      <c r="I120" s="99"/>
      <c r="J120" s="56" t="s">
        <v>250</v>
      </c>
      <c r="K120" s="186"/>
      <c r="L120" s="175"/>
      <c r="M120" s="175"/>
      <c r="N120" s="123"/>
      <c r="O120" s="82"/>
      <c r="P120" s="62"/>
      <c r="Q120" s="63"/>
    </row>
    <row r="121" spans="1:17" ht="14.1" customHeight="1" x14ac:dyDescent="0.25">
      <c r="A121" s="252"/>
      <c r="B121" s="174"/>
      <c r="C121" s="175"/>
      <c r="D121" s="175"/>
      <c r="E121" s="175"/>
      <c r="F121" s="123"/>
      <c r="G121" s="99"/>
      <c r="H121" s="78"/>
      <c r="I121" s="78"/>
      <c r="J121" s="231" t="s">
        <v>297</v>
      </c>
      <c r="K121" s="83" t="s">
        <v>298</v>
      </c>
      <c r="L121" s="175"/>
      <c r="M121" s="175"/>
      <c r="N121" s="123"/>
      <c r="O121" s="82">
        <v>48600</v>
      </c>
      <c r="P121" s="62"/>
      <c r="Q121" s="63"/>
    </row>
    <row r="122" spans="1:17" ht="14.1" customHeight="1" x14ac:dyDescent="0.25">
      <c r="A122" s="206"/>
      <c r="B122" s="56" t="s">
        <v>171</v>
      </c>
      <c r="C122" s="253"/>
      <c r="D122" s="149"/>
      <c r="E122" s="149"/>
      <c r="F122" s="126"/>
      <c r="G122" s="78"/>
      <c r="H122" s="78"/>
      <c r="I122" s="78"/>
      <c r="J122" s="207" t="s">
        <v>284</v>
      </c>
      <c r="K122" s="58"/>
      <c r="L122" s="110"/>
      <c r="M122" s="110"/>
      <c r="N122" s="68"/>
      <c r="O122" s="61"/>
      <c r="P122" s="62"/>
      <c r="Q122" s="63"/>
    </row>
    <row r="123" spans="1:17" ht="14.1" customHeight="1" x14ac:dyDescent="0.25">
      <c r="A123" s="50"/>
      <c r="B123" s="64" t="s">
        <v>251</v>
      </c>
      <c r="C123" s="640" t="s">
        <v>303</v>
      </c>
      <c r="D123" s="640"/>
      <c r="E123" s="641"/>
      <c r="F123" s="127">
        <v>12030</v>
      </c>
      <c r="G123" s="78">
        <v>12030</v>
      </c>
      <c r="H123" s="78">
        <v>8582</v>
      </c>
      <c r="I123" s="128">
        <f>H123/G123*100</f>
        <v>71.338320864505405</v>
      </c>
      <c r="J123" s="64" t="s">
        <v>285</v>
      </c>
      <c r="K123" s="124" t="s">
        <v>33</v>
      </c>
      <c r="L123" s="80"/>
      <c r="M123" s="80"/>
      <c r="N123" s="68">
        <v>2556</v>
      </c>
      <c r="O123" s="61">
        <v>2556</v>
      </c>
      <c r="P123" s="62">
        <v>1479</v>
      </c>
      <c r="Q123" s="105">
        <f>P123/O123*100</f>
        <v>57.863849765258216</v>
      </c>
    </row>
    <row r="124" spans="1:17" ht="14.1" customHeight="1" x14ac:dyDescent="0.25">
      <c r="A124" s="50"/>
      <c r="B124" s="64" t="s">
        <v>188</v>
      </c>
      <c r="C124" s="83" t="s">
        <v>189</v>
      </c>
      <c r="D124" s="124"/>
      <c r="E124" s="124"/>
      <c r="F124" s="68">
        <v>3468</v>
      </c>
      <c r="G124" s="78">
        <v>3632</v>
      </c>
      <c r="H124" s="78">
        <v>2264</v>
      </c>
      <c r="I124" s="128">
        <f t="shared" ref="I124:I128" si="14">H124/G124*100</f>
        <v>62.33480176211453</v>
      </c>
      <c r="J124" s="56" t="s">
        <v>242</v>
      </c>
      <c r="K124" s="57"/>
      <c r="L124" s="58"/>
      <c r="M124" s="58"/>
      <c r="N124" s="59"/>
      <c r="O124" s="132"/>
      <c r="P124" s="62"/>
      <c r="Q124" s="63"/>
    </row>
    <row r="125" spans="1:17" ht="14.1" customHeight="1" x14ac:dyDescent="0.25">
      <c r="A125" s="50"/>
      <c r="B125" s="144" t="s">
        <v>205</v>
      </c>
      <c r="C125" s="181"/>
      <c r="D125" s="80"/>
      <c r="E125" s="80"/>
      <c r="F125" s="127"/>
      <c r="G125" s="78"/>
      <c r="H125" s="78"/>
      <c r="I125" s="128"/>
      <c r="J125" s="67" t="s">
        <v>243</v>
      </c>
      <c r="K125" s="631" t="s">
        <v>244</v>
      </c>
      <c r="L125" s="632"/>
      <c r="M125" s="632"/>
      <c r="N125" s="68">
        <v>25597</v>
      </c>
      <c r="O125" s="61">
        <v>25597</v>
      </c>
      <c r="P125" s="62"/>
      <c r="Q125" s="63"/>
    </row>
    <row r="126" spans="1:17" ht="14.1" customHeight="1" x14ac:dyDescent="0.25">
      <c r="A126" s="50"/>
      <c r="B126" s="254" t="s">
        <v>252</v>
      </c>
      <c r="C126" s="83" t="s">
        <v>206</v>
      </c>
      <c r="D126" s="80"/>
      <c r="E126" s="80"/>
      <c r="F126" s="178">
        <v>20733</v>
      </c>
      <c r="G126" s="99">
        <f>40733+228600</f>
        <v>269333</v>
      </c>
      <c r="H126" s="99">
        <v>5000</v>
      </c>
      <c r="I126" s="128">
        <f t="shared" si="14"/>
        <v>1.8564379411360656</v>
      </c>
      <c r="J126" s="67"/>
      <c r="K126" s="83"/>
      <c r="L126" s="124"/>
      <c r="M126" s="124"/>
      <c r="N126" s="68"/>
      <c r="O126" s="61"/>
      <c r="P126" s="62"/>
      <c r="Q126" s="63"/>
    </row>
    <row r="127" spans="1:17" ht="14.1" customHeight="1" thickBot="1" x14ac:dyDescent="0.3">
      <c r="A127" s="50"/>
      <c r="B127" s="255" t="s">
        <v>219</v>
      </c>
      <c r="C127" s="702" t="s">
        <v>217</v>
      </c>
      <c r="D127" s="703"/>
      <c r="E127" s="703"/>
      <c r="F127" s="191">
        <v>25597</v>
      </c>
      <c r="G127" s="99">
        <v>390939</v>
      </c>
      <c r="H127" s="114">
        <v>390939</v>
      </c>
      <c r="I127" s="86">
        <f t="shared" si="14"/>
        <v>100</v>
      </c>
      <c r="J127" s="67"/>
      <c r="K127" s="83"/>
      <c r="L127" s="124"/>
      <c r="M127" s="124"/>
      <c r="N127" s="89"/>
      <c r="O127" s="90"/>
      <c r="P127" s="91"/>
      <c r="Q127" s="92"/>
    </row>
    <row r="128" spans="1:17" ht="14.1" customHeight="1" thickBot="1" x14ac:dyDescent="0.3">
      <c r="A128" s="50"/>
      <c r="B128" s="67"/>
      <c r="C128" s="69" t="s">
        <v>247</v>
      </c>
      <c r="D128" s="69"/>
      <c r="E128" s="70"/>
      <c r="F128" s="170">
        <f>SUM(F123:F127)</f>
        <v>61828</v>
      </c>
      <c r="G128" s="119">
        <f>SUM(G123:G127)</f>
        <v>675934</v>
      </c>
      <c r="H128" s="171">
        <f>SUM(H123:H127)</f>
        <v>406785</v>
      </c>
      <c r="I128" s="86">
        <f t="shared" si="14"/>
        <v>60.181171534498937</v>
      </c>
      <c r="J128" s="67"/>
      <c r="K128" s="631" t="s">
        <v>248</v>
      </c>
      <c r="L128" s="632"/>
      <c r="M128" s="632"/>
      <c r="N128" s="95">
        <f>SUM(N123:N127)</f>
        <v>28153</v>
      </c>
      <c r="O128" s="121">
        <f>SUM(O121:O127)</f>
        <v>76753</v>
      </c>
      <c r="P128" s="122">
        <f>SUM(P121:P127)</f>
        <v>1479</v>
      </c>
      <c r="Q128" s="256">
        <f>P128/O128*100</f>
        <v>1.9269605096869178</v>
      </c>
    </row>
    <row r="129" spans="1:17" ht="14.1" customHeight="1" x14ac:dyDescent="0.25">
      <c r="A129" s="42" t="s">
        <v>304</v>
      </c>
      <c r="B129" s="638" t="s">
        <v>305</v>
      </c>
      <c r="C129" s="639"/>
      <c r="D129" s="639"/>
      <c r="E129" s="639"/>
      <c r="F129" s="123"/>
      <c r="G129" s="99"/>
      <c r="H129" s="100"/>
      <c r="I129" s="100"/>
      <c r="J129" s="638" t="s">
        <v>305</v>
      </c>
      <c r="K129" s="639"/>
      <c r="L129" s="639"/>
      <c r="M129" s="639"/>
      <c r="N129" s="123"/>
      <c r="O129" s="82"/>
      <c r="P129" s="54"/>
      <c r="Q129" s="55"/>
    </row>
    <row r="130" spans="1:17" ht="14.1" customHeight="1" x14ac:dyDescent="0.25">
      <c r="A130" s="50"/>
      <c r="B130" s="56" t="s">
        <v>171</v>
      </c>
      <c r="C130" s="102"/>
      <c r="D130" s="80"/>
      <c r="E130" s="80"/>
      <c r="F130" s="68"/>
      <c r="G130" s="78"/>
      <c r="H130" s="78"/>
      <c r="I130" s="78"/>
      <c r="J130" s="144" t="s">
        <v>268</v>
      </c>
      <c r="K130" s="145"/>
      <c r="L130" s="110"/>
      <c r="M130" s="110"/>
      <c r="N130" s="65"/>
      <c r="O130" s="132"/>
      <c r="P130" s="62"/>
      <c r="Q130" s="63"/>
    </row>
    <row r="131" spans="1:17" ht="14.1" customHeight="1" x14ac:dyDescent="0.25">
      <c r="A131" s="50"/>
      <c r="B131" s="64" t="s">
        <v>251</v>
      </c>
      <c r="C131" s="640" t="s">
        <v>177</v>
      </c>
      <c r="D131" s="640"/>
      <c r="E131" s="641"/>
      <c r="F131" s="73">
        <v>24570</v>
      </c>
      <c r="G131" s="44">
        <f>24570-2000</f>
        <v>22570</v>
      </c>
      <c r="H131" s="44">
        <v>21415</v>
      </c>
      <c r="I131" s="66">
        <f>H131/G131*100</f>
        <v>94.882587505538325</v>
      </c>
      <c r="J131" s="185" t="s">
        <v>215</v>
      </c>
      <c r="K131" s="193" t="s">
        <v>47</v>
      </c>
      <c r="L131" s="194"/>
      <c r="M131" s="194"/>
      <c r="N131" s="257">
        <v>258963</v>
      </c>
      <c r="O131" s="132">
        <v>258963</v>
      </c>
      <c r="P131" s="62">
        <v>258933</v>
      </c>
      <c r="Q131" s="105">
        <f>P131/O131*100</f>
        <v>99.98841533346463</v>
      </c>
    </row>
    <row r="132" spans="1:17" ht="14.1" customHeight="1" x14ac:dyDescent="0.25">
      <c r="A132" s="50"/>
      <c r="B132" s="144" t="s">
        <v>205</v>
      </c>
      <c r="C132" s="181"/>
      <c r="D132" s="77"/>
      <c r="E132" s="77"/>
      <c r="F132" s="68"/>
      <c r="G132" s="78"/>
      <c r="H132" s="78"/>
      <c r="I132" s="66"/>
      <c r="J132" s="185"/>
      <c r="K132" s="663" t="s">
        <v>300</v>
      </c>
      <c r="L132" s="664"/>
      <c r="M132" s="664"/>
      <c r="N132" s="239">
        <v>258963</v>
      </c>
      <c r="O132" s="188">
        <v>258963</v>
      </c>
      <c r="P132" s="189">
        <v>258933</v>
      </c>
      <c r="Q132" s="105">
        <f>P132/O132*100</f>
        <v>99.98841533346463</v>
      </c>
    </row>
    <row r="133" spans="1:17" ht="14.1" customHeight="1" x14ac:dyDescent="0.25">
      <c r="A133" s="50"/>
      <c r="B133" s="64" t="s">
        <v>38</v>
      </c>
      <c r="C133" s="83" t="s">
        <v>206</v>
      </c>
      <c r="D133" s="77"/>
      <c r="E133" s="77"/>
      <c r="F133" s="68">
        <v>258963</v>
      </c>
      <c r="G133" s="78">
        <v>259013</v>
      </c>
      <c r="H133" s="78">
        <v>259013</v>
      </c>
      <c r="I133" s="66">
        <f t="shared" ref="I133:I136" si="15">H133/G133*100</f>
        <v>100</v>
      </c>
      <c r="J133" s="138" t="s">
        <v>61</v>
      </c>
      <c r="K133" s="139" t="s">
        <v>62</v>
      </c>
      <c r="L133" s="258"/>
      <c r="M133" s="258"/>
      <c r="N133" s="68"/>
      <c r="O133" s="61"/>
      <c r="P133" s="62"/>
      <c r="Q133" s="63"/>
    </row>
    <row r="134" spans="1:17" ht="14.1" customHeight="1" thickBot="1" x14ac:dyDescent="0.3">
      <c r="A134" s="50"/>
      <c r="B134" s="64"/>
      <c r="C134" s="83" t="s">
        <v>277</v>
      </c>
      <c r="D134" s="77"/>
      <c r="E134" s="77"/>
      <c r="F134" s="233">
        <v>258963</v>
      </c>
      <c r="G134" s="189">
        <v>258963</v>
      </c>
      <c r="H134" s="259">
        <v>259013</v>
      </c>
      <c r="I134" s="86">
        <f t="shared" si="15"/>
        <v>100.01930777755896</v>
      </c>
      <c r="J134" s="103" t="s">
        <v>65</v>
      </c>
      <c r="K134" s="106" t="s">
        <v>66</v>
      </c>
      <c r="L134" s="258"/>
      <c r="M134" s="258"/>
      <c r="N134" s="68"/>
      <c r="O134" s="61"/>
      <c r="P134" s="62">
        <v>39</v>
      </c>
      <c r="Q134" s="63"/>
    </row>
    <row r="135" spans="1:17" ht="14.1" customHeight="1" thickBot="1" x14ac:dyDescent="0.3">
      <c r="A135" s="50"/>
      <c r="B135" s="75"/>
      <c r="C135" s="83"/>
      <c r="D135" s="77"/>
      <c r="E135" s="77"/>
      <c r="F135" s="65"/>
      <c r="G135" s="260"/>
      <c r="H135" s="250"/>
      <c r="I135" s="86"/>
      <c r="J135" s="103" t="s">
        <v>73</v>
      </c>
      <c r="K135" s="106" t="s">
        <v>74</v>
      </c>
      <c r="L135" s="258"/>
      <c r="M135" s="258"/>
      <c r="N135" s="89"/>
      <c r="O135" s="90"/>
      <c r="P135" s="96">
        <v>11</v>
      </c>
      <c r="Q135" s="97"/>
    </row>
    <row r="136" spans="1:17" ht="14.1" customHeight="1" thickBot="1" x14ac:dyDescent="0.3">
      <c r="A136" s="50"/>
      <c r="B136" s="221"/>
      <c r="C136" s="631" t="s">
        <v>247</v>
      </c>
      <c r="D136" s="632"/>
      <c r="E136" s="632"/>
      <c r="F136" s="170">
        <f>SUM(F131:F133)</f>
        <v>283533</v>
      </c>
      <c r="G136" s="119">
        <f>SUM(G131:G133)</f>
        <v>281583</v>
      </c>
      <c r="H136" s="119">
        <f>SUM(H131:H133)</f>
        <v>280428</v>
      </c>
      <c r="I136" s="86">
        <f t="shared" si="15"/>
        <v>99.589818987651952</v>
      </c>
      <c r="J136" s="67"/>
      <c r="K136" s="631" t="s">
        <v>248</v>
      </c>
      <c r="L136" s="632"/>
      <c r="M136" s="632"/>
      <c r="N136" s="95">
        <f>SUM(N131)</f>
        <v>258963</v>
      </c>
      <c r="O136" s="121">
        <f>SUM(O131)</f>
        <v>258963</v>
      </c>
      <c r="P136" s="122">
        <f>SUM(P134:P135,P131)</f>
        <v>258983</v>
      </c>
      <c r="Q136" s="212">
        <f>P136/O136*100</f>
        <v>100.00772311102357</v>
      </c>
    </row>
    <row r="137" spans="1:17" ht="14.1" customHeight="1" x14ac:dyDescent="0.25">
      <c r="A137" s="42" t="s">
        <v>306</v>
      </c>
      <c r="B137" s="638" t="s">
        <v>307</v>
      </c>
      <c r="C137" s="639"/>
      <c r="D137" s="639"/>
      <c r="E137" s="639"/>
      <c r="F137" s="123"/>
      <c r="G137" s="99"/>
      <c r="H137" s="100"/>
      <c r="I137" s="100"/>
      <c r="J137" s="638" t="s">
        <v>307</v>
      </c>
      <c r="K137" s="639"/>
      <c r="L137" s="639"/>
      <c r="M137" s="639"/>
      <c r="N137" s="214"/>
      <c r="O137" s="47"/>
      <c r="P137" s="54"/>
      <c r="Q137" s="55"/>
    </row>
    <row r="138" spans="1:17" ht="14.1" customHeight="1" x14ac:dyDescent="0.25">
      <c r="A138" s="199"/>
      <c r="B138" s="56" t="s">
        <v>171</v>
      </c>
      <c r="C138" s="102"/>
      <c r="D138" s="80"/>
      <c r="E138" s="80"/>
      <c r="F138" s="68"/>
      <c r="G138" s="78"/>
      <c r="H138" s="44"/>
      <c r="I138" s="44"/>
      <c r="J138" s="120"/>
      <c r="K138" s="261"/>
      <c r="L138" s="72"/>
      <c r="M138" s="72"/>
      <c r="N138" s="65"/>
      <c r="O138" s="61"/>
      <c r="P138" s="62"/>
      <c r="Q138" s="63"/>
    </row>
    <row r="139" spans="1:17" ht="14.1" customHeight="1" thickBot="1" x14ac:dyDescent="0.3">
      <c r="A139" s="199"/>
      <c r="B139" s="64" t="s">
        <v>251</v>
      </c>
      <c r="C139" s="640" t="s">
        <v>177</v>
      </c>
      <c r="D139" s="640"/>
      <c r="E139" s="641"/>
      <c r="F139" s="113">
        <v>6731</v>
      </c>
      <c r="G139" s="114">
        <f>6731-651</f>
        <v>6080</v>
      </c>
      <c r="H139" s="114">
        <v>1529</v>
      </c>
      <c r="I139" s="86">
        <f>H139/G139*100</f>
        <v>25.148026315789473</v>
      </c>
      <c r="J139" s="120"/>
      <c r="K139" s="261"/>
      <c r="L139" s="72"/>
      <c r="M139" s="72"/>
      <c r="N139" s="65"/>
      <c r="O139" s="61"/>
      <c r="P139" s="62"/>
      <c r="Q139" s="63"/>
    </row>
    <row r="140" spans="1:17" ht="14.1" customHeight="1" thickBot="1" x14ac:dyDescent="0.3">
      <c r="A140" s="50"/>
      <c r="B140" s="67"/>
      <c r="C140" s="69" t="s">
        <v>247</v>
      </c>
      <c r="D140" s="80"/>
      <c r="E140" s="80"/>
      <c r="F140" s="93">
        <f>SUM(F139)</f>
        <v>6731</v>
      </c>
      <c r="G140" s="94">
        <f>SUM(G139)</f>
        <v>6080</v>
      </c>
      <c r="H140" s="94">
        <f>SUM(H139)</f>
        <v>1529</v>
      </c>
      <c r="I140" s="86">
        <f>H140/G140*100</f>
        <v>25.148026315789473</v>
      </c>
      <c r="J140" s="120"/>
      <c r="K140" s="631" t="s">
        <v>248</v>
      </c>
      <c r="L140" s="632"/>
      <c r="M140" s="632"/>
      <c r="N140" s="68"/>
      <c r="O140" s="61"/>
      <c r="P140" s="62"/>
      <c r="Q140" s="63"/>
    </row>
    <row r="141" spans="1:17" ht="14.1" customHeight="1" x14ac:dyDescent="0.25">
      <c r="A141" s="42" t="s">
        <v>308</v>
      </c>
      <c r="B141" s="638" t="s">
        <v>309</v>
      </c>
      <c r="C141" s="639"/>
      <c r="D141" s="639"/>
      <c r="E141" s="639"/>
      <c r="F141" s="123"/>
      <c r="G141" s="205"/>
      <c r="H141" s="100"/>
      <c r="I141" s="100"/>
      <c r="J141" s="638" t="s">
        <v>309</v>
      </c>
      <c r="K141" s="639"/>
      <c r="L141" s="639"/>
      <c r="M141" s="639"/>
      <c r="N141" s="126"/>
      <c r="O141" s="61"/>
      <c r="P141" s="62"/>
      <c r="Q141" s="63"/>
    </row>
    <row r="142" spans="1:17" ht="14.1" customHeight="1" x14ac:dyDescent="0.25">
      <c r="A142" s="50"/>
      <c r="B142" s="56" t="s">
        <v>171</v>
      </c>
      <c r="C142" s="58"/>
      <c r="D142" s="58"/>
      <c r="E142" s="58"/>
      <c r="F142" s="60"/>
      <c r="G142" s="262"/>
      <c r="H142" s="262"/>
      <c r="I142" s="262"/>
      <c r="J142" s="263" t="s">
        <v>310</v>
      </c>
      <c r="K142" s="149" t="s">
        <v>23</v>
      </c>
      <c r="L142" s="149"/>
      <c r="M142" s="149"/>
      <c r="N142" s="126"/>
      <c r="O142" s="61"/>
      <c r="P142" s="62"/>
      <c r="Q142" s="63"/>
    </row>
    <row r="143" spans="1:17" ht="14.1" customHeight="1" x14ac:dyDescent="0.25">
      <c r="A143" s="50"/>
      <c r="B143" s="64" t="s">
        <v>172</v>
      </c>
      <c r="C143" s="83" t="s">
        <v>173</v>
      </c>
      <c r="D143" s="124"/>
      <c r="E143" s="124"/>
      <c r="F143" s="68">
        <v>1620</v>
      </c>
      <c r="G143" s="78">
        <f>2599+775-132</f>
        <v>3242</v>
      </c>
      <c r="H143" s="78">
        <v>2883</v>
      </c>
      <c r="I143" s="128">
        <f>H143/G143*100</f>
        <v>88.926588525601474</v>
      </c>
      <c r="J143" s="64" t="s">
        <v>32</v>
      </c>
      <c r="K143" s="124" t="s">
        <v>33</v>
      </c>
      <c r="L143" s="124"/>
      <c r="M143" s="124"/>
      <c r="N143" s="68">
        <v>5520</v>
      </c>
      <c r="O143" s="61">
        <v>9791</v>
      </c>
      <c r="P143" s="62">
        <v>9961</v>
      </c>
      <c r="Q143" s="105">
        <f>P143/O143*100</f>
        <v>101.7362884281483</v>
      </c>
    </row>
    <row r="144" spans="1:17" ht="14.1" customHeight="1" x14ac:dyDescent="0.25">
      <c r="A144" s="50"/>
      <c r="B144" s="64" t="s">
        <v>174</v>
      </c>
      <c r="C144" s="63" t="s">
        <v>175</v>
      </c>
      <c r="D144" s="69"/>
      <c r="E144" s="70"/>
      <c r="F144" s="68">
        <v>438</v>
      </c>
      <c r="G144" s="78">
        <f>702+132</f>
        <v>834</v>
      </c>
      <c r="H144" s="78">
        <v>834</v>
      </c>
      <c r="I144" s="128">
        <f t="shared" ref="I144:I161" si="16">H144/G144*100</f>
        <v>100</v>
      </c>
      <c r="J144" s="138" t="s">
        <v>49</v>
      </c>
      <c r="K144" s="139" t="s">
        <v>50</v>
      </c>
      <c r="L144" s="264"/>
      <c r="M144" s="264"/>
      <c r="N144" s="126"/>
      <c r="O144" s="61"/>
      <c r="P144" s="62"/>
      <c r="Q144" s="63"/>
    </row>
    <row r="145" spans="1:17" ht="14.1" customHeight="1" x14ac:dyDescent="0.25">
      <c r="A145" s="50"/>
      <c r="B145" s="64"/>
      <c r="C145" s="63"/>
      <c r="D145" s="69"/>
      <c r="E145" s="70"/>
      <c r="F145" s="68"/>
      <c r="G145" s="78"/>
      <c r="H145" s="78"/>
      <c r="I145" s="128"/>
      <c r="J145" s="265" t="s">
        <v>59</v>
      </c>
      <c r="K145" s="629" t="s">
        <v>435</v>
      </c>
      <c r="L145" s="630"/>
      <c r="M145" s="630"/>
      <c r="N145" s="126"/>
      <c r="O145" s="61"/>
      <c r="P145" s="62">
        <v>10</v>
      </c>
      <c r="Q145" s="63"/>
    </row>
    <row r="146" spans="1:17" ht="14.1" customHeight="1" x14ac:dyDescent="0.25">
      <c r="A146" s="50"/>
      <c r="B146" s="64"/>
      <c r="C146" s="63"/>
      <c r="D146" s="69"/>
      <c r="E146" s="70"/>
      <c r="F146" s="68"/>
      <c r="G146" s="78"/>
      <c r="H146" s="78"/>
      <c r="I146" s="128"/>
      <c r="J146" s="56" t="s">
        <v>250</v>
      </c>
      <c r="K146" s="57"/>
      <c r="L146" s="264"/>
      <c r="M146" s="264"/>
      <c r="N146" s="126"/>
      <c r="O146" s="61"/>
      <c r="P146" s="62"/>
      <c r="Q146" s="63"/>
    </row>
    <row r="147" spans="1:17" ht="14.1" customHeight="1" x14ac:dyDescent="0.25">
      <c r="A147" s="50"/>
      <c r="B147" s="64" t="s">
        <v>176</v>
      </c>
      <c r="C147" s="201" t="s">
        <v>177</v>
      </c>
      <c r="D147" s="201"/>
      <c r="E147" s="76"/>
      <c r="F147" s="127">
        <v>44654</v>
      </c>
      <c r="G147" s="78">
        <f>47873-16700</f>
        <v>31173</v>
      </c>
      <c r="H147" s="78">
        <v>31700</v>
      </c>
      <c r="I147" s="128">
        <f t="shared" si="16"/>
        <v>101.6905655535239</v>
      </c>
      <c r="J147" s="103" t="s">
        <v>63</v>
      </c>
      <c r="K147" s="106" t="s">
        <v>64</v>
      </c>
      <c r="L147" s="264"/>
      <c r="M147" s="264"/>
      <c r="N147" s="126"/>
      <c r="O147" s="61"/>
      <c r="P147" s="62">
        <v>295</v>
      </c>
      <c r="Q147" s="63"/>
    </row>
    <row r="148" spans="1:17" ht="14.1" customHeight="1" x14ac:dyDescent="0.25">
      <c r="A148" s="50"/>
      <c r="B148" s="64"/>
      <c r="C148" s="201"/>
      <c r="D148" s="201"/>
      <c r="E148" s="76"/>
      <c r="F148" s="127"/>
      <c r="G148" s="78"/>
      <c r="H148" s="79"/>
      <c r="I148" s="128"/>
      <c r="J148" s="103" t="s">
        <v>65</v>
      </c>
      <c r="K148" s="106" t="s">
        <v>66</v>
      </c>
      <c r="L148" s="264"/>
      <c r="M148" s="264"/>
      <c r="N148" s="126"/>
      <c r="O148" s="61"/>
      <c r="P148" s="62">
        <v>327</v>
      </c>
      <c r="Q148" s="63"/>
    </row>
    <row r="149" spans="1:17" ht="14.1" customHeight="1" x14ac:dyDescent="0.25">
      <c r="A149" s="50"/>
      <c r="B149" s="64"/>
      <c r="C149" s="201"/>
      <c r="D149" s="201"/>
      <c r="E149" s="76"/>
      <c r="F149" s="127"/>
      <c r="G149" s="78"/>
      <c r="H149" s="79"/>
      <c r="I149" s="128"/>
      <c r="J149" s="103" t="s">
        <v>67</v>
      </c>
      <c r="K149" s="227" t="s">
        <v>68</v>
      </c>
      <c r="L149" s="264"/>
      <c r="M149" s="264"/>
      <c r="N149" s="126"/>
      <c r="O149" s="61"/>
      <c r="P149" s="62">
        <v>3043</v>
      </c>
      <c r="Q149" s="63"/>
    </row>
    <row r="150" spans="1:17" ht="14.1" customHeight="1" x14ac:dyDescent="0.25">
      <c r="A150" s="50"/>
      <c r="B150" s="64"/>
      <c r="C150" s="201"/>
      <c r="D150" s="201"/>
      <c r="E150" s="76"/>
      <c r="F150" s="127"/>
      <c r="G150" s="78"/>
      <c r="H150" s="79"/>
      <c r="I150" s="128"/>
      <c r="J150" s="64" t="s">
        <v>69</v>
      </c>
      <c r="K150" s="83" t="s">
        <v>70</v>
      </c>
      <c r="L150" s="264"/>
      <c r="M150" s="264"/>
      <c r="N150" s="68">
        <v>8000</v>
      </c>
      <c r="O150" s="61">
        <v>8000</v>
      </c>
      <c r="P150" s="62"/>
      <c r="Q150" s="63"/>
    </row>
    <row r="151" spans="1:17" ht="14.1" customHeight="1" x14ac:dyDescent="0.25">
      <c r="A151" s="50"/>
      <c r="B151" s="64"/>
      <c r="C151" s="201"/>
      <c r="D151" s="201"/>
      <c r="E151" s="76"/>
      <c r="F151" s="127"/>
      <c r="G151" s="78"/>
      <c r="H151" s="79"/>
      <c r="I151" s="128"/>
      <c r="J151" s="103" t="s">
        <v>73</v>
      </c>
      <c r="K151" s="106" t="s">
        <v>74</v>
      </c>
      <c r="L151" s="264"/>
      <c r="M151" s="264"/>
      <c r="N151" s="68"/>
      <c r="O151" s="61"/>
      <c r="P151" s="62">
        <v>989</v>
      </c>
      <c r="Q151" s="63"/>
    </row>
    <row r="152" spans="1:17" ht="14.1" customHeight="1" x14ac:dyDescent="0.25">
      <c r="A152" s="50"/>
      <c r="B152" s="64"/>
      <c r="C152" s="201"/>
      <c r="D152" s="201"/>
      <c r="E152" s="76"/>
      <c r="F152" s="127"/>
      <c r="G152" s="78"/>
      <c r="H152" s="79"/>
      <c r="I152" s="128"/>
      <c r="J152" s="103" t="s">
        <v>75</v>
      </c>
      <c r="K152" s="106" t="s">
        <v>76</v>
      </c>
      <c r="L152" s="264"/>
      <c r="M152" s="264"/>
      <c r="N152" s="68"/>
      <c r="O152" s="61"/>
      <c r="P152" s="62">
        <v>3030</v>
      </c>
      <c r="Q152" s="63"/>
    </row>
    <row r="153" spans="1:17" ht="14.1" customHeight="1" x14ac:dyDescent="0.25">
      <c r="A153" s="206"/>
      <c r="B153" s="64"/>
      <c r="C153" s="201"/>
      <c r="D153" s="201"/>
      <c r="E153" s="76"/>
      <c r="F153" s="127"/>
      <c r="G153" s="78"/>
      <c r="H153" s="79"/>
      <c r="I153" s="128"/>
      <c r="J153" s="103" t="s">
        <v>77</v>
      </c>
      <c r="K153" s="106" t="s">
        <v>78</v>
      </c>
      <c r="L153" s="264"/>
      <c r="M153" s="264"/>
      <c r="N153" s="68"/>
      <c r="O153" s="61"/>
      <c r="P153" s="62">
        <v>1160</v>
      </c>
      <c r="Q153" s="63"/>
    </row>
    <row r="154" spans="1:17" ht="14.1" customHeight="1" x14ac:dyDescent="0.25">
      <c r="A154" s="206"/>
      <c r="B154" s="64" t="s">
        <v>188</v>
      </c>
      <c r="C154" s="83" t="s">
        <v>189</v>
      </c>
      <c r="D154" s="124"/>
      <c r="E154" s="124"/>
      <c r="F154" s="68">
        <v>568010</v>
      </c>
      <c r="G154" s="79">
        <v>0</v>
      </c>
      <c r="H154" s="79"/>
      <c r="I154" s="128"/>
      <c r="J154" s="103" t="s">
        <v>83</v>
      </c>
      <c r="K154" s="106" t="s">
        <v>84</v>
      </c>
      <c r="L154" s="264"/>
      <c r="M154" s="264"/>
      <c r="N154" s="68"/>
      <c r="O154" s="61"/>
      <c r="P154" s="62">
        <v>33</v>
      </c>
      <c r="Q154" s="63"/>
    </row>
    <row r="155" spans="1:17" ht="14.1" customHeight="1" x14ac:dyDescent="0.25">
      <c r="A155" s="50"/>
      <c r="B155" s="64" t="s">
        <v>291</v>
      </c>
      <c r="C155" s="201" t="s">
        <v>201</v>
      </c>
      <c r="D155" s="201"/>
      <c r="E155" s="76"/>
      <c r="F155" s="68">
        <v>1477</v>
      </c>
      <c r="G155" s="79">
        <v>1477</v>
      </c>
      <c r="H155" s="79"/>
      <c r="I155" s="128"/>
      <c r="J155" s="266" t="s">
        <v>311</v>
      </c>
      <c r="K155" s="88"/>
      <c r="L155" s="88"/>
      <c r="M155" s="88"/>
      <c r="N155" s="126"/>
      <c r="O155" s="61"/>
      <c r="P155" s="62"/>
      <c r="Q155" s="63"/>
    </row>
    <row r="156" spans="1:17" ht="14.1" customHeight="1" x14ac:dyDescent="0.25">
      <c r="A156" s="50"/>
      <c r="B156" s="64" t="s">
        <v>202</v>
      </c>
      <c r="C156" s="76" t="s">
        <v>246</v>
      </c>
      <c r="D156" s="77"/>
      <c r="E156" s="77"/>
      <c r="F156" s="68">
        <v>500</v>
      </c>
      <c r="G156" s="79">
        <v>0</v>
      </c>
      <c r="H156" s="79"/>
      <c r="I156" s="128"/>
      <c r="J156" s="152" t="s">
        <v>99</v>
      </c>
      <c r="K156" s="629" t="s">
        <v>312</v>
      </c>
      <c r="L156" s="630"/>
      <c r="M156" s="633"/>
      <c r="N156" s="153">
        <v>1800</v>
      </c>
      <c r="O156" s="61">
        <v>1800</v>
      </c>
      <c r="P156" s="62">
        <v>1800</v>
      </c>
      <c r="Q156" s="105">
        <f>P156/O156*100</f>
        <v>100</v>
      </c>
    </row>
    <row r="157" spans="1:17" ht="13.5" customHeight="1" x14ac:dyDescent="0.25">
      <c r="A157" s="50"/>
      <c r="B157" s="144" t="s">
        <v>205</v>
      </c>
      <c r="C157" s="102"/>
      <c r="D157" s="102"/>
      <c r="E157" s="102"/>
      <c r="F157" s="60"/>
      <c r="G157" s="78"/>
      <c r="H157" s="78"/>
      <c r="I157" s="128"/>
      <c r="J157" s="267" t="s">
        <v>282</v>
      </c>
      <c r="K157" s="647" t="s">
        <v>313</v>
      </c>
      <c r="L157" s="691"/>
      <c r="M157" s="740"/>
      <c r="N157" s="268"/>
      <c r="O157" s="61"/>
      <c r="P157" s="62"/>
      <c r="Q157" s="63"/>
    </row>
    <row r="158" spans="1:17" ht="14.1" customHeight="1" x14ac:dyDescent="0.25">
      <c r="A158" s="50"/>
      <c r="B158" s="64" t="s">
        <v>38</v>
      </c>
      <c r="C158" s="83" t="s">
        <v>206</v>
      </c>
      <c r="D158" s="124"/>
      <c r="E158" s="149"/>
      <c r="F158" s="68">
        <v>4520</v>
      </c>
      <c r="G158" s="78">
        <v>5121</v>
      </c>
      <c r="H158" s="78">
        <v>5464</v>
      </c>
      <c r="I158" s="128">
        <f t="shared" si="16"/>
        <v>106.69791056434291</v>
      </c>
      <c r="J158" s="152" t="s">
        <v>140</v>
      </c>
      <c r="K158" s="629" t="s">
        <v>141</v>
      </c>
      <c r="L158" s="630"/>
      <c r="M158" s="633"/>
      <c r="N158" s="269">
        <v>750</v>
      </c>
      <c r="O158" s="61">
        <v>2402</v>
      </c>
      <c r="P158" s="62"/>
      <c r="Q158" s="63"/>
    </row>
    <row r="159" spans="1:17" ht="14.1" customHeight="1" x14ac:dyDescent="0.25">
      <c r="A159" s="50"/>
      <c r="B159" s="64" t="s">
        <v>40</v>
      </c>
      <c r="C159" s="83" t="s">
        <v>211</v>
      </c>
      <c r="D159" s="124"/>
      <c r="E159" s="149"/>
      <c r="F159" s="65">
        <v>6456</v>
      </c>
      <c r="G159" s="44">
        <v>735</v>
      </c>
      <c r="H159" s="44">
        <v>735</v>
      </c>
      <c r="I159" s="128">
        <f t="shared" si="16"/>
        <v>100</v>
      </c>
      <c r="J159" s="270"/>
      <c r="K159" s="186"/>
      <c r="L159" s="186"/>
      <c r="M159" s="186"/>
      <c r="N159" s="228"/>
      <c r="O159" s="61"/>
      <c r="P159" s="62"/>
      <c r="Q159" s="63"/>
    </row>
    <row r="160" spans="1:17" ht="14.1" customHeight="1" thickBot="1" x14ac:dyDescent="0.3">
      <c r="A160" s="50"/>
      <c r="B160" s="64" t="s">
        <v>314</v>
      </c>
      <c r="C160" s="702" t="s">
        <v>315</v>
      </c>
      <c r="D160" s="703"/>
      <c r="E160" s="703"/>
      <c r="F160" s="191">
        <v>1000</v>
      </c>
      <c r="G160" s="78">
        <v>1000</v>
      </c>
      <c r="H160" s="114"/>
      <c r="I160" s="86"/>
      <c r="J160" s="144"/>
      <c r="K160" s="145"/>
      <c r="L160" s="182"/>
      <c r="M160" s="77"/>
      <c r="N160" s="116"/>
      <c r="O160" s="117"/>
      <c r="P160" s="91"/>
      <c r="Q160" s="92"/>
    </row>
    <row r="161" spans="1:17" ht="14.1" customHeight="1" thickBot="1" x14ac:dyDescent="0.3">
      <c r="A161" s="50"/>
      <c r="B161" s="67"/>
      <c r="C161" s="631" t="s">
        <v>247</v>
      </c>
      <c r="D161" s="632"/>
      <c r="E161" s="632"/>
      <c r="F161" s="271">
        <f>SUM(F143:F160)</f>
        <v>628675</v>
      </c>
      <c r="G161" s="119">
        <f>SUM(G143:G160)</f>
        <v>43582</v>
      </c>
      <c r="H161" s="94">
        <f>SUM(H143:H160)</f>
        <v>41616</v>
      </c>
      <c r="I161" s="86">
        <f t="shared" si="16"/>
        <v>95.488963333486296</v>
      </c>
      <c r="J161" s="69"/>
      <c r="K161" s="631" t="s">
        <v>248</v>
      </c>
      <c r="L161" s="632"/>
      <c r="M161" s="632"/>
      <c r="N161" s="95">
        <f>SUM(N143:N160)</f>
        <v>16070</v>
      </c>
      <c r="O161" s="121">
        <f>SUM(O143:O160)</f>
        <v>21993</v>
      </c>
      <c r="P161" s="122">
        <f>SUM(P143:P160)</f>
        <v>20648</v>
      </c>
      <c r="Q161" s="212">
        <f>P161/O161*100</f>
        <v>93.884417769290224</v>
      </c>
    </row>
    <row r="162" spans="1:17" ht="14.1" customHeight="1" thickBot="1" x14ac:dyDescent="0.3">
      <c r="A162" s="213" t="s">
        <v>316</v>
      </c>
      <c r="B162" s="644" t="s">
        <v>317</v>
      </c>
      <c r="C162" s="645"/>
      <c r="D162" s="645"/>
      <c r="E162" s="645"/>
      <c r="F162" s="93"/>
      <c r="G162" s="52"/>
      <c r="H162" s="53"/>
      <c r="I162" s="53"/>
      <c r="J162" s="644" t="s">
        <v>317</v>
      </c>
      <c r="K162" s="645"/>
      <c r="L162" s="645"/>
      <c r="M162" s="645"/>
      <c r="N162" s="214"/>
      <c r="O162" s="272"/>
      <c r="P162" s="54"/>
      <c r="Q162" s="55"/>
    </row>
    <row r="163" spans="1:17" ht="14.1" customHeight="1" x14ac:dyDescent="0.25">
      <c r="A163" s="50"/>
      <c r="B163" s="56" t="s">
        <v>171</v>
      </c>
      <c r="C163" s="58"/>
      <c r="D163" s="58"/>
      <c r="E163" s="58"/>
      <c r="F163" s="273"/>
      <c r="G163" s="78"/>
      <c r="H163" s="78"/>
      <c r="I163" s="78"/>
      <c r="J163" s="263" t="s">
        <v>310</v>
      </c>
      <c r="K163" s="149" t="s">
        <v>23</v>
      </c>
      <c r="L163" s="149"/>
      <c r="M163" s="149"/>
      <c r="N163" s="126"/>
      <c r="O163" s="274"/>
      <c r="P163" s="62"/>
      <c r="Q163" s="63"/>
    </row>
    <row r="164" spans="1:17" ht="14.1" customHeight="1" thickBot="1" x14ac:dyDescent="0.3">
      <c r="A164" s="50"/>
      <c r="B164" s="64" t="s">
        <v>172</v>
      </c>
      <c r="C164" s="83" t="s">
        <v>173</v>
      </c>
      <c r="D164" s="124"/>
      <c r="E164" s="124"/>
      <c r="F164" s="68"/>
      <c r="G164" s="78">
        <v>1830</v>
      </c>
      <c r="H164" s="78">
        <v>1830</v>
      </c>
      <c r="I164" s="128">
        <f>H164/G164*100</f>
        <v>100</v>
      </c>
      <c r="J164" s="64" t="s">
        <v>318</v>
      </c>
      <c r="K164" s="124" t="s">
        <v>33</v>
      </c>
      <c r="L164" s="124"/>
      <c r="M164" s="124"/>
      <c r="N164" s="116"/>
      <c r="O164" s="117">
        <v>3652</v>
      </c>
      <c r="P164" s="91">
        <v>3483</v>
      </c>
      <c r="Q164" s="118">
        <f>P164/O164*100</f>
        <v>95.372398685651689</v>
      </c>
    </row>
    <row r="165" spans="1:17" ht="14.1" customHeight="1" thickBot="1" x14ac:dyDescent="0.3">
      <c r="A165" s="50"/>
      <c r="B165" s="64" t="s">
        <v>174</v>
      </c>
      <c r="C165" s="63" t="s">
        <v>175</v>
      </c>
      <c r="D165" s="69"/>
      <c r="E165" s="70"/>
      <c r="F165" s="68"/>
      <c r="G165" s="78">
        <v>445</v>
      </c>
      <c r="H165" s="78">
        <v>445</v>
      </c>
      <c r="I165" s="128">
        <f t="shared" ref="I165:I167" si="17">H165/G165*100</f>
        <v>100</v>
      </c>
      <c r="J165" s="67"/>
      <c r="K165" s="631" t="s">
        <v>248</v>
      </c>
      <c r="L165" s="632"/>
      <c r="M165" s="632"/>
      <c r="N165" s="89"/>
      <c r="O165" s="121">
        <f>SUM(O164)</f>
        <v>3652</v>
      </c>
      <c r="P165" s="122">
        <f>SUM(P164)</f>
        <v>3483</v>
      </c>
      <c r="Q165" s="118">
        <f>P165/O165*100</f>
        <v>95.372398685651689</v>
      </c>
    </row>
    <row r="166" spans="1:17" ht="14.1" customHeight="1" thickBot="1" x14ac:dyDescent="0.3">
      <c r="A166" s="50"/>
      <c r="B166" s="64" t="s">
        <v>176</v>
      </c>
      <c r="C166" s="201" t="s">
        <v>177</v>
      </c>
      <c r="D166" s="201"/>
      <c r="E166" s="76"/>
      <c r="F166" s="113"/>
      <c r="G166" s="114">
        <v>1377</v>
      </c>
      <c r="H166" s="114">
        <v>49</v>
      </c>
      <c r="I166" s="86">
        <f t="shared" si="17"/>
        <v>3.5584604212055191</v>
      </c>
      <c r="J166" s="70"/>
      <c r="K166" s="124"/>
      <c r="L166" s="124"/>
      <c r="M166" s="124"/>
      <c r="N166" s="111"/>
      <c r="O166" s="272"/>
      <c r="P166" s="54"/>
      <c r="Q166" s="55"/>
    </row>
    <row r="167" spans="1:17" ht="14.1" customHeight="1" thickBot="1" x14ac:dyDescent="0.3">
      <c r="A167" s="50"/>
      <c r="B167" s="221"/>
      <c r="C167" s="631" t="s">
        <v>247</v>
      </c>
      <c r="D167" s="632"/>
      <c r="E167" s="632"/>
      <c r="F167" s="84"/>
      <c r="G167" s="114">
        <f>SUM(G164:G166)</f>
        <v>3652</v>
      </c>
      <c r="H167" s="114">
        <f>SUM(H164:H166)</f>
        <v>2324</v>
      </c>
      <c r="I167" s="86">
        <f t="shared" si="17"/>
        <v>63.636363636363633</v>
      </c>
      <c r="J167" s="70"/>
      <c r="K167" s="124"/>
      <c r="L167" s="124"/>
      <c r="M167" s="124"/>
      <c r="N167" s="127"/>
      <c r="O167" s="275"/>
      <c r="P167" s="62"/>
      <c r="Q167" s="63"/>
    </row>
    <row r="168" spans="1:17" ht="14.1" customHeight="1" x14ac:dyDescent="0.25">
      <c r="A168" s="42" t="s">
        <v>319</v>
      </c>
      <c r="B168" s="638" t="s">
        <v>320</v>
      </c>
      <c r="C168" s="639"/>
      <c r="D168" s="639"/>
      <c r="E168" s="639"/>
      <c r="F168" s="123"/>
      <c r="G168" s="99"/>
      <c r="H168" s="100"/>
      <c r="I168" s="100"/>
      <c r="J168" s="638" t="s">
        <v>320</v>
      </c>
      <c r="K168" s="639"/>
      <c r="L168" s="639"/>
      <c r="M168" s="639"/>
      <c r="N168" s="123"/>
      <c r="O168" s="82"/>
      <c r="P168" s="62"/>
      <c r="Q168" s="63"/>
    </row>
    <row r="169" spans="1:17" ht="14.1" customHeight="1" x14ac:dyDescent="0.25">
      <c r="A169" s="180"/>
      <c r="B169" s="56" t="s">
        <v>171</v>
      </c>
      <c r="C169" s="124"/>
      <c r="D169" s="124"/>
      <c r="E169" s="124"/>
      <c r="F169" s="68"/>
      <c r="G169" s="78"/>
      <c r="H169" s="78"/>
      <c r="I169" s="78"/>
      <c r="J169" s="155"/>
      <c r="K169" s="149"/>
      <c r="L169" s="149"/>
      <c r="M169" s="149"/>
      <c r="N169" s="123"/>
      <c r="O169" s="82"/>
      <c r="P169" s="62"/>
      <c r="Q169" s="63"/>
    </row>
    <row r="170" spans="1:17" ht="14.1" customHeight="1" thickBot="1" x14ac:dyDescent="0.3">
      <c r="A170" s="199"/>
      <c r="B170" s="64" t="s">
        <v>176</v>
      </c>
      <c r="C170" s="640" t="s">
        <v>177</v>
      </c>
      <c r="D170" s="640"/>
      <c r="E170" s="641"/>
      <c r="F170" s="113">
        <v>13588</v>
      </c>
      <c r="G170" s="276">
        <v>13588</v>
      </c>
      <c r="H170" s="210">
        <v>12543</v>
      </c>
      <c r="I170" s="277">
        <f>H170/G170*100</f>
        <v>92.309390638798945</v>
      </c>
      <c r="J170" s="67"/>
      <c r="K170" s="110"/>
      <c r="L170" s="124"/>
      <c r="M170" s="124"/>
      <c r="N170" s="89"/>
      <c r="O170" s="90"/>
      <c r="P170" s="91"/>
      <c r="Q170" s="92"/>
    </row>
    <row r="171" spans="1:17" ht="14.1" customHeight="1" thickBot="1" x14ac:dyDescent="0.3">
      <c r="A171" s="50"/>
      <c r="B171" s="221"/>
      <c r="C171" s="631" t="s">
        <v>247</v>
      </c>
      <c r="D171" s="632"/>
      <c r="E171" s="632"/>
      <c r="F171" s="93">
        <f>SUM(F170)</f>
        <v>13588</v>
      </c>
      <c r="G171" s="119">
        <f>SUM(G170)</f>
        <v>13588</v>
      </c>
      <c r="H171" s="119">
        <f>SUM(H170)</f>
        <v>12543</v>
      </c>
      <c r="I171" s="277">
        <f>H171/G171*100</f>
        <v>92.309390638798945</v>
      </c>
      <c r="J171" s="67"/>
      <c r="K171" s="631" t="s">
        <v>248</v>
      </c>
      <c r="L171" s="632"/>
      <c r="M171" s="632"/>
      <c r="N171" s="89"/>
      <c r="O171" s="90"/>
      <c r="P171" s="96"/>
      <c r="Q171" s="97"/>
    </row>
    <row r="172" spans="1:17" ht="14.1" customHeight="1" x14ac:dyDescent="0.25">
      <c r="A172" s="213" t="s">
        <v>321</v>
      </c>
      <c r="B172" s="638" t="s">
        <v>322</v>
      </c>
      <c r="C172" s="639"/>
      <c r="D172" s="639"/>
      <c r="E172" s="639"/>
      <c r="F172" s="214"/>
      <c r="G172" s="215"/>
      <c r="H172" s="216"/>
      <c r="I172" s="216"/>
      <c r="J172" s="638" t="s">
        <v>322</v>
      </c>
      <c r="K172" s="639"/>
      <c r="L172" s="639"/>
      <c r="M172" s="639"/>
      <c r="N172" s="123"/>
      <c r="O172" s="82"/>
      <c r="P172" s="54"/>
      <c r="Q172" s="55"/>
    </row>
    <row r="173" spans="1:17" ht="14.1" customHeight="1" x14ac:dyDescent="0.25">
      <c r="A173" s="50"/>
      <c r="B173" s="56" t="s">
        <v>171</v>
      </c>
      <c r="C173" s="57"/>
      <c r="D173" s="58"/>
      <c r="E173" s="58"/>
      <c r="F173" s="60"/>
      <c r="G173" s="218"/>
      <c r="H173" s="218"/>
      <c r="I173" s="218"/>
      <c r="J173" s="263" t="s">
        <v>310</v>
      </c>
      <c r="K173" s="149" t="s">
        <v>23</v>
      </c>
      <c r="L173" s="149"/>
      <c r="M173" s="149"/>
      <c r="N173" s="123"/>
      <c r="O173" s="82"/>
      <c r="P173" s="62"/>
      <c r="Q173" s="63"/>
    </row>
    <row r="174" spans="1:17" ht="14.1" customHeight="1" thickBot="1" x14ac:dyDescent="0.3">
      <c r="A174" s="50"/>
      <c r="B174" s="64" t="s">
        <v>172</v>
      </c>
      <c r="C174" s="631" t="s">
        <v>173</v>
      </c>
      <c r="D174" s="632"/>
      <c r="E174" s="632"/>
      <c r="F174" s="68"/>
      <c r="G174" s="78">
        <v>2400</v>
      </c>
      <c r="H174" s="78">
        <v>2400</v>
      </c>
      <c r="I174" s="128">
        <f>H174/G174*100</f>
        <v>100</v>
      </c>
      <c r="J174" s="64" t="s">
        <v>318</v>
      </c>
      <c r="K174" s="124" t="s">
        <v>33</v>
      </c>
      <c r="L174" s="124"/>
      <c r="M174" s="124"/>
      <c r="N174" s="116"/>
      <c r="O174" s="117">
        <v>3367</v>
      </c>
      <c r="P174" s="91">
        <v>3492</v>
      </c>
      <c r="Q174" s="118">
        <f>P174/O174*100</f>
        <v>103.71250371250372</v>
      </c>
    </row>
    <row r="175" spans="1:17" ht="14.1" customHeight="1" thickBot="1" x14ac:dyDescent="0.3">
      <c r="A175" s="50"/>
      <c r="B175" s="64" t="s">
        <v>174</v>
      </c>
      <c r="C175" s="63" t="s">
        <v>175</v>
      </c>
      <c r="D175" s="69"/>
      <c r="E175" s="70"/>
      <c r="F175" s="68"/>
      <c r="G175" s="78">
        <v>583</v>
      </c>
      <c r="H175" s="78">
        <v>583</v>
      </c>
      <c r="I175" s="128">
        <f t="shared" ref="I175:I177" si="18">H175/G175*100</f>
        <v>100</v>
      </c>
      <c r="J175" s="67"/>
      <c r="K175" s="631" t="s">
        <v>248</v>
      </c>
      <c r="L175" s="632"/>
      <c r="M175" s="632"/>
      <c r="N175" s="89"/>
      <c r="O175" s="121">
        <f>SUM(O174)</f>
        <v>3367</v>
      </c>
      <c r="P175" s="122">
        <f>SUM(P174)</f>
        <v>3492</v>
      </c>
      <c r="Q175" s="118">
        <f>P175/O175*100</f>
        <v>103.71250371250372</v>
      </c>
    </row>
    <row r="176" spans="1:17" ht="14.1" customHeight="1" thickBot="1" x14ac:dyDescent="0.3">
      <c r="A176" s="50"/>
      <c r="B176" s="64" t="s">
        <v>176</v>
      </c>
      <c r="C176" s="640" t="s">
        <v>177</v>
      </c>
      <c r="D176" s="640"/>
      <c r="E176" s="641"/>
      <c r="F176" s="113"/>
      <c r="G176" s="114">
        <v>384</v>
      </c>
      <c r="H176" s="114">
        <v>242</v>
      </c>
      <c r="I176" s="86">
        <f t="shared" si="18"/>
        <v>63.020833333333336</v>
      </c>
      <c r="J176" s="221"/>
      <c r="K176" s="124"/>
      <c r="L176" s="124"/>
      <c r="M176" s="124"/>
      <c r="N176" s="81"/>
      <c r="O176" s="82"/>
      <c r="P176" s="54"/>
      <c r="Q176" s="55"/>
    </row>
    <row r="177" spans="1:17" ht="14.1" customHeight="1" thickBot="1" x14ac:dyDescent="0.3">
      <c r="A177" s="50"/>
      <c r="B177" s="221"/>
      <c r="C177" s="631" t="s">
        <v>247</v>
      </c>
      <c r="D177" s="632"/>
      <c r="E177" s="632"/>
      <c r="F177" s="113"/>
      <c r="G177" s="171">
        <f>SUM(G174:G176)</f>
        <v>3367</v>
      </c>
      <c r="H177" s="171">
        <f>SUM(H174:H176)</f>
        <v>3225</v>
      </c>
      <c r="I177" s="86">
        <f t="shared" si="18"/>
        <v>95.782595782595777</v>
      </c>
      <c r="J177" s="221"/>
      <c r="K177" s="124"/>
      <c r="L177" s="124"/>
      <c r="M177" s="124"/>
      <c r="N177" s="81"/>
      <c r="O177" s="82"/>
      <c r="P177" s="62"/>
      <c r="Q177" s="63"/>
    </row>
    <row r="178" spans="1:17" ht="14.1" customHeight="1" x14ac:dyDescent="0.25">
      <c r="A178" s="42" t="s">
        <v>323</v>
      </c>
      <c r="B178" s="638" t="s">
        <v>324</v>
      </c>
      <c r="C178" s="639"/>
      <c r="D178" s="639"/>
      <c r="E178" s="639"/>
      <c r="F178" s="123"/>
      <c r="G178" s="99"/>
      <c r="H178" s="100"/>
      <c r="I178" s="100"/>
      <c r="J178" s="638" t="s">
        <v>324</v>
      </c>
      <c r="K178" s="639"/>
      <c r="L178" s="639"/>
      <c r="M178" s="639"/>
      <c r="N178" s="123"/>
      <c r="O178" s="82"/>
      <c r="P178" s="62"/>
      <c r="Q178" s="63"/>
    </row>
    <row r="179" spans="1:17" ht="14.1" customHeight="1" x14ac:dyDescent="0.25">
      <c r="A179" s="206"/>
      <c r="B179" s="56" t="s">
        <v>171</v>
      </c>
      <c r="C179" s="57"/>
      <c r="D179" s="58"/>
      <c r="E179" s="58"/>
      <c r="F179" s="60"/>
      <c r="G179" s="78"/>
      <c r="H179" s="78"/>
      <c r="I179" s="78"/>
      <c r="J179" s="263" t="s">
        <v>310</v>
      </c>
      <c r="K179" s="149" t="s">
        <v>23</v>
      </c>
      <c r="L179" s="149"/>
      <c r="M179" s="149"/>
      <c r="N179" s="126"/>
      <c r="O179" s="61"/>
      <c r="P179" s="62"/>
      <c r="Q179" s="63"/>
    </row>
    <row r="180" spans="1:17" ht="14.1" customHeight="1" thickBot="1" x14ac:dyDescent="0.3">
      <c r="A180" s="50"/>
      <c r="B180" s="64" t="s">
        <v>172</v>
      </c>
      <c r="C180" s="631" t="s">
        <v>173</v>
      </c>
      <c r="D180" s="632"/>
      <c r="E180" s="632"/>
      <c r="F180" s="68">
        <v>8764</v>
      </c>
      <c r="G180" s="78">
        <v>8843</v>
      </c>
      <c r="H180" s="78">
        <v>8478</v>
      </c>
      <c r="I180" s="128">
        <f>H180/G180*100</f>
        <v>95.872441479136043</v>
      </c>
      <c r="J180" s="64" t="s">
        <v>318</v>
      </c>
      <c r="K180" s="124" t="s">
        <v>33</v>
      </c>
      <c r="L180" s="124"/>
      <c r="M180" s="124"/>
      <c r="N180" s="116">
        <v>11294</v>
      </c>
      <c r="O180" s="117">
        <v>11294</v>
      </c>
      <c r="P180" s="91">
        <v>11437</v>
      </c>
      <c r="Q180" s="118">
        <f>P180/O180*100</f>
        <v>101.26615902248982</v>
      </c>
    </row>
    <row r="181" spans="1:17" ht="14.1" customHeight="1" thickBot="1" x14ac:dyDescent="0.3">
      <c r="A181" s="50"/>
      <c r="B181" s="64" t="s">
        <v>174</v>
      </c>
      <c r="C181" s="63" t="s">
        <v>175</v>
      </c>
      <c r="D181" s="69"/>
      <c r="E181" s="70"/>
      <c r="F181" s="68">
        <v>2366</v>
      </c>
      <c r="G181" s="78">
        <v>2387</v>
      </c>
      <c r="H181" s="78">
        <v>2286</v>
      </c>
      <c r="I181" s="128">
        <f t="shared" ref="I181:I185" si="19">H181/G181*100</f>
        <v>95.768747381650613</v>
      </c>
      <c r="J181" s="67"/>
      <c r="K181" s="631" t="s">
        <v>248</v>
      </c>
      <c r="L181" s="632"/>
      <c r="M181" s="632"/>
      <c r="N181" s="95">
        <f>SUM(N180)</f>
        <v>11294</v>
      </c>
      <c r="O181" s="121">
        <f>SUM(O180)</f>
        <v>11294</v>
      </c>
      <c r="P181" s="122">
        <f>SUM(P180)</f>
        <v>11437</v>
      </c>
      <c r="Q181" s="118">
        <f>P181/O181*100</f>
        <v>101.26615902248982</v>
      </c>
    </row>
    <row r="182" spans="1:17" ht="14.1" customHeight="1" x14ac:dyDescent="0.25">
      <c r="A182" s="50"/>
      <c r="B182" s="64" t="s">
        <v>176</v>
      </c>
      <c r="C182" s="640" t="s">
        <v>177</v>
      </c>
      <c r="D182" s="640"/>
      <c r="E182" s="641"/>
      <c r="F182" s="73">
        <v>2477</v>
      </c>
      <c r="G182" s="44">
        <v>2477</v>
      </c>
      <c r="H182" s="44">
        <v>1042</v>
      </c>
      <c r="I182" s="128">
        <f t="shared" si="19"/>
        <v>42.067016552280982</v>
      </c>
      <c r="J182" s="67"/>
      <c r="K182" s="631"/>
      <c r="L182" s="632"/>
      <c r="M182" s="632"/>
      <c r="N182" s="111"/>
      <c r="O182" s="47"/>
      <c r="P182" s="54"/>
      <c r="Q182" s="55"/>
    </row>
    <row r="183" spans="1:17" ht="14.1" customHeight="1" x14ac:dyDescent="0.25">
      <c r="A183" s="50"/>
      <c r="B183" s="144" t="s">
        <v>205</v>
      </c>
      <c r="C183" s="102"/>
      <c r="D183" s="77"/>
      <c r="E183" s="77"/>
      <c r="F183" s="68"/>
      <c r="G183" s="78"/>
      <c r="H183" s="78"/>
      <c r="I183" s="128"/>
      <c r="J183" s="67"/>
      <c r="K183" s="83"/>
      <c r="L183" s="124"/>
      <c r="M183" s="124"/>
      <c r="N183" s="68"/>
      <c r="O183" s="61"/>
      <c r="P183" s="62"/>
      <c r="Q183" s="63"/>
    </row>
    <row r="184" spans="1:17" ht="14.1" customHeight="1" thickBot="1" x14ac:dyDescent="0.3">
      <c r="A184" s="50"/>
      <c r="B184" s="64" t="s">
        <v>38</v>
      </c>
      <c r="C184" s="83" t="s">
        <v>206</v>
      </c>
      <c r="D184" s="77"/>
      <c r="E184" s="77"/>
      <c r="F184" s="84">
        <v>1061</v>
      </c>
      <c r="G184" s="52">
        <v>1061</v>
      </c>
      <c r="H184" s="85">
        <v>826</v>
      </c>
      <c r="I184" s="86">
        <f t="shared" si="19"/>
        <v>77.851083883129121</v>
      </c>
      <c r="J184" s="67"/>
      <c r="K184" s="83"/>
      <c r="L184" s="124"/>
      <c r="M184" s="124"/>
      <c r="N184" s="81"/>
      <c r="O184" s="82"/>
      <c r="P184" s="62"/>
      <c r="Q184" s="63"/>
    </row>
    <row r="185" spans="1:17" ht="14.1" customHeight="1" thickBot="1" x14ac:dyDescent="0.3">
      <c r="A185" s="50"/>
      <c r="B185" s="67"/>
      <c r="C185" s="631" t="s">
        <v>247</v>
      </c>
      <c r="D185" s="632"/>
      <c r="E185" s="632"/>
      <c r="F185" s="93">
        <f>SUM(F180:F184)</f>
        <v>14668</v>
      </c>
      <c r="G185" s="119">
        <f>SUM(G180:G184)</f>
        <v>14768</v>
      </c>
      <c r="H185" s="119">
        <f>SUM(H180:H184)</f>
        <v>12632</v>
      </c>
      <c r="I185" s="86">
        <f t="shared" si="19"/>
        <v>85.536294691224271</v>
      </c>
      <c r="J185" s="67"/>
      <c r="K185" s="631"/>
      <c r="L185" s="632"/>
      <c r="M185" s="632"/>
      <c r="N185" s="81"/>
      <c r="O185" s="82"/>
      <c r="P185" s="62"/>
      <c r="Q185" s="63"/>
    </row>
    <row r="186" spans="1:17" ht="14.1" customHeight="1" x14ac:dyDescent="0.25">
      <c r="A186" s="42" t="s">
        <v>325</v>
      </c>
      <c r="B186" s="638" t="s">
        <v>326</v>
      </c>
      <c r="C186" s="639"/>
      <c r="D186" s="639"/>
      <c r="E186" s="639"/>
      <c r="F186" s="123"/>
      <c r="G186" s="99"/>
      <c r="H186" s="100"/>
      <c r="I186" s="100"/>
      <c r="J186" s="638" t="s">
        <v>326</v>
      </c>
      <c r="K186" s="639"/>
      <c r="L186" s="639"/>
      <c r="M186" s="639"/>
      <c r="N186" s="123"/>
      <c r="O186" s="82"/>
      <c r="P186" s="62"/>
      <c r="Q186" s="63"/>
    </row>
    <row r="187" spans="1:17" ht="14.1" customHeight="1" x14ac:dyDescent="0.25">
      <c r="A187" s="206"/>
      <c r="B187" s="56" t="s">
        <v>171</v>
      </c>
      <c r="C187" s="57"/>
      <c r="D187" s="58"/>
      <c r="E187" s="58"/>
      <c r="F187" s="60"/>
      <c r="G187" s="78"/>
      <c r="H187" s="78"/>
      <c r="I187" s="78"/>
      <c r="J187" s="263" t="s">
        <v>310</v>
      </c>
      <c r="K187" s="149" t="s">
        <v>23</v>
      </c>
      <c r="L187" s="149"/>
      <c r="M187" s="149"/>
      <c r="N187" s="126"/>
      <c r="O187" s="61"/>
      <c r="P187" s="62"/>
      <c r="Q187" s="63"/>
    </row>
    <row r="188" spans="1:17" ht="14.1" customHeight="1" thickBot="1" x14ac:dyDescent="0.3">
      <c r="A188" s="50"/>
      <c r="B188" s="64" t="s">
        <v>172</v>
      </c>
      <c r="C188" s="631" t="s">
        <v>173</v>
      </c>
      <c r="D188" s="632"/>
      <c r="E188" s="632"/>
      <c r="F188" s="68">
        <v>2297</v>
      </c>
      <c r="G188" s="78">
        <v>2395</v>
      </c>
      <c r="H188" s="78">
        <v>2383</v>
      </c>
      <c r="I188" s="128">
        <f>H188/G188*100</f>
        <v>99.498956158663887</v>
      </c>
      <c r="J188" s="64" t="s">
        <v>318</v>
      </c>
      <c r="K188" s="124" t="s">
        <v>33</v>
      </c>
      <c r="L188" s="124"/>
      <c r="M188" s="124"/>
      <c r="N188" s="116">
        <v>6856</v>
      </c>
      <c r="O188" s="117">
        <v>6856</v>
      </c>
      <c r="P188" s="91">
        <v>6837</v>
      </c>
      <c r="Q188" s="118">
        <f>P188/O188*100</f>
        <v>99.722870478413071</v>
      </c>
    </row>
    <row r="189" spans="1:17" ht="14.1" customHeight="1" thickBot="1" x14ac:dyDescent="0.3">
      <c r="A189" s="50"/>
      <c r="B189" s="64" t="s">
        <v>174</v>
      </c>
      <c r="C189" s="63" t="s">
        <v>175</v>
      </c>
      <c r="D189" s="69"/>
      <c r="E189" s="70"/>
      <c r="F189" s="68">
        <v>620</v>
      </c>
      <c r="G189" s="78">
        <v>647</v>
      </c>
      <c r="H189" s="78">
        <v>643</v>
      </c>
      <c r="I189" s="128">
        <f t="shared" ref="I189:I193" si="20">H189/G189*100</f>
        <v>99.381761978361666</v>
      </c>
      <c r="J189" s="67"/>
      <c r="K189" s="631" t="s">
        <v>248</v>
      </c>
      <c r="L189" s="632"/>
      <c r="M189" s="632"/>
      <c r="N189" s="95">
        <f>SUM(N188)</f>
        <v>6856</v>
      </c>
      <c r="O189" s="121">
        <f>SUM(O188)</f>
        <v>6856</v>
      </c>
      <c r="P189" s="122">
        <f>SUM(P188)</f>
        <v>6837</v>
      </c>
      <c r="Q189" s="118">
        <f>P189/O189*100</f>
        <v>99.722870478413071</v>
      </c>
    </row>
    <row r="190" spans="1:17" ht="14.1" customHeight="1" x14ac:dyDescent="0.25">
      <c r="A190" s="50"/>
      <c r="B190" s="64" t="s">
        <v>176</v>
      </c>
      <c r="C190" s="640" t="s">
        <v>177</v>
      </c>
      <c r="D190" s="640"/>
      <c r="E190" s="641"/>
      <c r="F190" s="73">
        <v>438</v>
      </c>
      <c r="G190" s="44">
        <v>334</v>
      </c>
      <c r="H190" s="44">
        <v>146</v>
      </c>
      <c r="I190" s="128">
        <f t="shared" si="20"/>
        <v>43.712574850299404</v>
      </c>
      <c r="J190" s="67"/>
      <c r="K190" s="631"/>
      <c r="L190" s="632"/>
      <c r="M190" s="632"/>
      <c r="N190" s="111"/>
      <c r="O190" s="47"/>
      <c r="P190" s="54"/>
      <c r="Q190" s="55"/>
    </row>
    <row r="191" spans="1:17" ht="14.1" customHeight="1" x14ac:dyDescent="0.25">
      <c r="A191" s="50"/>
      <c r="B191" s="144" t="s">
        <v>205</v>
      </c>
      <c r="C191" s="102"/>
      <c r="D191" s="77"/>
      <c r="E191" s="77"/>
      <c r="F191" s="68"/>
      <c r="G191" s="78"/>
      <c r="H191" s="78"/>
      <c r="I191" s="128"/>
      <c r="J191" s="67"/>
      <c r="K191" s="83"/>
      <c r="L191" s="124"/>
      <c r="M191" s="124"/>
      <c r="N191" s="68"/>
      <c r="O191" s="61"/>
      <c r="P191" s="62"/>
      <c r="Q191" s="63"/>
    </row>
    <row r="192" spans="1:17" ht="14.1" customHeight="1" thickBot="1" x14ac:dyDescent="0.3">
      <c r="A192" s="50"/>
      <c r="B192" s="64" t="s">
        <v>38</v>
      </c>
      <c r="C192" s="83" t="s">
        <v>206</v>
      </c>
      <c r="D192" s="77"/>
      <c r="E192" s="77"/>
      <c r="F192" s="84">
        <v>127</v>
      </c>
      <c r="G192" s="52">
        <v>231</v>
      </c>
      <c r="H192" s="85">
        <v>144</v>
      </c>
      <c r="I192" s="86">
        <f t="shared" si="20"/>
        <v>62.337662337662337</v>
      </c>
      <c r="J192" s="67"/>
      <c r="K192" s="83"/>
      <c r="L192" s="124"/>
      <c r="M192" s="124"/>
      <c r="N192" s="68"/>
      <c r="O192" s="61"/>
      <c r="P192" s="62"/>
      <c r="Q192" s="63"/>
    </row>
    <row r="193" spans="1:17" ht="14.1" customHeight="1" thickBot="1" x14ac:dyDescent="0.3">
      <c r="A193" s="50"/>
      <c r="B193" s="67"/>
      <c r="C193" s="631" t="s">
        <v>247</v>
      </c>
      <c r="D193" s="632"/>
      <c r="E193" s="632"/>
      <c r="F193" s="93">
        <f>SUM(F188:F192)</f>
        <v>3482</v>
      </c>
      <c r="G193" s="119">
        <f>SUM(G188:G192)</f>
        <v>3607</v>
      </c>
      <c r="H193" s="119">
        <f>SUM(H188:H192)</f>
        <v>3316</v>
      </c>
      <c r="I193" s="86">
        <f t="shared" si="20"/>
        <v>91.932353756584419</v>
      </c>
      <c r="J193" s="67"/>
      <c r="K193" s="83"/>
      <c r="L193" s="124"/>
      <c r="M193" s="124"/>
      <c r="N193" s="68"/>
      <c r="O193" s="61"/>
      <c r="P193" s="62"/>
      <c r="Q193" s="63"/>
    </row>
    <row r="194" spans="1:17" ht="14.1" customHeight="1" x14ac:dyDescent="0.25">
      <c r="A194" s="42" t="s">
        <v>327</v>
      </c>
      <c r="B194" s="638" t="s">
        <v>328</v>
      </c>
      <c r="C194" s="639"/>
      <c r="D194" s="639"/>
      <c r="E194" s="639"/>
      <c r="F194" s="123"/>
      <c r="G194" s="99"/>
      <c r="H194" s="100"/>
      <c r="I194" s="100"/>
      <c r="J194" s="638" t="s">
        <v>328</v>
      </c>
      <c r="K194" s="639"/>
      <c r="L194" s="639"/>
      <c r="M194" s="639"/>
      <c r="N194" s="123"/>
      <c r="O194" s="82"/>
      <c r="P194" s="62"/>
      <c r="Q194" s="63"/>
    </row>
    <row r="195" spans="1:17" ht="14.1" customHeight="1" x14ac:dyDescent="0.25">
      <c r="A195" s="199"/>
      <c r="B195" s="56" t="s">
        <v>171</v>
      </c>
      <c r="C195" s="102"/>
      <c r="D195" s="80"/>
      <c r="E195" s="80"/>
      <c r="F195" s="68"/>
      <c r="G195" s="154"/>
      <c r="H195" s="154"/>
      <c r="I195" s="154"/>
      <c r="J195" s="67"/>
      <c r="K195" s="80"/>
      <c r="L195" s="80"/>
      <c r="M195" s="80"/>
      <c r="N195" s="68"/>
      <c r="O195" s="61"/>
      <c r="P195" s="62"/>
      <c r="Q195" s="63"/>
    </row>
    <row r="196" spans="1:17" ht="14.1" customHeight="1" x14ac:dyDescent="0.25">
      <c r="A196" s="278"/>
      <c r="B196" s="64" t="s">
        <v>172</v>
      </c>
      <c r="C196" s="631" t="s">
        <v>173</v>
      </c>
      <c r="D196" s="632"/>
      <c r="E196" s="632"/>
      <c r="F196" s="68">
        <v>945</v>
      </c>
      <c r="G196" s="262">
        <v>945</v>
      </c>
      <c r="H196" s="279">
        <v>945</v>
      </c>
      <c r="I196" s="280">
        <f>H196/G196*100</f>
        <v>100</v>
      </c>
      <c r="J196" s="120"/>
      <c r="K196" s="281"/>
      <c r="L196" s="281"/>
      <c r="M196" s="281"/>
      <c r="N196" s="65"/>
      <c r="O196" s="61"/>
      <c r="P196" s="62"/>
      <c r="Q196" s="63"/>
    </row>
    <row r="197" spans="1:17" ht="14.1" customHeight="1" x14ac:dyDescent="0.25">
      <c r="A197" s="278"/>
      <c r="B197" s="64" t="s">
        <v>174</v>
      </c>
      <c r="C197" s="63" t="s">
        <v>175</v>
      </c>
      <c r="D197" s="69"/>
      <c r="E197" s="70"/>
      <c r="F197" s="68">
        <v>255</v>
      </c>
      <c r="G197" s="262">
        <v>255</v>
      </c>
      <c r="H197" s="279">
        <v>255</v>
      </c>
      <c r="I197" s="280">
        <f t="shared" ref="I197:I203" si="21">H197/G197*100</f>
        <v>100</v>
      </c>
      <c r="J197" s="120"/>
      <c r="K197" s="281"/>
      <c r="L197" s="281"/>
      <c r="M197" s="281"/>
      <c r="N197" s="65"/>
      <c r="O197" s="61"/>
      <c r="P197" s="62"/>
      <c r="Q197" s="63"/>
    </row>
    <row r="198" spans="1:17" ht="14.1" customHeight="1" x14ac:dyDescent="0.25">
      <c r="A198" s="278"/>
      <c r="B198" s="64" t="s">
        <v>176</v>
      </c>
      <c r="C198" s="640" t="s">
        <v>177</v>
      </c>
      <c r="D198" s="640"/>
      <c r="E198" s="641"/>
      <c r="F198" s="127"/>
      <c r="G198" s="262">
        <v>564</v>
      </c>
      <c r="H198" s="262">
        <v>565</v>
      </c>
      <c r="I198" s="280">
        <f t="shared" si="21"/>
        <v>100.177304964539</v>
      </c>
      <c r="J198" s="120"/>
      <c r="K198" s="281"/>
      <c r="L198" s="281"/>
      <c r="M198" s="281"/>
      <c r="N198" s="65"/>
      <c r="O198" s="132"/>
      <c r="P198" s="62"/>
      <c r="Q198" s="63"/>
    </row>
    <row r="199" spans="1:17" ht="14.1" customHeight="1" x14ac:dyDescent="0.25">
      <c r="A199" s="282"/>
      <c r="B199" s="64" t="s">
        <v>291</v>
      </c>
      <c r="C199" s="201" t="s">
        <v>201</v>
      </c>
      <c r="D199" s="201"/>
      <c r="E199" s="76"/>
      <c r="F199" s="283">
        <v>1500</v>
      </c>
      <c r="G199" s="52">
        <f>1950+200</f>
        <v>2150</v>
      </c>
      <c r="H199" s="52">
        <v>2150</v>
      </c>
      <c r="I199" s="280">
        <f t="shared" si="21"/>
        <v>100</v>
      </c>
      <c r="J199" s="120"/>
      <c r="K199" s="281"/>
      <c r="L199" s="281"/>
      <c r="M199" s="281"/>
      <c r="N199" s="65"/>
      <c r="O199" s="132"/>
      <c r="P199" s="62"/>
      <c r="Q199" s="63"/>
    </row>
    <row r="200" spans="1:17" ht="14.1" customHeight="1" x14ac:dyDescent="0.25">
      <c r="A200" s="282"/>
      <c r="B200" s="144" t="s">
        <v>205</v>
      </c>
      <c r="C200" s="102"/>
      <c r="D200" s="77"/>
      <c r="E200" s="77"/>
      <c r="F200" s="68"/>
      <c r="G200" s="78"/>
      <c r="H200" s="44"/>
      <c r="I200" s="280"/>
      <c r="J200" s="120"/>
      <c r="K200" s="281"/>
      <c r="L200" s="281"/>
      <c r="M200" s="281"/>
      <c r="N200" s="127"/>
      <c r="O200" s="164"/>
      <c r="P200" s="62"/>
      <c r="Q200" s="63"/>
    </row>
    <row r="201" spans="1:17" ht="14.1" customHeight="1" x14ac:dyDescent="0.25">
      <c r="A201" s="282"/>
      <c r="B201" s="64" t="s">
        <v>38</v>
      </c>
      <c r="C201" s="83" t="s">
        <v>206</v>
      </c>
      <c r="D201" s="77"/>
      <c r="E201" s="77"/>
      <c r="F201" s="68">
        <v>750</v>
      </c>
      <c r="G201" s="78">
        <v>750</v>
      </c>
      <c r="H201" s="78"/>
      <c r="I201" s="280"/>
      <c r="J201" s="120"/>
      <c r="K201" s="281"/>
      <c r="L201" s="281"/>
      <c r="M201" s="281"/>
      <c r="N201" s="127"/>
      <c r="O201" s="164"/>
      <c r="P201" s="62"/>
      <c r="Q201" s="63"/>
    </row>
    <row r="202" spans="1:17" ht="14.1" customHeight="1" thickBot="1" x14ac:dyDescent="0.3">
      <c r="A202" s="282"/>
      <c r="B202" s="64" t="s">
        <v>224</v>
      </c>
      <c r="C202" s="83" t="s">
        <v>329</v>
      </c>
      <c r="D202" s="77"/>
      <c r="E202" s="77"/>
      <c r="F202" s="84"/>
      <c r="G202" s="85">
        <v>19575</v>
      </c>
      <c r="H202" s="85">
        <v>19575</v>
      </c>
      <c r="I202" s="284">
        <f t="shared" si="21"/>
        <v>100</v>
      </c>
      <c r="J202" s="120"/>
      <c r="K202" s="281"/>
      <c r="L202" s="281"/>
      <c r="M202" s="281"/>
      <c r="N202" s="127"/>
      <c r="O202" s="164"/>
      <c r="P202" s="62"/>
      <c r="Q202" s="63"/>
    </row>
    <row r="203" spans="1:17" ht="14.1" customHeight="1" thickBot="1" x14ac:dyDescent="0.3">
      <c r="A203" s="32"/>
      <c r="B203" s="67"/>
      <c r="C203" s="631" t="s">
        <v>247</v>
      </c>
      <c r="D203" s="632"/>
      <c r="E203" s="632"/>
      <c r="F203" s="93">
        <f>SUM(F196:F202)</f>
        <v>3450</v>
      </c>
      <c r="G203" s="285">
        <f>SUM(G196:G202)</f>
        <v>24239</v>
      </c>
      <c r="H203" s="285">
        <f>SUM(H196:H202)</f>
        <v>23490</v>
      </c>
      <c r="I203" s="284">
        <f t="shared" si="21"/>
        <v>96.909938528817193</v>
      </c>
      <c r="J203" s="286"/>
      <c r="K203" s="738" t="s">
        <v>248</v>
      </c>
      <c r="L203" s="739"/>
      <c r="M203" s="739"/>
      <c r="N203" s="127"/>
      <c r="O203" s="287"/>
      <c r="P203" s="62"/>
      <c r="Q203" s="63"/>
    </row>
    <row r="204" spans="1:17" ht="14.1" customHeight="1" x14ac:dyDescent="0.25">
      <c r="A204" s="42" t="s">
        <v>330</v>
      </c>
      <c r="B204" s="638" t="s">
        <v>336</v>
      </c>
      <c r="C204" s="639"/>
      <c r="D204" s="639"/>
      <c r="E204" s="639"/>
      <c r="F204" s="123"/>
      <c r="G204" s="99"/>
      <c r="H204" s="100"/>
      <c r="I204" s="100"/>
      <c r="J204" s="638" t="s">
        <v>336</v>
      </c>
      <c r="K204" s="639"/>
      <c r="L204" s="639"/>
      <c r="M204" s="639"/>
      <c r="N204" s="123"/>
      <c r="O204" s="82"/>
      <c r="P204" s="62"/>
      <c r="Q204" s="63"/>
    </row>
    <row r="205" spans="1:17" ht="14.1" customHeight="1" x14ac:dyDescent="0.25">
      <c r="A205" s="50"/>
      <c r="B205" s="144" t="s">
        <v>205</v>
      </c>
      <c r="C205" s="102"/>
      <c r="D205" s="102"/>
      <c r="E205" s="102"/>
      <c r="F205" s="60"/>
      <c r="G205" s="78"/>
      <c r="H205" s="78"/>
      <c r="I205" s="78"/>
      <c r="J205" s="288"/>
      <c r="K205" s="124"/>
      <c r="L205" s="124"/>
      <c r="M205" s="124"/>
      <c r="N205" s="111"/>
      <c r="O205" s="47"/>
      <c r="P205" s="62"/>
      <c r="Q205" s="63"/>
    </row>
    <row r="206" spans="1:17" ht="14.1" customHeight="1" x14ac:dyDescent="0.25">
      <c r="A206" s="50"/>
      <c r="B206" s="64" t="s">
        <v>38</v>
      </c>
      <c r="C206" s="83" t="s">
        <v>206</v>
      </c>
      <c r="D206" s="124"/>
      <c r="E206" s="149"/>
      <c r="F206" s="68">
        <v>500</v>
      </c>
      <c r="G206" s="78">
        <v>1161</v>
      </c>
      <c r="H206" s="52">
        <v>1161</v>
      </c>
      <c r="I206" s="289">
        <f>H206/G206*100</f>
        <v>100</v>
      </c>
      <c r="J206" s="290"/>
      <c r="K206" s="106"/>
      <c r="L206" s="80"/>
      <c r="M206" s="80"/>
      <c r="N206" s="68"/>
      <c r="O206" s="61"/>
      <c r="P206" s="62"/>
      <c r="Q206" s="63"/>
    </row>
    <row r="207" spans="1:17" ht="14.1" customHeight="1" thickBot="1" x14ac:dyDescent="0.3">
      <c r="A207" s="50"/>
      <c r="B207" s="64"/>
      <c r="C207" s="83" t="s">
        <v>277</v>
      </c>
      <c r="D207" s="124"/>
      <c r="E207" s="149"/>
      <c r="F207" s="291">
        <v>500</v>
      </c>
      <c r="G207" s="189">
        <v>500</v>
      </c>
      <c r="H207" s="259">
        <v>500</v>
      </c>
      <c r="I207" s="289">
        <f t="shared" ref="I207:I208" si="22">H207/G207*100</f>
        <v>100</v>
      </c>
      <c r="J207" s="103"/>
      <c r="K207" s="83"/>
      <c r="L207" s="80"/>
      <c r="M207" s="80"/>
      <c r="N207" s="68"/>
      <c r="O207" s="61"/>
      <c r="P207" s="62"/>
      <c r="Q207" s="63"/>
    </row>
    <row r="208" spans="1:17" ht="14.1" customHeight="1" thickBot="1" x14ac:dyDescent="0.3">
      <c r="A208" s="50"/>
      <c r="B208" s="67"/>
      <c r="C208" s="631" t="s">
        <v>247</v>
      </c>
      <c r="D208" s="632"/>
      <c r="E208" s="632"/>
      <c r="F208" s="170">
        <f>SUM(F206)</f>
        <v>500</v>
      </c>
      <c r="G208" s="119">
        <f>SUM(G206)</f>
        <v>1161</v>
      </c>
      <c r="H208" s="119">
        <f>SUM(H206)</f>
        <v>1161</v>
      </c>
      <c r="I208" s="292">
        <f t="shared" si="22"/>
        <v>100</v>
      </c>
      <c r="J208" s="67"/>
      <c r="K208" s="631" t="s">
        <v>248</v>
      </c>
      <c r="L208" s="632"/>
      <c r="M208" s="632"/>
      <c r="N208" s="65"/>
      <c r="O208" s="132"/>
      <c r="P208" s="62"/>
      <c r="Q208" s="63"/>
    </row>
    <row r="209" spans="1:17" ht="14.1" customHeight="1" x14ac:dyDescent="0.25">
      <c r="A209" s="213" t="s">
        <v>335</v>
      </c>
      <c r="B209" s="652" t="s">
        <v>338</v>
      </c>
      <c r="C209" s="653"/>
      <c r="D209" s="653"/>
      <c r="E209" s="653"/>
      <c r="F209" s="51"/>
      <c r="G209" s="215"/>
      <c r="H209" s="216"/>
      <c r="I209" s="216"/>
      <c r="J209" s="652" t="s">
        <v>338</v>
      </c>
      <c r="K209" s="653"/>
      <c r="L209" s="653"/>
      <c r="M209" s="653"/>
      <c r="N209" s="127"/>
      <c r="O209" s="164"/>
      <c r="P209" s="62"/>
      <c r="Q209" s="63"/>
    </row>
    <row r="210" spans="1:17" ht="14.1" customHeight="1" x14ac:dyDescent="0.25">
      <c r="A210" s="206"/>
      <c r="B210" s="56" t="s">
        <v>171</v>
      </c>
      <c r="C210" s="57"/>
      <c r="D210" s="58"/>
      <c r="E210" s="58"/>
      <c r="F210" s="60"/>
      <c r="G210" s="218"/>
      <c r="H210" s="293"/>
      <c r="I210" s="293"/>
      <c r="J210" s="56" t="s">
        <v>250</v>
      </c>
      <c r="K210" s="57"/>
      <c r="L210" s="124"/>
      <c r="M210" s="124"/>
      <c r="N210" s="127"/>
      <c r="O210" s="164"/>
      <c r="P210" s="62"/>
      <c r="Q210" s="63"/>
    </row>
    <row r="211" spans="1:17" ht="14.1" customHeight="1" x14ac:dyDescent="0.25">
      <c r="A211" s="50"/>
      <c r="B211" s="64" t="s">
        <v>172</v>
      </c>
      <c r="C211" s="631" t="s">
        <v>173</v>
      </c>
      <c r="D211" s="632"/>
      <c r="E211" s="632"/>
      <c r="F211" s="68"/>
      <c r="G211" s="78">
        <f>1828+38</f>
        <v>1866</v>
      </c>
      <c r="H211" s="79">
        <v>1866</v>
      </c>
      <c r="I211" s="294">
        <f>H211/G211*100</f>
        <v>100</v>
      </c>
      <c r="J211" s="103" t="s">
        <v>65</v>
      </c>
      <c r="K211" s="106" t="s">
        <v>66</v>
      </c>
      <c r="L211" s="124"/>
      <c r="M211" s="124"/>
      <c r="N211" s="127"/>
      <c r="O211" s="164"/>
      <c r="P211" s="62">
        <v>137</v>
      </c>
      <c r="Q211" s="63"/>
    </row>
    <row r="212" spans="1:17" ht="14.1" customHeight="1" thickBot="1" x14ac:dyDescent="0.3">
      <c r="A212" s="50"/>
      <c r="B212" s="64" t="s">
        <v>174</v>
      </c>
      <c r="C212" s="63" t="s">
        <v>175</v>
      </c>
      <c r="D212" s="69"/>
      <c r="E212" s="70"/>
      <c r="F212" s="68"/>
      <c r="G212" s="78">
        <f>493+17</f>
        <v>510</v>
      </c>
      <c r="H212" s="79">
        <v>510</v>
      </c>
      <c r="I212" s="294">
        <f t="shared" ref="I212:I216" si="23">H212/G212*100</f>
        <v>100</v>
      </c>
      <c r="J212" s="103" t="s">
        <v>73</v>
      </c>
      <c r="K212" s="106" t="s">
        <v>74</v>
      </c>
      <c r="L212" s="124"/>
      <c r="M212" s="124"/>
      <c r="N212" s="113"/>
      <c r="O212" s="211"/>
      <c r="P212" s="91">
        <v>37</v>
      </c>
      <c r="Q212" s="92"/>
    </row>
    <row r="213" spans="1:17" ht="14.1" customHeight="1" thickBot="1" x14ac:dyDescent="0.3">
      <c r="A213" s="50"/>
      <c r="B213" s="64" t="s">
        <v>176</v>
      </c>
      <c r="C213" s="640" t="s">
        <v>177</v>
      </c>
      <c r="D213" s="640"/>
      <c r="E213" s="641"/>
      <c r="F213" s="127"/>
      <c r="G213" s="78">
        <f>14966-7450-55</f>
        <v>7461</v>
      </c>
      <c r="H213" s="79">
        <v>701</v>
      </c>
      <c r="I213" s="294">
        <f t="shared" si="23"/>
        <v>9.3955233882857527</v>
      </c>
      <c r="J213" s="221"/>
      <c r="K213" s="631" t="s">
        <v>248</v>
      </c>
      <c r="L213" s="632"/>
      <c r="M213" s="632"/>
      <c r="N213" s="113"/>
      <c r="O213" s="211"/>
      <c r="P213" s="295">
        <f>SUM(P211:P212)</f>
        <v>174</v>
      </c>
      <c r="Q213" s="92"/>
    </row>
    <row r="214" spans="1:17" ht="14.1" customHeight="1" x14ac:dyDescent="0.25">
      <c r="A214" s="50"/>
      <c r="B214" s="144" t="s">
        <v>205</v>
      </c>
      <c r="C214" s="102"/>
      <c r="D214" s="102"/>
      <c r="E214" s="77"/>
      <c r="F214" s="68"/>
      <c r="G214" s="78"/>
      <c r="H214" s="79"/>
      <c r="I214" s="294"/>
      <c r="J214" s="221"/>
      <c r="K214" s="124"/>
      <c r="L214" s="124"/>
      <c r="M214" s="124"/>
      <c r="N214" s="178"/>
      <c r="O214" s="168"/>
      <c r="P214" s="54"/>
      <c r="Q214" s="55"/>
    </row>
    <row r="215" spans="1:17" ht="14.1" customHeight="1" thickBot="1" x14ac:dyDescent="0.3">
      <c r="A215" s="50"/>
      <c r="B215" s="64" t="s">
        <v>38</v>
      </c>
      <c r="C215" s="83" t="s">
        <v>206</v>
      </c>
      <c r="D215" s="124"/>
      <c r="E215" s="77"/>
      <c r="F215" s="113"/>
      <c r="G215" s="85">
        <v>9</v>
      </c>
      <c r="H215" s="114">
        <v>8</v>
      </c>
      <c r="I215" s="86">
        <f t="shared" si="23"/>
        <v>88.888888888888886</v>
      </c>
      <c r="J215" s="221"/>
      <c r="K215" s="124"/>
      <c r="L215" s="124"/>
      <c r="M215" s="124"/>
      <c r="N215" s="127"/>
      <c r="O215" s="164"/>
      <c r="P215" s="62"/>
      <c r="Q215" s="63"/>
    </row>
    <row r="216" spans="1:17" ht="14.1" customHeight="1" thickBot="1" x14ac:dyDescent="0.3">
      <c r="A216" s="50"/>
      <c r="B216" s="221"/>
      <c r="C216" s="631" t="s">
        <v>247</v>
      </c>
      <c r="D216" s="632"/>
      <c r="E216" s="632"/>
      <c r="F216" s="113"/>
      <c r="G216" s="171">
        <f>SUM(G211:G215)</f>
        <v>9846</v>
      </c>
      <c r="H216" s="171">
        <f>SUM(H211:H215)</f>
        <v>3085</v>
      </c>
      <c r="I216" s="86">
        <f t="shared" si="23"/>
        <v>31.332520820637821</v>
      </c>
      <c r="J216" s="221"/>
      <c r="K216" s="124"/>
      <c r="L216" s="124"/>
      <c r="M216" s="124"/>
      <c r="N216" s="127"/>
      <c r="O216" s="164"/>
      <c r="P216" s="62"/>
      <c r="Q216" s="63"/>
    </row>
    <row r="217" spans="1:17" ht="14.1" customHeight="1" x14ac:dyDescent="0.25">
      <c r="A217" s="42" t="s">
        <v>337</v>
      </c>
      <c r="B217" s="652" t="s">
        <v>340</v>
      </c>
      <c r="C217" s="653"/>
      <c r="D217" s="653"/>
      <c r="E217" s="653"/>
      <c r="F217" s="98"/>
      <c r="G217" s="99"/>
      <c r="H217" s="100"/>
      <c r="I217" s="100"/>
      <c r="J217" s="652" t="s">
        <v>340</v>
      </c>
      <c r="K217" s="653"/>
      <c r="L217" s="653"/>
      <c r="M217" s="653"/>
      <c r="N217" s="101"/>
      <c r="O217" s="82"/>
      <c r="P217" s="62"/>
      <c r="Q217" s="63"/>
    </row>
    <row r="218" spans="1:17" ht="14.1" customHeight="1" x14ac:dyDescent="0.25">
      <c r="A218" s="180"/>
      <c r="B218" s="56" t="s">
        <v>171</v>
      </c>
      <c r="C218" s="186"/>
      <c r="D218" s="102"/>
      <c r="E218" s="80"/>
      <c r="F218" s="81"/>
      <c r="G218" s="99"/>
      <c r="H218" s="99"/>
      <c r="I218" s="99"/>
      <c r="J218" s="56" t="s">
        <v>250</v>
      </c>
      <c r="K218" s="57"/>
      <c r="L218" s="149"/>
      <c r="M218" s="149"/>
      <c r="N218" s="126"/>
      <c r="O218" s="61"/>
      <c r="P218" s="62"/>
      <c r="Q218" s="63"/>
    </row>
    <row r="219" spans="1:17" ht="14.1" customHeight="1" x14ac:dyDescent="0.25">
      <c r="A219" s="180"/>
      <c r="B219" s="64" t="s">
        <v>172</v>
      </c>
      <c r="C219" s="631" t="s">
        <v>173</v>
      </c>
      <c r="D219" s="632"/>
      <c r="E219" s="632"/>
      <c r="F219" s="81"/>
      <c r="G219" s="99">
        <v>1715</v>
      </c>
      <c r="H219" s="99">
        <v>1602</v>
      </c>
      <c r="I219" s="296">
        <f>H219/G219*100</f>
        <v>93.411078717201164</v>
      </c>
      <c r="J219" s="103" t="s">
        <v>65</v>
      </c>
      <c r="K219" s="106" t="s">
        <v>66</v>
      </c>
      <c r="L219" s="149"/>
      <c r="M219" s="149"/>
      <c r="N219" s="141"/>
      <c r="O219" s="132"/>
      <c r="P219" s="62">
        <v>324</v>
      </c>
      <c r="Q219" s="63"/>
    </row>
    <row r="220" spans="1:17" ht="14.1" customHeight="1" x14ac:dyDescent="0.25">
      <c r="A220" s="180"/>
      <c r="B220" s="64" t="s">
        <v>174</v>
      </c>
      <c r="C220" s="63" t="s">
        <v>175</v>
      </c>
      <c r="D220" s="69"/>
      <c r="E220" s="70"/>
      <c r="F220" s="81"/>
      <c r="G220" s="99">
        <v>463</v>
      </c>
      <c r="H220" s="99">
        <v>435</v>
      </c>
      <c r="I220" s="296">
        <f t="shared" ref="I220:I225" si="24">H220/G220*100</f>
        <v>93.952483801295898</v>
      </c>
      <c r="J220" s="103" t="s">
        <v>67</v>
      </c>
      <c r="K220" s="106" t="s">
        <v>68</v>
      </c>
      <c r="L220" s="149"/>
      <c r="M220" s="149"/>
      <c r="N220" s="141"/>
      <c r="O220" s="132"/>
      <c r="P220" s="62">
        <v>146</v>
      </c>
      <c r="Q220" s="63"/>
    </row>
    <row r="221" spans="1:17" ht="14.1" customHeight="1" thickBot="1" x14ac:dyDescent="0.3">
      <c r="A221" s="180"/>
      <c r="B221" s="64" t="s">
        <v>176</v>
      </c>
      <c r="C221" s="640" t="s">
        <v>177</v>
      </c>
      <c r="D221" s="640"/>
      <c r="E221" s="641"/>
      <c r="F221" s="178"/>
      <c r="G221" s="99">
        <f>14397-5060-2089</f>
        <v>7248</v>
      </c>
      <c r="H221" s="99">
        <v>3553</v>
      </c>
      <c r="I221" s="296">
        <f t="shared" si="24"/>
        <v>49.020419426048569</v>
      </c>
      <c r="J221" s="103" t="s">
        <v>73</v>
      </c>
      <c r="K221" s="106" t="s">
        <v>74</v>
      </c>
      <c r="L221" s="149"/>
      <c r="M221" s="149"/>
      <c r="N221" s="297"/>
      <c r="O221" s="117"/>
      <c r="P221" s="91">
        <v>127</v>
      </c>
      <c r="Q221" s="92"/>
    </row>
    <row r="222" spans="1:17" ht="14.1" customHeight="1" thickBot="1" x14ac:dyDescent="0.3">
      <c r="A222" s="180"/>
      <c r="B222" s="64" t="s">
        <v>188</v>
      </c>
      <c r="C222" s="83" t="s">
        <v>189</v>
      </c>
      <c r="D222" s="124"/>
      <c r="E222" s="124"/>
      <c r="F222" s="81">
        <v>153216</v>
      </c>
      <c r="G222" s="99">
        <v>102144</v>
      </c>
      <c r="H222" s="99">
        <v>102144</v>
      </c>
      <c r="I222" s="296">
        <f t="shared" si="24"/>
        <v>100</v>
      </c>
      <c r="J222" s="288"/>
      <c r="K222" s="631" t="s">
        <v>248</v>
      </c>
      <c r="L222" s="632"/>
      <c r="M222" s="632"/>
      <c r="N222" s="116"/>
      <c r="O222" s="117"/>
      <c r="P222" s="295">
        <f>SUM(P219:P221)</f>
        <v>597</v>
      </c>
      <c r="Q222" s="92"/>
    </row>
    <row r="223" spans="1:17" ht="14.1" customHeight="1" x14ac:dyDescent="0.25">
      <c r="A223" s="180"/>
      <c r="B223" s="144" t="s">
        <v>205</v>
      </c>
      <c r="C223" s="102"/>
      <c r="D223" s="102"/>
      <c r="E223" s="124"/>
      <c r="F223" s="68"/>
      <c r="G223" s="78"/>
      <c r="H223" s="78"/>
      <c r="I223" s="296"/>
      <c r="J223" s="288"/>
      <c r="K223" s="124"/>
      <c r="L223" s="124"/>
      <c r="M223" s="124"/>
      <c r="N223" s="111"/>
      <c r="O223" s="47"/>
      <c r="P223" s="54"/>
      <c r="Q223" s="55"/>
    </row>
    <row r="224" spans="1:17" ht="14.1" customHeight="1" thickBot="1" x14ac:dyDescent="0.3">
      <c r="A224" s="180"/>
      <c r="B224" s="64" t="s">
        <v>38</v>
      </c>
      <c r="C224" s="83" t="s">
        <v>206</v>
      </c>
      <c r="D224" s="124"/>
      <c r="E224" s="124"/>
      <c r="F224" s="84"/>
      <c r="G224" s="52">
        <v>10</v>
      </c>
      <c r="H224" s="85">
        <v>10</v>
      </c>
      <c r="I224" s="86">
        <f t="shared" si="24"/>
        <v>100</v>
      </c>
      <c r="J224" s="288"/>
      <c r="K224" s="124"/>
      <c r="L224" s="124"/>
      <c r="M224" s="124"/>
      <c r="N224" s="65"/>
      <c r="O224" s="132"/>
      <c r="P224" s="62"/>
      <c r="Q224" s="63"/>
    </row>
    <row r="225" spans="1:17" ht="14.1" customHeight="1" thickBot="1" x14ac:dyDescent="0.3">
      <c r="A225" s="50"/>
      <c r="B225" s="67"/>
      <c r="C225" s="631" t="s">
        <v>247</v>
      </c>
      <c r="D225" s="632"/>
      <c r="E225" s="632"/>
      <c r="F225" s="93">
        <f>SUM(F222:F224)</f>
        <v>153216</v>
      </c>
      <c r="G225" s="119">
        <f>SUM(G219:G224)</f>
        <v>111580</v>
      </c>
      <c r="H225" s="119">
        <f>SUM(H219:H224)</f>
        <v>107744</v>
      </c>
      <c r="I225" s="86">
        <f t="shared" si="24"/>
        <v>96.562107904642417</v>
      </c>
      <c r="J225" s="270"/>
      <c r="K225" s="736"/>
      <c r="L225" s="737"/>
      <c r="M225" s="737"/>
      <c r="N225" s="235"/>
      <c r="O225" s="226"/>
      <c r="P225" s="62"/>
      <c r="Q225" s="63"/>
    </row>
    <row r="226" spans="1:17" ht="14.1" customHeight="1" x14ac:dyDescent="0.25">
      <c r="A226" s="213" t="s">
        <v>339</v>
      </c>
      <c r="B226" s="652" t="s">
        <v>342</v>
      </c>
      <c r="C226" s="653"/>
      <c r="D226" s="653"/>
      <c r="E226" s="653"/>
      <c r="F226" s="51"/>
      <c r="G226" s="215"/>
      <c r="H226" s="216"/>
      <c r="I226" s="216"/>
      <c r="J226" s="193"/>
      <c r="K226" s="298"/>
      <c r="L226" s="298"/>
      <c r="M226" s="298"/>
      <c r="N226" s="225"/>
      <c r="O226" s="287"/>
      <c r="P226" s="62"/>
      <c r="Q226" s="63"/>
    </row>
    <row r="227" spans="1:17" ht="14.1" customHeight="1" x14ac:dyDescent="0.25">
      <c r="A227" s="206"/>
      <c r="B227" s="56" t="s">
        <v>171</v>
      </c>
      <c r="C227" s="57"/>
      <c r="D227" s="58"/>
      <c r="E227" s="58"/>
      <c r="F227" s="60"/>
      <c r="G227" s="218"/>
      <c r="H227" s="293"/>
      <c r="I227" s="293"/>
      <c r="J227" s="193"/>
      <c r="K227" s="298"/>
      <c r="L227" s="298"/>
      <c r="M227" s="298"/>
      <c r="N227" s="225"/>
      <c r="O227" s="287"/>
      <c r="P227" s="62"/>
      <c r="Q227" s="63"/>
    </row>
    <row r="228" spans="1:17" ht="14.1" customHeight="1" x14ac:dyDescent="0.25">
      <c r="A228" s="50"/>
      <c r="B228" s="64" t="s">
        <v>172</v>
      </c>
      <c r="C228" s="631" t="s">
        <v>173</v>
      </c>
      <c r="D228" s="632"/>
      <c r="E228" s="632"/>
      <c r="F228" s="68"/>
      <c r="G228" s="78">
        <f>615+6</f>
        <v>621</v>
      </c>
      <c r="H228" s="79">
        <v>621</v>
      </c>
      <c r="I228" s="294">
        <f>H228/G228*100</f>
        <v>100</v>
      </c>
      <c r="J228" s="193"/>
      <c r="K228" s="299"/>
      <c r="L228" s="298"/>
      <c r="M228" s="298"/>
      <c r="N228" s="225"/>
      <c r="O228" s="287"/>
      <c r="P228" s="62"/>
      <c r="Q228" s="63"/>
    </row>
    <row r="229" spans="1:17" ht="14.1" customHeight="1" x14ac:dyDescent="0.25">
      <c r="A229" s="50"/>
      <c r="B229" s="64" t="s">
        <v>174</v>
      </c>
      <c r="C229" s="63" t="s">
        <v>175</v>
      </c>
      <c r="D229" s="69"/>
      <c r="E229" s="70"/>
      <c r="F229" s="68"/>
      <c r="G229" s="78">
        <v>166</v>
      </c>
      <c r="H229" s="79">
        <v>164</v>
      </c>
      <c r="I229" s="294">
        <f t="shared" ref="I229:I233" si="25">H229/G229*100</f>
        <v>98.795180722891558</v>
      </c>
      <c r="J229" s="193"/>
      <c r="K229" s="298"/>
      <c r="L229" s="298"/>
      <c r="M229" s="298"/>
      <c r="N229" s="225"/>
      <c r="O229" s="287"/>
      <c r="P229" s="62"/>
      <c r="Q229" s="63"/>
    </row>
    <row r="230" spans="1:17" ht="14.1" customHeight="1" x14ac:dyDescent="0.25">
      <c r="A230" s="50"/>
      <c r="B230" s="64" t="s">
        <v>176</v>
      </c>
      <c r="C230" s="640" t="s">
        <v>177</v>
      </c>
      <c r="D230" s="640"/>
      <c r="E230" s="641"/>
      <c r="F230" s="127"/>
      <c r="G230" s="78">
        <f>5986-1616-6</f>
        <v>4364</v>
      </c>
      <c r="H230" s="79">
        <v>341</v>
      </c>
      <c r="I230" s="294">
        <f t="shared" si="25"/>
        <v>7.8139321723189727</v>
      </c>
      <c r="J230" s="193"/>
      <c r="K230" s="298"/>
      <c r="L230" s="298"/>
      <c r="M230" s="298"/>
      <c r="N230" s="225"/>
      <c r="O230" s="287"/>
      <c r="P230" s="62"/>
      <c r="Q230" s="63"/>
    </row>
    <row r="231" spans="1:17" ht="14.1" customHeight="1" x14ac:dyDescent="0.25">
      <c r="A231" s="50"/>
      <c r="B231" s="144" t="s">
        <v>205</v>
      </c>
      <c r="C231" s="102"/>
      <c r="D231" s="102"/>
      <c r="E231" s="77"/>
      <c r="F231" s="68"/>
      <c r="G231" s="78"/>
      <c r="H231" s="79"/>
      <c r="I231" s="294"/>
      <c r="J231" s="193"/>
      <c r="K231" s="298"/>
      <c r="L231" s="298"/>
      <c r="M231" s="298"/>
      <c r="N231" s="225"/>
      <c r="O231" s="287"/>
      <c r="P231" s="62"/>
      <c r="Q231" s="63"/>
    </row>
    <row r="232" spans="1:17" ht="14.1" customHeight="1" thickBot="1" x14ac:dyDescent="0.3">
      <c r="A232" s="50"/>
      <c r="B232" s="64" t="s">
        <v>38</v>
      </c>
      <c r="C232" s="83" t="s">
        <v>206</v>
      </c>
      <c r="D232" s="124"/>
      <c r="E232" s="77"/>
      <c r="F232" s="113"/>
      <c r="G232" s="85">
        <v>3</v>
      </c>
      <c r="H232" s="114">
        <v>3</v>
      </c>
      <c r="I232" s="86">
        <f t="shared" si="25"/>
        <v>100</v>
      </c>
      <c r="J232" s="193"/>
      <c r="K232" s="298"/>
      <c r="L232" s="298"/>
      <c r="M232" s="298"/>
      <c r="N232" s="225"/>
      <c r="O232" s="287"/>
      <c r="P232" s="62"/>
      <c r="Q232" s="63"/>
    </row>
    <row r="233" spans="1:17" ht="14.1" customHeight="1" thickBot="1" x14ac:dyDescent="0.3">
      <c r="A233" s="50"/>
      <c r="B233" s="221"/>
      <c r="C233" s="631" t="s">
        <v>247</v>
      </c>
      <c r="D233" s="632"/>
      <c r="E233" s="632"/>
      <c r="F233" s="84"/>
      <c r="G233" s="171">
        <f>SUM(G228:G232)</f>
        <v>5154</v>
      </c>
      <c r="H233" s="171">
        <f>SUM(H228:H232)</f>
        <v>1129</v>
      </c>
      <c r="I233" s="86">
        <f t="shared" si="25"/>
        <v>21.905316259216143</v>
      </c>
      <c r="J233" s="193"/>
      <c r="K233" s="298"/>
      <c r="L233" s="298"/>
      <c r="M233" s="298"/>
      <c r="N233" s="225"/>
      <c r="O233" s="287"/>
      <c r="P233" s="62"/>
      <c r="Q233" s="63"/>
    </row>
    <row r="234" spans="1:17" ht="14.1" customHeight="1" x14ac:dyDescent="0.25">
      <c r="A234" s="42" t="s">
        <v>341</v>
      </c>
      <c r="B234" s="638" t="s">
        <v>344</v>
      </c>
      <c r="C234" s="639"/>
      <c r="D234" s="639"/>
      <c r="E234" s="639"/>
      <c r="F234" s="203"/>
      <c r="G234" s="99"/>
      <c r="H234" s="100"/>
      <c r="I234" s="100"/>
      <c r="J234" s="638" t="s">
        <v>344</v>
      </c>
      <c r="K234" s="639"/>
      <c r="L234" s="639"/>
      <c r="M234" s="639"/>
      <c r="N234" s="300"/>
      <c r="O234" s="164"/>
      <c r="P234" s="62"/>
      <c r="Q234" s="63"/>
    </row>
    <row r="235" spans="1:17" ht="14.1" customHeight="1" x14ac:dyDescent="0.25">
      <c r="A235" s="50"/>
      <c r="B235" s="56" t="s">
        <v>171</v>
      </c>
      <c r="C235" s="102"/>
      <c r="D235" s="80"/>
      <c r="E235" s="80"/>
      <c r="F235" s="111"/>
      <c r="G235" s="52"/>
      <c r="H235" s="52"/>
      <c r="I235" s="52"/>
      <c r="J235" s="56" t="s">
        <v>250</v>
      </c>
      <c r="K235" s="57"/>
      <c r="L235" s="80"/>
      <c r="M235" s="80"/>
      <c r="N235" s="68"/>
      <c r="O235" s="61"/>
      <c r="P235" s="62"/>
      <c r="Q235" s="63"/>
    </row>
    <row r="236" spans="1:17" ht="14.1" customHeight="1" thickBot="1" x14ac:dyDescent="0.3">
      <c r="A236" s="50"/>
      <c r="B236" s="64" t="s">
        <v>251</v>
      </c>
      <c r="C236" s="201" t="s">
        <v>177</v>
      </c>
      <c r="D236" s="201"/>
      <c r="E236" s="76"/>
      <c r="F236" s="113">
        <v>122502</v>
      </c>
      <c r="G236" s="44">
        <f>140151+2869</f>
        <v>143020</v>
      </c>
      <c r="H236" s="114">
        <v>120723</v>
      </c>
      <c r="I236" s="86">
        <f>H236/G236*100</f>
        <v>84.409872745070629</v>
      </c>
      <c r="J236" s="103" t="s">
        <v>71</v>
      </c>
      <c r="K236" s="641" t="s">
        <v>72</v>
      </c>
      <c r="L236" s="651"/>
      <c r="M236" s="651"/>
      <c r="N236" s="68">
        <v>28004</v>
      </c>
      <c r="O236" s="61">
        <f>28004+5175</f>
        <v>33179</v>
      </c>
      <c r="P236" s="62">
        <v>26375</v>
      </c>
      <c r="Q236" s="105">
        <f>P236/O236*100</f>
        <v>79.493052834624308</v>
      </c>
    </row>
    <row r="237" spans="1:17" ht="14.1" customHeight="1" thickBot="1" x14ac:dyDescent="0.3">
      <c r="A237" s="50"/>
      <c r="B237" s="67"/>
      <c r="C237" s="69" t="s">
        <v>247</v>
      </c>
      <c r="D237" s="69"/>
      <c r="E237" s="70"/>
      <c r="F237" s="93">
        <f>SUM(F236)</f>
        <v>122502</v>
      </c>
      <c r="G237" s="119">
        <f>SUM(G236)</f>
        <v>143020</v>
      </c>
      <c r="H237" s="119">
        <f>SUM(H236)</f>
        <v>120723</v>
      </c>
      <c r="I237" s="86">
        <f>H237/G237*100</f>
        <v>84.409872745070629</v>
      </c>
      <c r="J237" s="103" t="s">
        <v>73</v>
      </c>
      <c r="K237" s="106" t="s">
        <v>74</v>
      </c>
      <c r="L237" s="108"/>
      <c r="M237" s="108"/>
      <c r="N237" s="68">
        <v>7561</v>
      </c>
      <c r="O237" s="61">
        <f>7561+1397</f>
        <v>8958</v>
      </c>
      <c r="P237" s="62">
        <v>7121</v>
      </c>
      <c r="Q237" s="105">
        <f t="shared" ref="Q237:Q239" si="26">P237/O237*100</f>
        <v>79.493190444295607</v>
      </c>
    </row>
    <row r="238" spans="1:17" ht="14.1" customHeight="1" thickBot="1" x14ac:dyDescent="0.3">
      <c r="A238" s="50"/>
      <c r="B238" s="67"/>
      <c r="C238" s="69"/>
      <c r="D238" s="69"/>
      <c r="E238" s="70"/>
      <c r="F238" s="301"/>
      <c r="G238" s="205"/>
      <c r="H238" s="302"/>
      <c r="I238" s="205"/>
      <c r="J238" s="303" t="s">
        <v>75</v>
      </c>
      <c r="K238" s="641" t="s">
        <v>76</v>
      </c>
      <c r="L238" s="651"/>
      <c r="M238" s="651"/>
      <c r="N238" s="116">
        <v>15037</v>
      </c>
      <c r="O238" s="117">
        <f>15037+3056</f>
        <v>18093</v>
      </c>
      <c r="P238" s="91">
        <v>26185</v>
      </c>
      <c r="Q238" s="105">
        <f t="shared" si="26"/>
        <v>144.7244790803073</v>
      </c>
    </row>
    <row r="239" spans="1:17" ht="14.1" customHeight="1" thickBot="1" x14ac:dyDescent="0.3">
      <c r="A239" s="50"/>
      <c r="B239" s="67"/>
      <c r="C239" s="124"/>
      <c r="D239" s="124"/>
      <c r="E239" s="124"/>
      <c r="F239" s="81"/>
      <c r="G239" s="99"/>
      <c r="H239" s="100"/>
      <c r="I239" s="100"/>
      <c r="J239" s="304"/>
      <c r="K239" s="631" t="s">
        <v>248</v>
      </c>
      <c r="L239" s="632"/>
      <c r="M239" s="632"/>
      <c r="N239" s="95">
        <f>SUM(N236:N238)</f>
        <v>50602</v>
      </c>
      <c r="O239" s="121">
        <f>SUM(O236:O238)</f>
        <v>60230</v>
      </c>
      <c r="P239" s="122">
        <f>SUM(P236:P238)</f>
        <v>59681</v>
      </c>
      <c r="Q239" s="118">
        <f t="shared" si="26"/>
        <v>99.088494105927282</v>
      </c>
    </row>
    <row r="240" spans="1:17" ht="14.1" customHeight="1" x14ac:dyDescent="0.25">
      <c r="A240" s="213" t="s">
        <v>343</v>
      </c>
      <c r="B240" s="626" t="s">
        <v>346</v>
      </c>
      <c r="C240" s="627"/>
      <c r="D240" s="627"/>
      <c r="E240" s="627"/>
      <c r="F240" s="203"/>
      <c r="G240" s="168"/>
      <c r="H240" s="82"/>
      <c r="I240" s="82"/>
      <c r="J240" s="626" t="s">
        <v>346</v>
      </c>
      <c r="K240" s="627"/>
      <c r="L240" s="627"/>
      <c r="M240" s="627"/>
      <c r="N240" s="214"/>
      <c r="O240" s="47"/>
      <c r="P240" s="54"/>
      <c r="Q240" s="55"/>
    </row>
    <row r="241" spans="1:17" ht="14.1" customHeight="1" x14ac:dyDescent="0.25">
      <c r="A241" s="252"/>
      <c r="B241" s="305" t="s">
        <v>171</v>
      </c>
      <c r="C241" s="306"/>
      <c r="D241" s="307"/>
      <c r="E241" s="307"/>
      <c r="F241" s="68"/>
      <c r="G241" s="164"/>
      <c r="H241" s="164"/>
      <c r="I241" s="164"/>
      <c r="J241" s="305" t="s">
        <v>250</v>
      </c>
      <c r="K241" s="308"/>
      <c r="L241" s="307"/>
      <c r="M241" s="307"/>
      <c r="N241" s="68"/>
      <c r="O241" s="61"/>
      <c r="P241" s="62"/>
      <c r="Q241" s="63"/>
    </row>
    <row r="242" spans="1:17" ht="14.1" customHeight="1" thickBot="1" x14ac:dyDescent="0.3">
      <c r="A242" s="252"/>
      <c r="B242" s="309" t="s">
        <v>251</v>
      </c>
      <c r="C242" s="310" t="s">
        <v>303</v>
      </c>
      <c r="D242" s="310"/>
      <c r="E242" s="311"/>
      <c r="F242" s="113">
        <v>17711</v>
      </c>
      <c r="G242" s="312">
        <v>0</v>
      </c>
      <c r="H242" s="211"/>
      <c r="I242" s="211"/>
      <c r="J242" s="309" t="s">
        <v>71</v>
      </c>
      <c r="K242" s="734" t="s">
        <v>72</v>
      </c>
      <c r="L242" s="735"/>
      <c r="M242" s="735"/>
      <c r="N242" s="68">
        <v>5175</v>
      </c>
      <c r="O242" s="61">
        <v>0</v>
      </c>
      <c r="P242" s="62"/>
      <c r="Q242" s="63"/>
    </row>
    <row r="243" spans="1:17" ht="14.1" customHeight="1" thickBot="1" x14ac:dyDescent="0.3">
      <c r="A243" s="252"/>
      <c r="B243" s="313"/>
      <c r="C243" s="176" t="s">
        <v>247</v>
      </c>
      <c r="D243" s="176"/>
      <c r="E243" s="314"/>
      <c r="F243" s="93">
        <f>SUM(F242)</f>
        <v>17711</v>
      </c>
      <c r="G243" s="315">
        <f>SUM(G242)</f>
        <v>0</v>
      </c>
      <c r="H243" s="316"/>
      <c r="I243" s="316"/>
      <c r="J243" s="309" t="s">
        <v>73</v>
      </c>
      <c r="K243" s="314" t="s">
        <v>74</v>
      </c>
      <c r="L243" s="317"/>
      <c r="M243" s="317"/>
      <c r="N243" s="68">
        <v>1397</v>
      </c>
      <c r="O243" s="61">
        <v>0</v>
      </c>
      <c r="P243" s="62"/>
      <c r="Q243" s="63"/>
    </row>
    <row r="244" spans="1:17" ht="14.1" customHeight="1" thickBot="1" x14ac:dyDescent="0.3">
      <c r="A244" s="252"/>
      <c r="B244" s="313"/>
      <c r="C244" s="176"/>
      <c r="D244" s="176"/>
      <c r="E244" s="314"/>
      <c r="F244" s="81"/>
      <c r="G244" s="318"/>
      <c r="H244" s="82"/>
      <c r="I244" s="82"/>
      <c r="J244" s="319" t="s">
        <v>75</v>
      </c>
      <c r="K244" s="734" t="s">
        <v>76</v>
      </c>
      <c r="L244" s="735"/>
      <c r="M244" s="735"/>
      <c r="N244" s="116">
        <v>3056</v>
      </c>
      <c r="O244" s="117">
        <v>0</v>
      </c>
      <c r="P244" s="91"/>
      <c r="Q244" s="92"/>
    </row>
    <row r="245" spans="1:17" ht="14.1" customHeight="1" thickBot="1" x14ac:dyDescent="0.3">
      <c r="A245" s="252"/>
      <c r="B245" s="320"/>
      <c r="C245" s="317"/>
      <c r="D245" s="317"/>
      <c r="E245" s="317"/>
      <c r="F245" s="111"/>
      <c r="G245" s="260"/>
      <c r="H245" s="47"/>
      <c r="I245" s="47"/>
      <c r="J245" s="320"/>
      <c r="K245" s="734" t="s">
        <v>248</v>
      </c>
      <c r="L245" s="735"/>
      <c r="M245" s="735"/>
      <c r="N245" s="95">
        <f>SUM(N242:N244)</f>
        <v>9628</v>
      </c>
      <c r="O245" s="121">
        <f>SUM(O242:O244)</f>
        <v>0</v>
      </c>
      <c r="P245" s="96"/>
      <c r="Q245" s="97"/>
    </row>
    <row r="246" spans="1:17" ht="14.1" customHeight="1" x14ac:dyDescent="0.25">
      <c r="A246" s="42" t="s">
        <v>345</v>
      </c>
      <c r="B246" s="638" t="s">
        <v>348</v>
      </c>
      <c r="C246" s="639"/>
      <c r="D246" s="639"/>
      <c r="E246" s="639"/>
      <c r="F246" s="123"/>
      <c r="G246" s="99"/>
      <c r="H246" s="100"/>
      <c r="I246" s="100"/>
      <c r="J246" s="638" t="s">
        <v>348</v>
      </c>
      <c r="K246" s="639"/>
      <c r="L246" s="639"/>
      <c r="M246" s="639"/>
      <c r="N246" s="123"/>
      <c r="O246" s="82"/>
      <c r="P246" s="54"/>
      <c r="Q246" s="55"/>
    </row>
    <row r="247" spans="1:17" ht="14.1" customHeight="1" x14ac:dyDescent="0.25">
      <c r="A247" s="199"/>
      <c r="B247" s="56" t="s">
        <v>171</v>
      </c>
      <c r="C247" s="57"/>
      <c r="D247" s="58"/>
      <c r="E247" s="58"/>
      <c r="F247" s="60"/>
      <c r="G247" s="78"/>
      <c r="H247" s="78"/>
      <c r="I247" s="78"/>
      <c r="J247" s="138" t="s">
        <v>61</v>
      </c>
      <c r="K247" s="139" t="s">
        <v>62</v>
      </c>
      <c r="L247" s="80"/>
      <c r="M247" s="80"/>
      <c r="N247" s="68"/>
      <c r="O247" s="61"/>
      <c r="P247" s="62"/>
      <c r="Q247" s="63"/>
    </row>
    <row r="248" spans="1:17" ht="14.1" customHeight="1" x14ac:dyDescent="0.25">
      <c r="A248" s="50"/>
      <c r="B248" s="64" t="s">
        <v>174</v>
      </c>
      <c r="C248" s="63" t="s">
        <v>175</v>
      </c>
      <c r="D248" s="69"/>
      <c r="E248" s="70"/>
      <c r="F248" s="68">
        <v>400</v>
      </c>
      <c r="G248" s="78">
        <v>400</v>
      </c>
      <c r="H248" s="78"/>
      <c r="I248" s="78"/>
      <c r="J248" s="103" t="s">
        <v>83</v>
      </c>
      <c r="K248" s="106" t="s">
        <v>84</v>
      </c>
      <c r="L248" s="80"/>
      <c r="M248" s="80"/>
      <c r="N248" s="68"/>
      <c r="O248" s="61"/>
      <c r="P248" s="62">
        <v>13</v>
      </c>
      <c r="Q248" s="63"/>
    </row>
    <row r="249" spans="1:17" ht="14.1" customHeight="1" thickBot="1" x14ac:dyDescent="0.3">
      <c r="A249" s="50"/>
      <c r="B249" s="64" t="s">
        <v>178</v>
      </c>
      <c r="C249" s="69" t="s">
        <v>179</v>
      </c>
      <c r="D249" s="110"/>
      <c r="E249" s="110"/>
      <c r="F249" s="113">
        <v>4450</v>
      </c>
      <c r="G249" s="78">
        <f>4000+450-2900+377</f>
        <v>1927</v>
      </c>
      <c r="H249" s="114">
        <v>1185</v>
      </c>
      <c r="I249" s="86">
        <f>H249/G249*100</f>
        <v>61.49455111572393</v>
      </c>
      <c r="J249" s="67"/>
      <c r="K249" s="80"/>
      <c r="L249" s="80"/>
      <c r="M249" s="80"/>
      <c r="N249" s="116"/>
      <c r="O249" s="117"/>
      <c r="P249" s="91"/>
      <c r="Q249" s="92"/>
    </row>
    <row r="250" spans="1:17" ht="14.1" customHeight="1" thickBot="1" x14ac:dyDescent="0.3">
      <c r="A250" s="50"/>
      <c r="B250" s="67"/>
      <c r="C250" s="631" t="s">
        <v>247</v>
      </c>
      <c r="D250" s="632"/>
      <c r="E250" s="632"/>
      <c r="F250" s="170">
        <f>SUM(F248:F249)</f>
        <v>4850</v>
      </c>
      <c r="G250" s="119">
        <f>SUM(G248:G249)</f>
        <v>2327</v>
      </c>
      <c r="H250" s="171">
        <f>SUM(H249)</f>
        <v>1185</v>
      </c>
      <c r="I250" s="86">
        <f>H250/G250*100</f>
        <v>50.923936398796734</v>
      </c>
      <c r="J250" s="67"/>
      <c r="K250" s="631" t="s">
        <v>248</v>
      </c>
      <c r="L250" s="632"/>
      <c r="M250" s="632"/>
      <c r="N250" s="89"/>
      <c r="O250" s="90"/>
      <c r="P250" s="122">
        <f>SUM(P248:P249)</f>
        <v>13</v>
      </c>
      <c r="Q250" s="97"/>
    </row>
    <row r="251" spans="1:17" ht="14.1" customHeight="1" x14ac:dyDescent="0.25">
      <c r="A251" s="42" t="s">
        <v>347</v>
      </c>
      <c r="B251" s="638" t="s">
        <v>350</v>
      </c>
      <c r="C251" s="639"/>
      <c r="D251" s="639"/>
      <c r="E251" s="639"/>
      <c r="F251" s="123"/>
      <c r="G251" s="99"/>
      <c r="H251" s="100"/>
      <c r="I251" s="100"/>
      <c r="J251" s="638" t="s">
        <v>350</v>
      </c>
      <c r="K251" s="639"/>
      <c r="L251" s="639"/>
      <c r="M251" s="639"/>
      <c r="N251" s="123"/>
      <c r="O251" s="82"/>
      <c r="P251" s="54"/>
      <c r="Q251" s="55"/>
    </row>
    <row r="252" spans="1:17" ht="14.1" customHeight="1" x14ac:dyDescent="0.25">
      <c r="A252" s="199"/>
      <c r="B252" s="56" t="s">
        <v>171</v>
      </c>
      <c r="C252" s="57"/>
      <c r="D252" s="58"/>
      <c r="E252" s="58"/>
      <c r="F252" s="60"/>
      <c r="G252" s="78"/>
      <c r="H252" s="78"/>
      <c r="I252" s="78"/>
      <c r="J252" s="67"/>
      <c r="K252" s="80"/>
      <c r="L252" s="80"/>
      <c r="M252" s="80"/>
      <c r="N252" s="68"/>
      <c r="O252" s="61"/>
      <c r="P252" s="62"/>
      <c r="Q252" s="63"/>
    </row>
    <row r="253" spans="1:17" ht="14.1" customHeight="1" thickBot="1" x14ac:dyDescent="0.3">
      <c r="A253" s="50"/>
      <c r="B253" s="64" t="s">
        <v>178</v>
      </c>
      <c r="C253" s="69" t="s">
        <v>179</v>
      </c>
      <c r="D253" s="110"/>
      <c r="E253" s="110"/>
      <c r="F253" s="113">
        <v>378</v>
      </c>
      <c r="G253" s="44">
        <f>378+42</f>
        <v>420</v>
      </c>
      <c r="H253" s="114"/>
      <c r="I253" s="114"/>
      <c r="J253" s="67"/>
      <c r="K253" s="80"/>
      <c r="L253" s="80"/>
      <c r="M253" s="80"/>
      <c r="N253" s="116"/>
      <c r="O253" s="117"/>
      <c r="P253" s="91"/>
      <c r="Q253" s="92"/>
    </row>
    <row r="254" spans="1:17" ht="14.1" customHeight="1" thickBot="1" x14ac:dyDescent="0.3">
      <c r="A254" s="50"/>
      <c r="B254" s="67"/>
      <c r="C254" s="631" t="s">
        <v>247</v>
      </c>
      <c r="D254" s="632"/>
      <c r="E254" s="632"/>
      <c r="F254" s="93">
        <f>SUM(F253)</f>
        <v>378</v>
      </c>
      <c r="G254" s="119">
        <f>SUM(G253)</f>
        <v>420</v>
      </c>
      <c r="H254" s="94"/>
      <c r="I254" s="94"/>
      <c r="J254" s="67"/>
      <c r="K254" s="631" t="s">
        <v>248</v>
      </c>
      <c r="L254" s="632"/>
      <c r="M254" s="632"/>
      <c r="N254" s="89"/>
      <c r="O254" s="90"/>
      <c r="P254" s="96"/>
      <c r="Q254" s="97"/>
    </row>
    <row r="255" spans="1:17" ht="14.1" customHeight="1" x14ac:dyDescent="0.25">
      <c r="A255" s="42" t="s">
        <v>349</v>
      </c>
      <c r="B255" s="638" t="s">
        <v>352</v>
      </c>
      <c r="C255" s="639"/>
      <c r="D255" s="639"/>
      <c r="E255" s="639"/>
      <c r="F255" s="123"/>
      <c r="G255" s="99"/>
      <c r="H255" s="100"/>
      <c r="I255" s="100"/>
      <c r="J255" s="638" t="s">
        <v>352</v>
      </c>
      <c r="K255" s="639"/>
      <c r="L255" s="639"/>
      <c r="M255" s="639"/>
      <c r="N255" s="123"/>
      <c r="O255" s="82"/>
      <c r="P255" s="54"/>
      <c r="Q255" s="55"/>
    </row>
    <row r="256" spans="1:17" ht="14.1" customHeight="1" x14ac:dyDescent="0.25">
      <c r="A256" s="199"/>
      <c r="B256" s="56" t="s">
        <v>171</v>
      </c>
      <c r="C256" s="57"/>
      <c r="D256" s="58"/>
      <c r="E256" s="58"/>
      <c r="F256" s="60"/>
      <c r="G256" s="78"/>
      <c r="H256" s="78"/>
      <c r="I256" s="78"/>
      <c r="J256" s="67"/>
      <c r="K256" s="80"/>
      <c r="L256" s="80"/>
      <c r="M256" s="80"/>
      <c r="N256" s="68"/>
      <c r="O256" s="61"/>
      <c r="P256" s="62"/>
      <c r="Q256" s="63"/>
    </row>
    <row r="257" spans="1:17" ht="14.1" customHeight="1" thickBot="1" x14ac:dyDescent="0.3">
      <c r="A257" s="50"/>
      <c r="B257" s="64" t="s">
        <v>178</v>
      </c>
      <c r="C257" s="69" t="s">
        <v>179</v>
      </c>
      <c r="D257" s="110"/>
      <c r="E257" s="110"/>
      <c r="F257" s="113">
        <v>60</v>
      </c>
      <c r="G257" s="44">
        <v>60</v>
      </c>
      <c r="H257" s="114"/>
      <c r="I257" s="114"/>
      <c r="J257" s="67"/>
      <c r="K257" s="80"/>
      <c r="L257" s="80"/>
      <c r="M257" s="80"/>
      <c r="N257" s="116"/>
      <c r="O257" s="117"/>
      <c r="P257" s="91"/>
      <c r="Q257" s="92"/>
    </row>
    <row r="258" spans="1:17" ht="14.1" customHeight="1" thickBot="1" x14ac:dyDescent="0.3">
      <c r="A258" s="50"/>
      <c r="B258" s="67"/>
      <c r="C258" s="631" t="s">
        <v>247</v>
      </c>
      <c r="D258" s="632"/>
      <c r="E258" s="632"/>
      <c r="F258" s="93">
        <f>SUM(F257)</f>
        <v>60</v>
      </c>
      <c r="G258" s="119">
        <v>60</v>
      </c>
      <c r="H258" s="94"/>
      <c r="I258" s="94"/>
      <c r="J258" s="67"/>
      <c r="K258" s="631" t="s">
        <v>248</v>
      </c>
      <c r="L258" s="632"/>
      <c r="M258" s="632"/>
      <c r="N258" s="89"/>
      <c r="O258" s="90"/>
      <c r="P258" s="96"/>
      <c r="Q258" s="97"/>
    </row>
    <row r="259" spans="1:17" x14ac:dyDescent="0.25">
      <c r="A259" s="42" t="s">
        <v>351</v>
      </c>
      <c r="B259" s="638" t="s">
        <v>354</v>
      </c>
      <c r="C259" s="639"/>
      <c r="D259" s="639"/>
      <c r="E259" s="639"/>
      <c r="F259" s="123"/>
      <c r="G259" s="99"/>
      <c r="H259" s="100"/>
      <c r="I259" s="100"/>
      <c r="J259" s="638" t="s">
        <v>354</v>
      </c>
      <c r="K259" s="639"/>
      <c r="L259" s="639"/>
      <c r="M259" s="639"/>
      <c r="N259" s="123"/>
      <c r="O259" s="82"/>
      <c r="P259" s="54"/>
      <c r="Q259" s="55"/>
    </row>
    <row r="260" spans="1:17" x14ac:dyDescent="0.25">
      <c r="A260" s="199"/>
      <c r="B260" s="56" t="s">
        <v>171</v>
      </c>
      <c r="C260" s="57"/>
      <c r="D260" s="58"/>
      <c r="E260" s="58"/>
      <c r="F260" s="60"/>
      <c r="G260" s="78"/>
      <c r="H260" s="78"/>
      <c r="I260" s="78"/>
      <c r="J260" s="67"/>
      <c r="K260" s="80"/>
      <c r="L260" s="80"/>
      <c r="M260" s="80"/>
      <c r="N260" s="68"/>
      <c r="O260" s="61"/>
      <c r="P260" s="62"/>
      <c r="Q260" s="63"/>
    </row>
    <row r="261" spans="1:17" ht="16.5" thickBot="1" x14ac:dyDescent="0.3">
      <c r="A261" s="50"/>
      <c r="B261" s="64" t="s">
        <v>178</v>
      </c>
      <c r="C261" s="69" t="s">
        <v>179</v>
      </c>
      <c r="D261" s="110"/>
      <c r="E261" s="110"/>
      <c r="F261" s="113">
        <v>2000</v>
      </c>
      <c r="G261" s="44">
        <f>2000-419</f>
        <v>1581</v>
      </c>
      <c r="H261" s="114"/>
      <c r="I261" s="114"/>
      <c r="J261" s="67"/>
      <c r="K261" s="80"/>
      <c r="L261" s="80"/>
      <c r="M261" s="80"/>
      <c r="N261" s="116"/>
      <c r="O261" s="117"/>
      <c r="P261" s="91"/>
      <c r="Q261" s="92"/>
    </row>
    <row r="262" spans="1:17" ht="16.5" thickBot="1" x14ac:dyDescent="0.3">
      <c r="A262" s="50"/>
      <c r="B262" s="67"/>
      <c r="C262" s="631" t="s">
        <v>247</v>
      </c>
      <c r="D262" s="632"/>
      <c r="E262" s="632"/>
      <c r="F262" s="93">
        <f>SUM(F261)</f>
        <v>2000</v>
      </c>
      <c r="G262" s="119">
        <f>SUM(G261)</f>
        <v>1581</v>
      </c>
      <c r="H262" s="94"/>
      <c r="I262" s="94"/>
      <c r="J262" s="67"/>
      <c r="K262" s="631" t="s">
        <v>248</v>
      </c>
      <c r="L262" s="632"/>
      <c r="M262" s="632"/>
      <c r="N262" s="89"/>
      <c r="O262" s="90"/>
      <c r="P262" s="96"/>
      <c r="Q262" s="97"/>
    </row>
    <row r="263" spans="1:17" x14ac:dyDescent="0.25">
      <c r="A263" s="42" t="s">
        <v>353</v>
      </c>
      <c r="B263" s="638" t="s">
        <v>356</v>
      </c>
      <c r="C263" s="639"/>
      <c r="D263" s="639"/>
      <c r="E263" s="639"/>
      <c r="F263" s="123"/>
      <c r="G263" s="99"/>
      <c r="H263" s="100"/>
      <c r="I263" s="100"/>
      <c r="J263" s="638" t="s">
        <v>356</v>
      </c>
      <c r="K263" s="639"/>
      <c r="L263" s="639"/>
      <c r="M263" s="639"/>
      <c r="N263" s="123"/>
      <c r="O263" s="82"/>
      <c r="P263" s="54"/>
      <c r="Q263" s="55"/>
    </row>
    <row r="264" spans="1:17" x14ac:dyDescent="0.25">
      <c r="A264" s="199"/>
      <c r="B264" s="56" t="s">
        <v>171</v>
      </c>
      <c r="C264" s="57"/>
      <c r="D264" s="58"/>
      <c r="E264" s="58"/>
      <c r="F264" s="60"/>
      <c r="G264" s="78"/>
      <c r="H264" s="78"/>
      <c r="I264" s="78"/>
      <c r="J264" s="138" t="s">
        <v>97</v>
      </c>
      <c r="K264" s="642" t="s">
        <v>98</v>
      </c>
      <c r="L264" s="643"/>
      <c r="M264" s="643"/>
      <c r="N264" s="321"/>
      <c r="O264" s="61"/>
      <c r="P264" s="62"/>
      <c r="Q264" s="63"/>
    </row>
    <row r="265" spans="1:17" x14ac:dyDescent="0.25">
      <c r="A265" s="199"/>
      <c r="B265" s="64" t="s">
        <v>251</v>
      </c>
      <c r="C265" s="201" t="s">
        <v>177</v>
      </c>
      <c r="D265" s="58"/>
      <c r="E265" s="58"/>
      <c r="F265" s="60"/>
      <c r="G265" s="78">
        <v>242</v>
      </c>
      <c r="H265" s="79">
        <v>242</v>
      </c>
      <c r="I265" s="294">
        <f>H265/G265*100</f>
        <v>100</v>
      </c>
      <c r="J265" s="322"/>
      <c r="K265" s="323"/>
      <c r="L265" s="324"/>
      <c r="M265" s="324"/>
      <c r="N265" s="321"/>
      <c r="O265" s="61"/>
      <c r="P265" s="62"/>
      <c r="Q265" s="63"/>
    </row>
    <row r="266" spans="1:17" x14ac:dyDescent="0.25">
      <c r="A266" s="50"/>
      <c r="B266" s="64" t="s">
        <v>178</v>
      </c>
      <c r="C266" s="69" t="s">
        <v>179</v>
      </c>
      <c r="D266" s="110"/>
      <c r="E266" s="110"/>
      <c r="F266" s="68">
        <v>2390</v>
      </c>
      <c r="G266" s="78">
        <f>2390-242</f>
        <v>2148</v>
      </c>
      <c r="H266" s="79">
        <v>4105</v>
      </c>
      <c r="I266" s="294">
        <f t="shared" ref="I266:I269" si="27">H266/G266*100</f>
        <v>191.10800744878958</v>
      </c>
      <c r="J266" s="75" t="s">
        <v>101</v>
      </c>
      <c r="K266" s="631" t="s">
        <v>102</v>
      </c>
      <c r="L266" s="632"/>
      <c r="M266" s="632"/>
      <c r="N266" s="68"/>
      <c r="O266" s="61">
        <v>300</v>
      </c>
      <c r="P266" s="62">
        <v>163</v>
      </c>
      <c r="Q266" s="105">
        <f>P266/O266*100</f>
        <v>54.333333333333336</v>
      </c>
    </row>
    <row r="267" spans="1:17" x14ac:dyDescent="0.25">
      <c r="A267" s="50"/>
      <c r="B267" s="103" t="s">
        <v>192</v>
      </c>
      <c r="C267" s="325" t="s">
        <v>193</v>
      </c>
      <c r="D267" s="110"/>
      <c r="E267" s="110"/>
      <c r="F267" s="127"/>
      <c r="G267" s="78">
        <v>300</v>
      </c>
      <c r="H267" s="78">
        <v>221</v>
      </c>
      <c r="I267" s="128">
        <f t="shared" si="27"/>
        <v>73.666666666666671</v>
      </c>
      <c r="J267" s="75"/>
      <c r="K267" s="83"/>
      <c r="L267" s="124"/>
      <c r="M267" s="124"/>
      <c r="N267" s="68"/>
      <c r="O267" s="61"/>
      <c r="P267" s="62"/>
      <c r="Q267" s="105"/>
    </row>
    <row r="268" spans="1:17" ht="16.5" thickBot="1" x14ac:dyDescent="0.3">
      <c r="A268" s="50"/>
      <c r="B268" s="103" t="s">
        <v>200</v>
      </c>
      <c r="C268" s="325" t="s">
        <v>201</v>
      </c>
      <c r="D268" s="110"/>
      <c r="E268" s="110"/>
      <c r="F268" s="84"/>
      <c r="G268" s="52"/>
      <c r="H268" s="85">
        <v>25</v>
      </c>
      <c r="I268" s="292"/>
      <c r="J268" s="75"/>
      <c r="K268" s="83"/>
      <c r="L268" s="124"/>
      <c r="M268" s="124"/>
      <c r="N268" s="89"/>
      <c r="O268" s="90"/>
      <c r="P268" s="96"/>
      <c r="Q268" s="212"/>
    </row>
    <row r="269" spans="1:17" ht="16.5" thickBot="1" x14ac:dyDescent="0.3">
      <c r="A269" s="50"/>
      <c r="B269" s="67"/>
      <c r="C269" s="631" t="s">
        <v>247</v>
      </c>
      <c r="D269" s="632"/>
      <c r="E269" s="632"/>
      <c r="F269" s="93">
        <f>SUM(F266:F267)</f>
        <v>2390</v>
      </c>
      <c r="G269" s="119">
        <f>SUM(G266:G267)</f>
        <v>2448</v>
      </c>
      <c r="H269" s="94">
        <f>SUM(H265:H268)</f>
        <v>4593</v>
      </c>
      <c r="I269" s="86">
        <f t="shared" si="27"/>
        <v>187.62254901960785</v>
      </c>
      <c r="J269" s="67"/>
      <c r="K269" s="631" t="s">
        <v>248</v>
      </c>
      <c r="L269" s="632"/>
      <c r="M269" s="632"/>
      <c r="N269" s="89"/>
      <c r="O269" s="121">
        <f>SUM(O266:O267)</f>
        <v>300</v>
      </c>
      <c r="P269" s="121">
        <f>SUM(P266:P267)</f>
        <v>163</v>
      </c>
      <c r="Q269" s="118">
        <f t="shared" ref="Q269:Q275" si="28">P269/O269*100</f>
        <v>54.333333333333336</v>
      </c>
    </row>
    <row r="270" spans="1:17" x14ac:dyDescent="0.25">
      <c r="A270" s="213" t="s">
        <v>355</v>
      </c>
      <c r="B270" s="644" t="s">
        <v>331</v>
      </c>
      <c r="C270" s="645"/>
      <c r="D270" s="645"/>
      <c r="E270" s="645"/>
      <c r="F270" s="326"/>
      <c r="G270" s="215"/>
      <c r="H270" s="216"/>
      <c r="I270" s="216"/>
      <c r="J270" s="644" t="s">
        <v>331</v>
      </c>
      <c r="K270" s="645"/>
      <c r="L270" s="645"/>
      <c r="M270" s="645"/>
      <c r="N270" s="123"/>
      <c r="O270" s="82"/>
      <c r="P270" s="54"/>
      <c r="Q270" s="327"/>
    </row>
    <row r="271" spans="1:17" x14ac:dyDescent="0.25">
      <c r="A271" s="50"/>
      <c r="B271" s="328" t="s">
        <v>171</v>
      </c>
      <c r="C271" s="329"/>
      <c r="D271" s="329"/>
      <c r="E271" s="329"/>
      <c r="F271" s="60"/>
      <c r="G271" s="218"/>
      <c r="H271" s="218"/>
      <c r="I271" s="218"/>
      <c r="J271" s="138" t="s">
        <v>22</v>
      </c>
      <c r="K271" s="139" t="s">
        <v>23</v>
      </c>
      <c r="L271" s="124"/>
      <c r="M271" s="124"/>
      <c r="N271" s="81"/>
      <c r="O271" s="82"/>
      <c r="P271" s="62"/>
      <c r="Q271" s="105"/>
    </row>
    <row r="272" spans="1:17" x14ac:dyDescent="0.25">
      <c r="A272" s="50"/>
      <c r="B272" s="103" t="s">
        <v>184</v>
      </c>
      <c r="C272" s="63" t="s">
        <v>185</v>
      </c>
      <c r="D272" s="330"/>
      <c r="E272" s="330"/>
      <c r="F272" s="65"/>
      <c r="G272" s="78">
        <v>950</v>
      </c>
      <c r="H272" s="78">
        <v>950</v>
      </c>
      <c r="I272" s="128">
        <f>H272/G272*100</f>
        <v>100</v>
      </c>
      <c r="J272" s="103" t="s">
        <v>28</v>
      </c>
      <c r="K272" s="76" t="s">
        <v>29</v>
      </c>
      <c r="L272" s="124"/>
      <c r="M272" s="124"/>
      <c r="N272" s="68"/>
      <c r="O272" s="61">
        <v>950</v>
      </c>
      <c r="P272" s="62">
        <v>1250</v>
      </c>
      <c r="Q272" s="105">
        <f t="shared" si="28"/>
        <v>131.57894736842107</v>
      </c>
    </row>
    <row r="273" spans="1:17" x14ac:dyDescent="0.25">
      <c r="A273" s="50"/>
      <c r="B273" s="103"/>
      <c r="C273" s="106"/>
      <c r="D273" s="330"/>
      <c r="E273" s="330"/>
      <c r="F273" s="65"/>
      <c r="G273" s="99"/>
      <c r="H273" s="331"/>
      <c r="I273" s="128"/>
      <c r="J273" s="332" t="s">
        <v>332</v>
      </c>
      <c r="K273" s="106"/>
      <c r="L273" s="124"/>
      <c r="M273" s="124"/>
      <c r="N273" s="81"/>
      <c r="O273" s="82"/>
      <c r="P273" s="62"/>
      <c r="Q273" s="105"/>
    </row>
    <row r="274" spans="1:17" ht="16.5" thickBot="1" x14ac:dyDescent="0.3">
      <c r="A274" s="50"/>
      <c r="B274" s="103"/>
      <c r="C274" s="106"/>
      <c r="D274" s="330"/>
      <c r="E274" s="330"/>
      <c r="F274" s="113"/>
      <c r="G274" s="85"/>
      <c r="H274" s="114"/>
      <c r="I274" s="86"/>
      <c r="J274" s="103" t="s">
        <v>333</v>
      </c>
      <c r="K274" s="106" t="s">
        <v>334</v>
      </c>
      <c r="L274" s="124"/>
      <c r="M274" s="124"/>
      <c r="N274" s="89"/>
      <c r="O274" s="90">
        <v>125000</v>
      </c>
      <c r="P274" s="91"/>
      <c r="Q274" s="118">
        <f t="shared" si="28"/>
        <v>0</v>
      </c>
    </row>
    <row r="275" spans="1:17" ht="16.5" thickBot="1" x14ac:dyDescent="0.3">
      <c r="A275" s="50"/>
      <c r="B275" s="67"/>
      <c r="C275" s="631" t="s">
        <v>247</v>
      </c>
      <c r="D275" s="632"/>
      <c r="E275" s="632"/>
      <c r="F275" s="84"/>
      <c r="G275" s="171">
        <f>SUM(G272)</f>
        <v>950</v>
      </c>
      <c r="H275" s="94">
        <f>SUM(H272:H274)</f>
        <v>950</v>
      </c>
      <c r="I275" s="86">
        <f t="shared" ref="I275" si="29">H275/G275*100</f>
        <v>100</v>
      </c>
      <c r="J275" s="67"/>
      <c r="K275" s="631" t="s">
        <v>248</v>
      </c>
      <c r="L275" s="632"/>
      <c r="M275" s="632"/>
      <c r="N275" s="89"/>
      <c r="O275" s="121">
        <f>SUM(O272:O274)</f>
        <v>125950</v>
      </c>
      <c r="P275" s="122">
        <f>SUM(P272:P274)</f>
        <v>1250</v>
      </c>
      <c r="Q275" s="118">
        <f t="shared" si="28"/>
        <v>0.99245732433505363</v>
      </c>
    </row>
    <row r="276" spans="1:17" x14ac:dyDescent="0.25">
      <c r="A276" s="333" t="s">
        <v>357</v>
      </c>
      <c r="B276" s="634" t="s">
        <v>409</v>
      </c>
      <c r="C276" s="635"/>
      <c r="D276" s="635"/>
      <c r="E276" s="635"/>
      <c r="F276" s="326"/>
      <c r="G276" s="215"/>
      <c r="H276" s="215"/>
      <c r="I276" s="215"/>
      <c r="J276" s="67"/>
      <c r="K276" s="83"/>
      <c r="L276" s="124"/>
      <c r="M276" s="124"/>
      <c r="N276" s="111"/>
      <c r="O276" s="272"/>
      <c r="P276" s="54"/>
      <c r="Q276" s="55"/>
    </row>
    <row r="277" spans="1:17" x14ac:dyDescent="0.25">
      <c r="A277" s="50"/>
      <c r="B277" s="56" t="s">
        <v>171</v>
      </c>
      <c r="C277" s="186"/>
      <c r="D277" s="124"/>
      <c r="E277" s="124"/>
      <c r="F277" s="68"/>
      <c r="G277" s="78"/>
      <c r="H277" s="78"/>
      <c r="I277" s="78"/>
      <c r="J277" s="67"/>
      <c r="K277" s="83"/>
      <c r="L277" s="124"/>
      <c r="M277" s="124"/>
      <c r="N277" s="127"/>
      <c r="O277" s="275"/>
      <c r="P277" s="62"/>
      <c r="Q277" s="63"/>
    </row>
    <row r="278" spans="1:17" x14ac:dyDescent="0.25">
      <c r="A278" s="50"/>
      <c r="B278" s="64" t="s">
        <v>188</v>
      </c>
      <c r="C278" s="83" t="s">
        <v>189</v>
      </c>
      <c r="D278" s="124"/>
      <c r="E278" s="124"/>
      <c r="F278" s="68"/>
      <c r="G278" s="78">
        <v>22568</v>
      </c>
      <c r="H278" s="78">
        <v>22291</v>
      </c>
      <c r="I278" s="128">
        <f>H278/G278*100</f>
        <v>98.77259836937256</v>
      </c>
      <c r="J278" s="67"/>
      <c r="K278" s="83"/>
      <c r="L278" s="124"/>
      <c r="M278" s="124"/>
      <c r="N278" s="127"/>
      <c r="O278" s="275"/>
      <c r="P278" s="62"/>
      <c r="Q278" s="63"/>
    </row>
    <row r="279" spans="1:17" x14ac:dyDescent="0.25">
      <c r="A279" s="334"/>
      <c r="B279" s="144" t="s">
        <v>205</v>
      </c>
      <c r="C279" s="181"/>
      <c r="D279" s="80"/>
      <c r="E279" s="80"/>
      <c r="F279" s="127"/>
      <c r="G279" s="78"/>
      <c r="H279" s="78"/>
      <c r="I279" s="128"/>
      <c r="J279" s="67"/>
      <c r="K279" s="83"/>
      <c r="L279" s="124"/>
      <c r="M279" s="124"/>
      <c r="N279" s="127"/>
      <c r="O279" s="275"/>
      <c r="P279" s="62"/>
      <c r="Q279" s="63"/>
    </row>
    <row r="280" spans="1:17" ht="16.5" thickBot="1" x14ac:dyDescent="0.3">
      <c r="A280" s="334"/>
      <c r="B280" s="255" t="s">
        <v>219</v>
      </c>
      <c r="C280" s="702" t="s">
        <v>217</v>
      </c>
      <c r="D280" s="703"/>
      <c r="E280" s="703"/>
      <c r="F280" s="191"/>
      <c r="G280" s="114">
        <v>2000</v>
      </c>
      <c r="H280" s="114">
        <v>2000</v>
      </c>
      <c r="I280" s="86">
        <f t="shared" ref="I280:I281" si="30">H280/G280*100</f>
        <v>100</v>
      </c>
      <c r="J280" s="67"/>
      <c r="K280" s="83"/>
      <c r="L280" s="124"/>
      <c r="M280" s="124"/>
      <c r="N280" s="127"/>
      <c r="O280" s="275"/>
      <c r="P280" s="62"/>
      <c r="Q280" s="63"/>
    </row>
    <row r="281" spans="1:17" ht="16.5" thickBot="1" x14ac:dyDescent="0.3">
      <c r="A281" s="334"/>
      <c r="B281" s="335"/>
      <c r="C281" s="636" t="s">
        <v>247</v>
      </c>
      <c r="D281" s="637"/>
      <c r="E281" s="637"/>
      <c r="F281" s="84"/>
      <c r="G281" s="171">
        <f>SUM(G278:G280)</f>
        <v>24568</v>
      </c>
      <c r="H281" s="171">
        <f>SUM(H278:H280)</f>
        <v>24291</v>
      </c>
      <c r="I281" s="86">
        <f t="shared" si="30"/>
        <v>98.872517095408668</v>
      </c>
      <c r="J281" s="67"/>
      <c r="K281" s="83"/>
      <c r="L281" s="124"/>
      <c r="M281" s="124"/>
      <c r="N281" s="127"/>
      <c r="O281" s="275"/>
      <c r="P281" s="62"/>
      <c r="Q281" s="63"/>
    </row>
    <row r="282" spans="1:17" x14ac:dyDescent="0.25">
      <c r="A282" s="333" t="s">
        <v>416</v>
      </c>
      <c r="B282" s="634" t="s">
        <v>410</v>
      </c>
      <c r="C282" s="635"/>
      <c r="D282" s="635"/>
      <c r="E282" s="635"/>
      <c r="F282" s="203"/>
      <c r="G282" s="99"/>
      <c r="H282" s="99"/>
      <c r="I282" s="99"/>
      <c r="J282" s="67"/>
      <c r="K282" s="83"/>
      <c r="L282" s="124"/>
      <c r="M282" s="124"/>
      <c r="N282" s="127"/>
      <c r="O282" s="275"/>
      <c r="P282" s="62"/>
      <c r="Q282" s="63"/>
    </row>
    <row r="283" spans="1:17" x14ac:dyDescent="0.25">
      <c r="A283" s="50"/>
      <c r="B283" s="56" t="s">
        <v>171</v>
      </c>
      <c r="C283" s="186"/>
      <c r="D283" s="124"/>
      <c r="E283" s="124"/>
      <c r="F283" s="68"/>
      <c r="G283" s="78"/>
      <c r="H283" s="78"/>
      <c r="I283" s="78"/>
      <c r="J283" s="67"/>
      <c r="K283" s="83"/>
      <c r="L283" s="124"/>
      <c r="M283" s="124"/>
      <c r="N283" s="127"/>
      <c r="O283" s="275"/>
      <c r="P283" s="62"/>
      <c r="Q283" s="63"/>
    </row>
    <row r="284" spans="1:17" ht="16.5" thickBot="1" x14ac:dyDescent="0.3">
      <c r="A284" s="50"/>
      <c r="B284" s="64" t="s">
        <v>188</v>
      </c>
      <c r="C284" s="83" t="s">
        <v>189</v>
      </c>
      <c r="D284" s="124"/>
      <c r="E284" s="124"/>
      <c r="F284" s="113"/>
      <c r="G284" s="114">
        <v>23364</v>
      </c>
      <c r="H284" s="114">
        <v>23364</v>
      </c>
      <c r="I284" s="86">
        <f>H284/G284*100</f>
        <v>100</v>
      </c>
      <c r="J284" s="67"/>
      <c r="K284" s="83"/>
      <c r="L284" s="124"/>
      <c r="M284" s="124"/>
      <c r="N284" s="127"/>
      <c r="O284" s="275"/>
      <c r="P284" s="62"/>
      <c r="Q284" s="63"/>
    </row>
    <row r="285" spans="1:17" ht="16.5" thickBot="1" x14ac:dyDescent="0.3">
      <c r="A285" s="334"/>
      <c r="B285" s="335"/>
      <c r="C285" s="636" t="s">
        <v>247</v>
      </c>
      <c r="D285" s="637"/>
      <c r="E285" s="637"/>
      <c r="F285" s="84"/>
      <c r="G285" s="171">
        <f>SUM(G284)</f>
        <v>23364</v>
      </c>
      <c r="H285" s="94">
        <f>SUM(H284)</f>
        <v>23364</v>
      </c>
      <c r="I285" s="86">
        <f>H285/G285*100</f>
        <v>100</v>
      </c>
      <c r="J285" s="67"/>
      <c r="K285" s="83"/>
      <c r="L285" s="124"/>
      <c r="M285" s="124"/>
      <c r="N285" s="127"/>
      <c r="O285" s="275"/>
      <c r="P285" s="62"/>
      <c r="Q285" s="63"/>
    </row>
    <row r="286" spans="1:17" x14ac:dyDescent="0.25">
      <c r="A286" s="333" t="s">
        <v>417</v>
      </c>
      <c r="B286" s="634" t="s">
        <v>411</v>
      </c>
      <c r="C286" s="635"/>
      <c r="D286" s="635"/>
      <c r="E286" s="635"/>
      <c r="F286" s="203"/>
      <c r="G286" s="99"/>
      <c r="H286" s="99"/>
      <c r="I286" s="99"/>
      <c r="J286" s="67"/>
      <c r="K286" s="83"/>
      <c r="L286" s="124"/>
      <c r="M286" s="124"/>
      <c r="N286" s="127"/>
      <c r="O286" s="275"/>
      <c r="P286" s="62"/>
      <c r="Q286" s="63"/>
    </row>
    <row r="287" spans="1:17" x14ac:dyDescent="0.25">
      <c r="A287" s="50"/>
      <c r="B287" s="56" t="s">
        <v>171</v>
      </c>
      <c r="C287" s="186"/>
      <c r="D287" s="124"/>
      <c r="E287" s="124"/>
      <c r="F287" s="68"/>
      <c r="G287" s="78"/>
      <c r="H287" s="78"/>
      <c r="I287" s="78"/>
      <c r="J287" s="67"/>
      <c r="K287" s="83"/>
      <c r="L287" s="124"/>
      <c r="M287" s="124"/>
      <c r="N287" s="127"/>
      <c r="O287" s="275"/>
      <c r="P287" s="62"/>
      <c r="Q287" s="63"/>
    </row>
    <row r="288" spans="1:17" ht="16.5" thickBot="1" x14ac:dyDescent="0.3">
      <c r="A288" s="50"/>
      <c r="B288" s="64" t="s">
        <v>188</v>
      </c>
      <c r="C288" s="83" t="s">
        <v>189</v>
      </c>
      <c r="D288" s="124"/>
      <c r="E288" s="124"/>
      <c r="F288" s="113"/>
      <c r="G288" s="114">
        <v>45146</v>
      </c>
      <c r="H288" s="114">
        <v>44154</v>
      </c>
      <c r="I288" s="86">
        <f>H288/G288*100</f>
        <v>97.802684623222433</v>
      </c>
      <c r="J288" s="67"/>
      <c r="K288" s="83"/>
      <c r="L288" s="124"/>
      <c r="M288" s="124"/>
      <c r="N288" s="127"/>
      <c r="O288" s="275"/>
      <c r="P288" s="62"/>
      <c r="Q288" s="63"/>
    </row>
    <row r="289" spans="1:17" ht="16.5" thickBot="1" x14ac:dyDescent="0.3">
      <c r="A289" s="334"/>
      <c r="B289" s="335"/>
      <c r="C289" s="636" t="s">
        <v>247</v>
      </c>
      <c r="D289" s="637"/>
      <c r="E289" s="637"/>
      <c r="F289" s="84"/>
      <c r="G289" s="171">
        <f>SUM(G288)</f>
        <v>45146</v>
      </c>
      <c r="H289" s="171">
        <f>SUM(H288)</f>
        <v>44154</v>
      </c>
      <c r="I289" s="86">
        <f>H289/G289*100</f>
        <v>97.802684623222433</v>
      </c>
      <c r="J289" s="67"/>
      <c r="K289" s="83"/>
      <c r="L289" s="124"/>
      <c r="M289" s="124"/>
      <c r="N289" s="127"/>
      <c r="O289" s="275"/>
      <c r="P289" s="62"/>
      <c r="Q289" s="63"/>
    </row>
    <row r="290" spans="1:17" x14ac:dyDescent="0.25">
      <c r="A290" s="333" t="s">
        <v>418</v>
      </c>
      <c r="B290" s="634" t="s">
        <v>412</v>
      </c>
      <c r="C290" s="635"/>
      <c r="D290" s="635"/>
      <c r="E290" s="635"/>
      <c r="F290" s="203"/>
      <c r="G290" s="99"/>
      <c r="H290" s="99"/>
      <c r="I290" s="99"/>
      <c r="J290" s="67"/>
      <c r="K290" s="83"/>
      <c r="L290" s="124"/>
      <c r="M290" s="124"/>
      <c r="N290" s="127"/>
      <c r="O290" s="275"/>
      <c r="P290" s="62"/>
      <c r="Q290" s="63"/>
    </row>
    <row r="291" spans="1:17" x14ac:dyDescent="0.25">
      <c r="A291" s="50"/>
      <c r="B291" s="56" t="s">
        <v>171</v>
      </c>
      <c r="C291" s="186"/>
      <c r="D291" s="124"/>
      <c r="E291" s="124"/>
      <c r="F291" s="68"/>
      <c r="G291" s="78"/>
      <c r="H291" s="78"/>
      <c r="I291" s="78"/>
      <c r="J291" s="67"/>
      <c r="K291" s="83"/>
      <c r="L291" s="124"/>
      <c r="M291" s="124"/>
      <c r="N291" s="127"/>
      <c r="O291" s="275"/>
      <c r="P291" s="62"/>
      <c r="Q291" s="63"/>
    </row>
    <row r="292" spans="1:17" ht="16.5" thickBot="1" x14ac:dyDescent="0.3">
      <c r="A292" s="50"/>
      <c r="B292" s="64" t="s">
        <v>188</v>
      </c>
      <c r="C292" s="83" t="s">
        <v>189</v>
      </c>
      <c r="D292" s="124"/>
      <c r="E292" s="124"/>
      <c r="F292" s="113"/>
      <c r="G292" s="114">
        <v>129781</v>
      </c>
      <c r="H292" s="114">
        <v>129004</v>
      </c>
      <c r="I292" s="86">
        <f>H292/G292*100</f>
        <v>99.401299111580272</v>
      </c>
      <c r="J292" s="67"/>
      <c r="K292" s="83"/>
      <c r="L292" s="124"/>
      <c r="M292" s="124"/>
      <c r="N292" s="127"/>
      <c r="O292" s="275"/>
      <c r="P292" s="62"/>
      <c r="Q292" s="63"/>
    </row>
    <row r="293" spans="1:17" ht="16.5" thickBot="1" x14ac:dyDescent="0.3">
      <c r="A293" s="334"/>
      <c r="B293" s="335"/>
      <c r="C293" s="636" t="s">
        <v>247</v>
      </c>
      <c r="D293" s="637"/>
      <c r="E293" s="637"/>
      <c r="F293" s="84"/>
      <c r="G293" s="171">
        <f>SUM(G292)</f>
        <v>129781</v>
      </c>
      <c r="H293" s="94">
        <f>SUM(H292)</f>
        <v>129004</v>
      </c>
      <c r="I293" s="86">
        <f>H293/G293*100</f>
        <v>99.401299111580272</v>
      </c>
      <c r="J293" s="67"/>
      <c r="K293" s="83"/>
      <c r="L293" s="124"/>
      <c r="M293" s="124"/>
      <c r="N293" s="127"/>
      <c r="O293" s="275"/>
      <c r="P293" s="62"/>
      <c r="Q293" s="63"/>
    </row>
    <row r="294" spans="1:17" x14ac:dyDescent="0.25">
      <c r="A294" s="333" t="s">
        <v>419</v>
      </c>
      <c r="B294" s="634" t="s">
        <v>413</v>
      </c>
      <c r="C294" s="635"/>
      <c r="D294" s="635"/>
      <c r="E294" s="635"/>
      <c r="F294" s="203"/>
      <c r="G294" s="99"/>
      <c r="H294" s="99"/>
      <c r="I294" s="99"/>
      <c r="J294" s="67"/>
      <c r="K294" s="83"/>
      <c r="L294" s="124"/>
      <c r="M294" s="124"/>
      <c r="N294" s="127"/>
      <c r="O294" s="275"/>
      <c r="P294" s="62"/>
      <c r="Q294" s="63"/>
    </row>
    <row r="295" spans="1:17" x14ac:dyDescent="0.25">
      <c r="A295" s="50"/>
      <c r="B295" s="56" t="s">
        <v>171</v>
      </c>
      <c r="C295" s="186"/>
      <c r="D295" s="124"/>
      <c r="E295" s="124"/>
      <c r="F295" s="68"/>
      <c r="G295" s="78"/>
      <c r="H295" s="78"/>
      <c r="I295" s="78"/>
      <c r="J295" s="67"/>
      <c r="K295" s="83"/>
      <c r="L295" s="124"/>
      <c r="M295" s="124"/>
      <c r="N295" s="127"/>
      <c r="O295" s="275"/>
      <c r="P295" s="62"/>
      <c r="Q295" s="63"/>
    </row>
    <row r="296" spans="1:17" ht="16.5" thickBot="1" x14ac:dyDescent="0.3">
      <c r="A296" s="50"/>
      <c r="B296" s="64" t="s">
        <v>188</v>
      </c>
      <c r="C296" s="83" t="s">
        <v>189</v>
      </c>
      <c r="D296" s="124"/>
      <c r="E296" s="124"/>
      <c r="F296" s="113"/>
      <c r="G296" s="114">
        <v>60407</v>
      </c>
      <c r="H296" s="114">
        <v>59759</v>
      </c>
      <c r="I296" s="86">
        <f>H296/G296*100</f>
        <v>98.927276640124489</v>
      </c>
      <c r="J296" s="67"/>
      <c r="K296" s="83"/>
      <c r="L296" s="124"/>
      <c r="M296" s="124"/>
      <c r="N296" s="127"/>
      <c r="O296" s="275"/>
      <c r="P296" s="62"/>
      <c r="Q296" s="63"/>
    </row>
    <row r="297" spans="1:17" ht="16.5" thickBot="1" x14ac:dyDescent="0.3">
      <c r="A297" s="334"/>
      <c r="B297" s="335"/>
      <c r="C297" s="636" t="s">
        <v>247</v>
      </c>
      <c r="D297" s="637"/>
      <c r="E297" s="637"/>
      <c r="F297" s="84"/>
      <c r="G297" s="171">
        <f>SUM(G296)</f>
        <v>60407</v>
      </c>
      <c r="H297" s="171">
        <f>SUM(H296)</f>
        <v>59759</v>
      </c>
      <c r="I297" s="86">
        <f>H297/G297*100</f>
        <v>98.927276640124489</v>
      </c>
      <c r="J297" s="67"/>
      <c r="K297" s="83"/>
      <c r="L297" s="124"/>
      <c r="M297" s="124"/>
      <c r="N297" s="127"/>
      <c r="O297" s="275"/>
      <c r="P297" s="62"/>
      <c r="Q297" s="63"/>
    </row>
    <row r="298" spans="1:17" x14ac:dyDescent="0.25">
      <c r="A298" s="333" t="s">
        <v>420</v>
      </c>
      <c r="B298" s="634" t="s">
        <v>414</v>
      </c>
      <c r="C298" s="635"/>
      <c r="D298" s="635"/>
      <c r="E298" s="635"/>
      <c r="F298" s="203"/>
      <c r="G298" s="99"/>
      <c r="H298" s="99"/>
      <c r="I298" s="99"/>
      <c r="J298" s="67"/>
      <c r="K298" s="83"/>
      <c r="L298" s="124"/>
      <c r="M298" s="124"/>
      <c r="N298" s="127"/>
      <c r="O298" s="275"/>
      <c r="P298" s="62"/>
      <c r="Q298" s="63"/>
    </row>
    <row r="299" spans="1:17" x14ac:dyDescent="0.25">
      <c r="A299" s="50"/>
      <c r="B299" s="56" t="s">
        <v>171</v>
      </c>
      <c r="C299" s="186"/>
      <c r="D299" s="124"/>
      <c r="E299" s="124"/>
      <c r="F299" s="68"/>
      <c r="G299" s="78"/>
      <c r="H299" s="78"/>
      <c r="I299" s="78"/>
      <c r="J299" s="67"/>
      <c r="K299" s="83"/>
      <c r="L299" s="124"/>
      <c r="M299" s="124"/>
      <c r="N299" s="127"/>
      <c r="O299" s="275"/>
      <c r="P299" s="62"/>
      <c r="Q299" s="63"/>
    </row>
    <row r="300" spans="1:17" ht="16.5" thickBot="1" x14ac:dyDescent="0.3">
      <c r="A300" s="50"/>
      <c r="B300" s="64" t="s">
        <v>188</v>
      </c>
      <c r="C300" s="83" t="s">
        <v>189</v>
      </c>
      <c r="D300" s="124"/>
      <c r="E300" s="124"/>
      <c r="F300" s="113"/>
      <c r="G300" s="114">
        <v>367433</v>
      </c>
      <c r="H300" s="114">
        <v>367433</v>
      </c>
      <c r="I300" s="86">
        <f>H300/G300*100</f>
        <v>100</v>
      </c>
      <c r="J300" s="67"/>
      <c r="K300" s="83"/>
      <c r="L300" s="124"/>
      <c r="M300" s="124"/>
      <c r="N300" s="127"/>
      <c r="O300" s="275"/>
      <c r="P300" s="62"/>
      <c r="Q300" s="63"/>
    </row>
    <row r="301" spans="1:17" ht="16.5" thickBot="1" x14ac:dyDescent="0.3">
      <c r="A301" s="334"/>
      <c r="B301" s="335"/>
      <c r="C301" s="636" t="s">
        <v>247</v>
      </c>
      <c r="D301" s="637"/>
      <c r="E301" s="637"/>
      <c r="F301" s="84"/>
      <c r="G301" s="171">
        <f>SUM(G300)</f>
        <v>367433</v>
      </c>
      <c r="H301" s="171">
        <f>SUM(H300)</f>
        <v>367433</v>
      </c>
      <c r="I301" s="86">
        <f>H301/G301*100</f>
        <v>100</v>
      </c>
      <c r="J301" s="67"/>
      <c r="K301" s="83"/>
      <c r="L301" s="124"/>
      <c r="M301" s="124"/>
      <c r="N301" s="127"/>
      <c r="O301" s="275"/>
      <c r="P301" s="62"/>
      <c r="Q301" s="63"/>
    </row>
    <row r="302" spans="1:17" x14ac:dyDescent="0.25">
      <c r="A302" s="333" t="s">
        <v>421</v>
      </c>
      <c r="B302" s="634" t="s">
        <v>415</v>
      </c>
      <c r="C302" s="635"/>
      <c r="D302" s="635"/>
      <c r="E302" s="635"/>
      <c r="F302" s="203"/>
      <c r="G302" s="99"/>
      <c r="H302" s="99"/>
      <c r="I302" s="99"/>
      <c r="J302" s="67"/>
      <c r="K302" s="83"/>
      <c r="L302" s="124"/>
      <c r="M302" s="124"/>
      <c r="N302" s="127"/>
      <c r="O302" s="275"/>
      <c r="P302" s="62"/>
      <c r="Q302" s="63"/>
    </row>
    <row r="303" spans="1:17" x14ac:dyDescent="0.25">
      <c r="A303" s="50"/>
      <c r="B303" s="56" t="s">
        <v>171</v>
      </c>
      <c r="C303" s="186"/>
      <c r="D303" s="124"/>
      <c r="E303" s="124"/>
      <c r="F303" s="68"/>
      <c r="G303" s="78"/>
      <c r="H303" s="78"/>
      <c r="I303" s="78"/>
      <c r="J303" s="67"/>
      <c r="K303" s="83"/>
      <c r="L303" s="124"/>
      <c r="M303" s="124"/>
      <c r="N303" s="127"/>
      <c r="O303" s="275"/>
      <c r="P303" s="62"/>
      <c r="Q303" s="63"/>
    </row>
    <row r="304" spans="1:17" ht="16.5" thickBot="1" x14ac:dyDescent="0.3">
      <c r="A304" s="50"/>
      <c r="B304" s="64" t="s">
        <v>188</v>
      </c>
      <c r="C304" s="83" t="s">
        <v>189</v>
      </c>
      <c r="D304" s="124"/>
      <c r="E304" s="124"/>
      <c r="F304" s="113"/>
      <c r="G304" s="114">
        <v>3391</v>
      </c>
      <c r="H304" s="114">
        <v>3391</v>
      </c>
      <c r="I304" s="86">
        <f>H304/G304*100</f>
        <v>100</v>
      </c>
      <c r="J304" s="67"/>
      <c r="K304" s="83"/>
      <c r="L304" s="124"/>
      <c r="M304" s="124"/>
      <c r="N304" s="127"/>
      <c r="O304" s="275"/>
      <c r="P304" s="62"/>
      <c r="Q304" s="63"/>
    </row>
    <row r="305" spans="1:17" ht="16.5" thickBot="1" x14ac:dyDescent="0.3">
      <c r="A305" s="334"/>
      <c r="B305" s="335"/>
      <c r="C305" s="636" t="s">
        <v>247</v>
      </c>
      <c r="D305" s="637"/>
      <c r="E305" s="637"/>
      <c r="F305" s="84"/>
      <c r="G305" s="171">
        <f>SUM(G304)</f>
        <v>3391</v>
      </c>
      <c r="H305" s="94">
        <f>SUM(H304)</f>
        <v>3391</v>
      </c>
      <c r="I305" s="86">
        <f>H305/G305*100</f>
        <v>100</v>
      </c>
      <c r="J305" s="67"/>
      <c r="K305" s="83"/>
      <c r="L305" s="124"/>
      <c r="M305" s="124"/>
      <c r="N305" s="127"/>
      <c r="O305" s="275"/>
      <c r="P305" s="62"/>
      <c r="Q305" s="63"/>
    </row>
    <row r="306" spans="1:17" x14ac:dyDescent="0.25">
      <c r="A306" s="333" t="s">
        <v>422</v>
      </c>
      <c r="B306" s="638" t="s">
        <v>424</v>
      </c>
      <c r="C306" s="639"/>
      <c r="D306" s="639"/>
      <c r="E306" s="639"/>
      <c r="F306" s="123"/>
      <c r="G306" s="99"/>
      <c r="H306" s="99"/>
      <c r="I306" s="99"/>
      <c r="J306" s="67"/>
      <c r="K306" s="83"/>
      <c r="L306" s="124"/>
      <c r="M306" s="124"/>
      <c r="N306" s="127"/>
      <c r="O306" s="275"/>
      <c r="P306" s="62"/>
      <c r="Q306" s="63"/>
    </row>
    <row r="307" spans="1:17" x14ac:dyDescent="0.25">
      <c r="A307" s="334"/>
      <c r="B307" s="56" t="s">
        <v>171</v>
      </c>
      <c r="C307" s="124"/>
      <c r="D307" s="124"/>
      <c r="E307" s="124"/>
      <c r="F307" s="68"/>
      <c r="G307" s="78"/>
      <c r="H307" s="78"/>
      <c r="I307" s="78"/>
      <c r="J307" s="67"/>
      <c r="K307" s="83"/>
      <c r="L307" s="124"/>
      <c r="M307" s="124"/>
      <c r="N307" s="127"/>
      <c r="O307" s="275"/>
      <c r="P307" s="62"/>
      <c r="Q307" s="63"/>
    </row>
    <row r="308" spans="1:17" ht="16.5" thickBot="1" x14ac:dyDescent="0.3">
      <c r="A308" s="334"/>
      <c r="B308" s="64" t="s">
        <v>176</v>
      </c>
      <c r="C308" s="640" t="s">
        <v>177</v>
      </c>
      <c r="D308" s="640"/>
      <c r="E308" s="641"/>
      <c r="F308" s="113"/>
      <c r="G308" s="276">
        <v>35</v>
      </c>
      <c r="H308" s="210">
        <v>35</v>
      </c>
      <c r="I308" s="277">
        <f>G308/H308*100</f>
        <v>100</v>
      </c>
      <c r="J308" s="67"/>
      <c r="K308" s="83"/>
      <c r="L308" s="124"/>
      <c r="M308" s="124"/>
      <c r="N308" s="127"/>
      <c r="O308" s="275"/>
      <c r="P308" s="62"/>
      <c r="Q308" s="63"/>
    </row>
    <row r="309" spans="1:17" ht="16.5" thickBot="1" x14ac:dyDescent="0.3">
      <c r="A309" s="334"/>
      <c r="B309" s="221"/>
      <c r="C309" s="631" t="s">
        <v>247</v>
      </c>
      <c r="D309" s="632"/>
      <c r="E309" s="632"/>
      <c r="F309" s="84"/>
      <c r="G309" s="119">
        <f>SUM(G308)</f>
        <v>35</v>
      </c>
      <c r="H309" s="94">
        <f>SUM(H308)</f>
        <v>35</v>
      </c>
      <c r="I309" s="277">
        <f>G309/H309*100</f>
        <v>100</v>
      </c>
      <c r="J309" s="67"/>
      <c r="K309" s="83"/>
      <c r="L309" s="124"/>
      <c r="M309" s="124"/>
      <c r="N309" s="127"/>
      <c r="O309" s="275"/>
      <c r="P309" s="62"/>
      <c r="Q309" s="63"/>
    </row>
    <row r="310" spans="1:17" x14ac:dyDescent="0.25">
      <c r="A310" s="333" t="s">
        <v>441</v>
      </c>
      <c r="B310" s="626" t="s">
        <v>437</v>
      </c>
      <c r="C310" s="627"/>
      <c r="D310" s="627"/>
      <c r="E310" s="628"/>
      <c r="F310" s="283"/>
      <c r="G310" s="215"/>
      <c r="H310" s="215"/>
      <c r="I310" s="336"/>
      <c r="J310" s="626" t="s">
        <v>436</v>
      </c>
      <c r="K310" s="627"/>
      <c r="L310" s="627"/>
      <c r="M310" s="628"/>
      <c r="N310" s="81"/>
      <c r="O310" s="217"/>
      <c r="P310" s="62"/>
      <c r="Q310" s="63"/>
    </row>
    <row r="311" spans="1:17" x14ac:dyDescent="0.25">
      <c r="A311" s="334"/>
      <c r="B311" s="221"/>
      <c r="C311" s="83"/>
      <c r="D311" s="124"/>
      <c r="E311" s="124"/>
      <c r="F311" s="283"/>
      <c r="G311" s="215"/>
      <c r="H311" s="215"/>
      <c r="I311" s="336"/>
      <c r="J311" s="138" t="s">
        <v>49</v>
      </c>
      <c r="K311" s="139" t="s">
        <v>50</v>
      </c>
      <c r="L311" s="124"/>
      <c r="M311" s="124"/>
      <c r="N311" s="81"/>
      <c r="O311" s="217"/>
      <c r="P311" s="62"/>
      <c r="Q311" s="63"/>
    </row>
    <row r="312" spans="1:17" ht="28.5" customHeight="1" thickBot="1" x14ac:dyDescent="0.3">
      <c r="A312" s="334"/>
      <c r="B312" s="221"/>
      <c r="C312" s="83"/>
      <c r="D312" s="124"/>
      <c r="E312" s="124"/>
      <c r="F312" s="283"/>
      <c r="G312" s="215"/>
      <c r="H312" s="215"/>
      <c r="I312" s="336"/>
      <c r="J312" s="337" t="s">
        <v>57</v>
      </c>
      <c r="K312" s="629" t="s">
        <v>58</v>
      </c>
      <c r="L312" s="630"/>
      <c r="M312" s="630"/>
      <c r="N312" s="116"/>
      <c r="O312" s="338"/>
      <c r="P312" s="91">
        <v>299</v>
      </c>
      <c r="Q312" s="92"/>
    </row>
    <row r="313" spans="1:17" ht="16.5" thickBot="1" x14ac:dyDescent="0.3">
      <c r="A313" s="334"/>
      <c r="B313" s="221"/>
      <c r="C313" s="83"/>
      <c r="D313" s="124"/>
      <c r="E313" s="124"/>
      <c r="F313" s="283"/>
      <c r="G313" s="215"/>
      <c r="H313" s="215"/>
      <c r="I313" s="336"/>
      <c r="J313" s="339"/>
      <c r="K313" s="631" t="s">
        <v>248</v>
      </c>
      <c r="L313" s="632"/>
      <c r="M313" s="632"/>
      <c r="N313" s="116"/>
      <c r="O313" s="338"/>
      <c r="P313" s="295">
        <f>SUM(P312)</f>
        <v>299</v>
      </c>
      <c r="Q313" s="92"/>
    </row>
    <row r="314" spans="1:17" x14ac:dyDescent="0.25">
      <c r="A314" s="333" t="s">
        <v>442</v>
      </c>
      <c r="B314" s="626" t="s">
        <v>438</v>
      </c>
      <c r="C314" s="627"/>
      <c r="D314" s="627"/>
      <c r="E314" s="628"/>
      <c r="F314" s="283"/>
      <c r="G314" s="215"/>
      <c r="H314" s="215"/>
      <c r="I314" s="336"/>
      <c r="J314" s="627" t="s">
        <v>438</v>
      </c>
      <c r="K314" s="627"/>
      <c r="L314" s="627"/>
      <c r="M314" s="628"/>
      <c r="N314" s="81"/>
      <c r="O314" s="217"/>
      <c r="P314" s="54"/>
      <c r="Q314" s="55"/>
    </row>
    <row r="315" spans="1:17" x14ac:dyDescent="0.25">
      <c r="A315" s="334"/>
      <c r="B315" s="221"/>
      <c r="C315" s="83"/>
      <c r="D315" s="124"/>
      <c r="E315" s="124"/>
      <c r="F315" s="283"/>
      <c r="G315" s="215"/>
      <c r="H315" s="215"/>
      <c r="I315" s="336"/>
      <c r="J315" s="340" t="s">
        <v>49</v>
      </c>
      <c r="K315" s="139" t="s">
        <v>50</v>
      </c>
      <c r="L315" s="140"/>
      <c r="M315" s="140"/>
      <c r="N315" s="81"/>
      <c r="O315" s="217"/>
      <c r="P315" s="62"/>
      <c r="Q315" s="63"/>
    </row>
    <row r="316" spans="1:17" x14ac:dyDescent="0.25">
      <c r="A316" s="334"/>
      <c r="B316" s="221"/>
      <c r="C316" s="83"/>
      <c r="D316" s="124"/>
      <c r="E316" s="124"/>
      <c r="F316" s="283"/>
      <c r="G316" s="215"/>
      <c r="H316" s="215"/>
      <c r="I316" s="336"/>
      <c r="J316" s="341" t="s">
        <v>51</v>
      </c>
      <c r="K316" s="106" t="s">
        <v>52</v>
      </c>
      <c r="L316" s="108"/>
      <c r="M316" s="140"/>
      <c r="N316" s="81"/>
      <c r="O316" s="217"/>
      <c r="P316" s="62">
        <v>5996</v>
      </c>
      <c r="Q316" s="63"/>
    </row>
    <row r="317" spans="1:17" x14ac:dyDescent="0.25">
      <c r="A317" s="334"/>
      <c r="B317" s="221"/>
      <c r="C317" s="83"/>
      <c r="D317" s="124"/>
      <c r="E317" s="124"/>
      <c r="F317" s="283"/>
      <c r="G317" s="215"/>
      <c r="H317" s="215"/>
      <c r="I317" s="336"/>
      <c r="J317" s="341" t="s">
        <v>53</v>
      </c>
      <c r="K317" s="106" t="s">
        <v>54</v>
      </c>
      <c r="L317" s="108"/>
      <c r="M317" s="140"/>
      <c r="N317" s="81"/>
      <c r="O317" s="217"/>
      <c r="P317" s="62">
        <v>560205</v>
      </c>
      <c r="Q317" s="63"/>
    </row>
    <row r="318" spans="1:17" ht="15" customHeight="1" x14ac:dyDescent="0.25">
      <c r="A318" s="334"/>
      <c r="B318" s="221"/>
      <c r="C318" s="83"/>
      <c r="D318" s="124"/>
      <c r="E318" s="124"/>
      <c r="F318" s="283"/>
      <c r="G318" s="215"/>
      <c r="H318" s="215"/>
      <c r="I318" s="336"/>
      <c r="J318" s="341" t="s">
        <v>55</v>
      </c>
      <c r="K318" s="70" t="s">
        <v>56</v>
      </c>
      <c r="L318" s="149"/>
      <c r="M318" s="149"/>
      <c r="N318" s="81"/>
      <c r="O318" s="217"/>
      <c r="P318" s="62">
        <v>25228</v>
      </c>
      <c r="Q318" s="63"/>
    </row>
    <row r="319" spans="1:17" ht="29.25" customHeight="1" x14ac:dyDescent="0.25">
      <c r="A319" s="334"/>
      <c r="B319" s="221"/>
      <c r="C319" s="83"/>
      <c r="D319" s="124"/>
      <c r="E319" s="124"/>
      <c r="F319" s="283"/>
      <c r="G319" s="215"/>
      <c r="H319" s="215"/>
      <c r="I319" s="336"/>
      <c r="J319" s="337" t="s">
        <v>57</v>
      </c>
      <c r="K319" s="629" t="s">
        <v>58</v>
      </c>
      <c r="L319" s="630"/>
      <c r="M319" s="630"/>
      <c r="N319" s="81"/>
      <c r="O319" s="217"/>
      <c r="P319" s="62">
        <v>3839</v>
      </c>
      <c r="Q319" s="63"/>
    </row>
    <row r="320" spans="1:17" ht="14.25" customHeight="1" thickBot="1" x14ac:dyDescent="0.3">
      <c r="A320" s="334"/>
      <c r="B320" s="221"/>
      <c r="C320" s="83"/>
      <c r="D320" s="124"/>
      <c r="E320" s="124"/>
      <c r="F320" s="283"/>
      <c r="G320" s="215"/>
      <c r="H320" s="215"/>
      <c r="I320" s="336"/>
      <c r="J320" s="337" t="s">
        <v>439</v>
      </c>
      <c r="K320" s="629" t="s">
        <v>440</v>
      </c>
      <c r="L320" s="630"/>
      <c r="M320" s="633"/>
      <c r="N320" s="89"/>
      <c r="O320" s="121"/>
      <c r="P320" s="96">
        <v>980</v>
      </c>
      <c r="Q320" s="97"/>
    </row>
    <row r="321" spans="1:20" ht="16.5" thickBot="1" x14ac:dyDescent="0.3">
      <c r="A321" s="334"/>
      <c r="B321" s="221"/>
      <c r="C321" s="83"/>
      <c r="D321" s="124"/>
      <c r="E321" s="124"/>
      <c r="F321" s="283"/>
      <c r="G321" s="215"/>
      <c r="H321" s="215"/>
      <c r="I321" s="336"/>
      <c r="J321" s="67"/>
      <c r="K321" s="631" t="s">
        <v>248</v>
      </c>
      <c r="L321" s="632"/>
      <c r="M321" s="632"/>
      <c r="N321" s="116"/>
      <c r="O321" s="338"/>
      <c r="P321" s="295">
        <f>SUM(P316:P320)</f>
        <v>596248</v>
      </c>
      <c r="Q321" s="92"/>
    </row>
    <row r="322" spans="1:20" x14ac:dyDescent="0.25">
      <c r="A322" s="731" t="s">
        <v>358</v>
      </c>
      <c r="B322" s="732"/>
      <c r="C322" s="732"/>
      <c r="D322" s="732"/>
      <c r="E322" s="733"/>
      <c r="F322" s="342"/>
      <c r="G322" s="99"/>
      <c r="H322" s="99"/>
      <c r="I322" s="99"/>
      <c r="J322" s="343" t="s">
        <v>359</v>
      </c>
      <c r="K322" s="343"/>
      <c r="L322" s="343"/>
      <c r="M322" s="344"/>
      <c r="N322" s="273"/>
      <c r="O322" s="204"/>
      <c r="P322" s="62"/>
      <c r="Q322" s="63"/>
    </row>
    <row r="323" spans="1:20" x14ac:dyDescent="0.25">
      <c r="A323" s="328" t="s">
        <v>171</v>
      </c>
      <c r="B323" s="329"/>
      <c r="C323" s="329"/>
      <c r="D323" s="329"/>
      <c r="E323" s="329"/>
      <c r="F323" s="107"/>
      <c r="G323" s="78"/>
      <c r="H323" s="79"/>
      <c r="I323" s="79"/>
      <c r="J323" s="345" t="s">
        <v>8</v>
      </c>
      <c r="K323" s="346" t="s">
        <v>9</v>
      </c>
      <c r="L323" s="346"/>
      <c r="M323" s="346"/>
      <c r="N323" s="126"/>
      <c r="O323" s="314"/>
      <c r="P323" s="62"/>
      <c r="Q323" s="63"/>
    </row>
    <row r="324" spans="1:20" x14ac:dyDescent="0.25">
      <c r="A324" s="347"/>
      <c r="B324" s="103" t="s">
        <v>172</v>
      </c>
      <c r="C324" s="325" t="s">
        <v>173</v>
      </c>
      <c r="D324" s="330"/>
      <c r="E324" s="330"/>
      <c r="F324" s="127">
        <v>78723</v>
      </c>
      <c r="G324" s="78">
        <f>G13+G80+G143+G180+G188+G196+G174+G91+G228+G219+G211+G164</f>
        <v>251385</v>
      </c>
      <c r="H324" s="78">
        <f>H13+H80+H143+H180+H188+H196+H174+H91+H228+H219+H211+H164</f>
        <v>243509</v>
      </c>
      <c r="I324" s="128">
        <f>H324/G324*100</f>
        <v>96.866957057899242</v>
      </c>
      <c r="J324" s="67" t="s">
        <v>10</v>
      </c>
      <c r="K324" s="666" t="s">
        <v>11</v>
      </c>
      <c r="L324" s="667"/>
      <c r="M324" s="667"/>
      <c r="N324" s="129">
        <v>156988</v>
      </c>
      <c r="O324" s="61">
        <f t="shared" ref="O324:P328" si="31">O30</f>
        <v>158529</v>
      </c>
      <c r="P324" s="61">
        <f t="shared" si="31"/>
        <v>158529</v>
      </c>
      <c r="Q324" s="105">
        <f>P324/O324*100</f>
        <v>100</v>
      </c>
    </row>
    <row r="325" spans="1:20" x14ac:dyDescent="0.25">
      <c r="A325" s="347"/>
      <c r="B325" s="103" t="s">
        <v>174</v>
      </c>
      <c r="C325" s="63" t="s">
        <v>175</v>
      </c>
      <c r="D325" s="63"/>
      <c r="E325" s="106"/>
      <c r="F325" s="127">
        <v>15273</v>
      </c>
      <c r="G325" s="78">
        <f>G14+G81+G144+G181+G189+G197+G175+G92+G229+G220+G212+G165+G248</f>
        <v>40447</v>
      </c>
      <c r="H325" s="78">
        <f>H14+H81+H144+H181+H189+H197+H175+H92+H229+H220+H212+H165+H248</f>
        <v>39001</v>
      </c>
      <c r="I325" s="128">
        <f t="shared" ref="I325:I340" si="32">H325/G325*100</f>
        <v>96.424951170667782</v>
      </c>
      <c r="J325" s="64" t="s">
        <v>12</v>
      </c>
      <c r="K325" s="666" t="s">
        <v>13</v>
      </c>
      <c r="L325" s="667"/>
      <c r="M325" s="667"/>
      <c r="N325" s="129">
        <v>136896</v>
      </c>
      <c r="O325" s="61">
        <f t="shared" si="31"/>
        <v>138988</v>
      </c>
      <c r="P325" s="61">
        <f t="shared" si="31"/>
        <v>138988</v>
      </c>
      <c r="Q325" s="105">
        <f t="shared" ref="Q325:Q385" si="33">P325/O325*100</f>
        <v>100</v>
      </c>
    </row>
    <row r="326" spans="1:20" x14ac:dyDescent="0.25">
      <c r="A326" s="347"/>
      <c r="B326" s="103" t="s">
        <v>176</v>
      </c>
      <c r="C326" s="325" t="s">
        <v>177</v>
      </c>
      <c r="D326" s="330"/>
      <c r="E326" s="330"/>
      <c r="F326" s="127">
        <v>347615</v>
      </c>
      <c r="G326" s="78">
        <f>G15+G21+G30+G70+G75+G82+G102+G108+G123+G131+G139+G170+G190+G236+G242+G182+G147+G176+G93+G230+G221+G213+G166+G62+G198+G308+G265</f>
        <v>570807</v>
      </c>
      <c r="H326" s="78">
        <f>H15+H21+H30+H70+H75+H82+H102+H108+H123+H131+H139+H170+H190+H236+H242+H182+H147+H176+H93+H230+H221+H213+H166+H62+H198+H308+H265</f>
        <v>419208</v>
      </c>
      <c r="I326" s="128">
        <f t="shared" si="32"/>
        <v>73.441285758583902</v>
      </c>
      <c r="J326" s="64" t="s">
        <v>14</v>
      </c>
      <c r="K326" s="666" t="s">
        <v>15</v>
      </c>
      <c r="L326" s="667"/>
      <c r="M326" s="667"/>
      <c r="N326" s="129">
        <v>650936</v>
      </c>
      <c r="O326" s="61">
        <f t="shared" si="31"/>
        <v>693605</v>
      </c>
      <c r="P326" s="61">
        <f t="shared" si="31"/>
        <v>693605</v>
      </c>
      <c r="Q326" s="105">
        <f t="shared" si="33"/>
        <v>100</v>
      </c>
    </row>
    <row r="327" spans="1:20" x14ac:dyDescent="0.25">
      <c r="A327" s="347"/>
      <c r="B327" s="103" t="s">
        <v>178</v>
      </c>
      <c r="C327" s="63" t="s">
        <v>179</v>
      </c>
      <c r="D327" s="201"/>
      <c r="E327" s="76"/>
      <c r="F327" s="127">
        <v>9278</v>
      </c>
      <c r="G327" s="78">
        <f>G249+G253+G257+G261+G266</f>
        <v>6136</v>
      </c>
      <c r="H327" s="78">
        <f>H249+H253+H257+H261+H266</f>
        <v>5290</v>
      </c>
      <c r="I327" s="128">
        <f t="shared" si="32"/>
        <v>86.21251629726207</v>
      </c>
      <c r="J327" s="64" t="s">
        <v>16</v>
      </c>
      <c r="K327" s="666" t="s">
        <v>17</v>
      </c>
      <c r="L327" s="667"/>
      <c r="M327" s="667"/>
      <c r="N327" s="129">
        <v>9590</v>
      </c>
      <c r="O327" s="61">
        <f t="shared" si="31"/>
        <v>9987</v>
      </c>
      <c r="P327" s="61">
        <f t="shared" si="31"/>
        <v>9987</v>
      </c>
      <c r="Q327" s="105">
        <f t="shared" si="33"/>
        <v>100</v>
      </c>
    </row>
    <row r="328" spans="1:20" x14ac:dyDescent="0.25">
      <c r="A328" s="347"/>
      <c r="B328" s="103" t="s">
        <v>180</v>
      </c>
      <c r="C328" s="63" t="s">
        <v>181</v>
      </c>
      <c r="D328" s="201"/>
      <c r="E328" s="76"/>
      <c r="F328" s="127">
        <v>180737</v>
      </c>
      <c r="G328" s="78">
        <f>G31</f>
        <v>187777</v>
      </c>
      <c r="H328" s="78">
        <f>H31</f>
        <v>187775</v>
      </c>
      <c r="I328" s="128">
        <f t="shared" si="32"/>
        <v>99.998934906830968</v>
      </c>
      <c r="J328" s="348" t="s">
        <v>18</v>
      </c>
      <c r="K328" s="670" t="s">
        <v>19</v>
      </c>
      <c r="L328" s="671"/>
      <c r="M328" s="671"/>
      <c r="N328" s="68">
        <v>238742</v>
      </c>
      <c r="O328" s="61">
        <f t="shared" si="31"/>
        <v>94151</v>
      </c>
      <c r="P328" s="61">
        <f t="shared" si="31"/>
        <v>94151</v>
      </c>
      <c r="Q328" s="105">
        <f t="shared" si="33"/>
        <v>100</v>
      </c>
    </row>
    <row r="329" spans="1:20" x14ac:dyDescent="0.25">
      <c r="A329" s="347"/>
      <c r="B329" s="103" t="s">
        <v>182</v>
      </c>
      <c r="C329" s="63" t="s">
        <v>183</v>
      </c>
      <c r="D329" s="201"/>
      <c r="E329" s="76"/>
      <c r="F329" s="127"/>
      <c r="G329" s="78"/>
      <c r="H329" s="78"/>
      <c r="I329" s="128"/>
      <c r="J329" s="75" t="s">
        <v>20</v>
      </c>
      <c r="K329" s="83" t="s">
        <v>21</v>
      </c>
      <c r="L329" s="110"/>
      <c r="M329" s="110"/>
      <c r="N329" s="68"/>
      <c r="O329" s="61">
        <f>SUM(O35)</f>
        <v>1384</v>
      </c>
      <c r="P329" s="61">
        <f>SUM(P35)</f>
        <v>1384</v>
      </c>
      <c r="Q329" s="105">
        <f t="shared" si="33"/>
        <v>100</v>
      </c>
      <c r="T329" s="349"/>
    </row>
    <row r="330" spans="1:20" x14ac:dyDescent="0.25">
      <c r="A330" s="347"/>
      <c r="B330" s="103" t="s">
        <v>184</v>
      </c>
      <c r="C330" s="63" t="s">
        <v>185</v>
      </c>
      <c r="D330" s="330"/>
      <c r="E330" s="330"/>
      <c r="F330" s="127"/>
      <c r="G330" s="78">
        <f>SUM(G272)</f>
        <v>950</v>
      </c>
      <c r="H330" s="78">
        <f>SUM(H272)</f>
        <v>950</v>
      </c>
      <c r="I330" s="128">
        <f t="shared" si="32"/>
        <v>100</v>
      </c>
      <c r="J330" s="138" t="s">
        <v>22</v>
      </c>
      <c r="K330" s="139" t="s">
        <v>23</v>
      </c>
      <c r="L330" s="140"/>
      <c r="M330" s="140"/>
      <c r="N330" s="126"/>
      <c r="O330" s="61"/>
      <c r="P330" s="61"/>
      <c r="Q330" s="105"/>
      <c r="T330" s="349"/>
    </row>
    <row r="331" spans="1:20" x14ac:dyDescent="0.25">
      <c r="A331" s="347"/>
      <c r="B331" s="103" t="s">
        <v>186</v>
      </c>
      <c r="C331" s="325" t="s">
        <v>187</v>
      </c>
      <c r="D331" s="201"/>
      <c r="E331" s="76"/>
      <c r="F331" s="127"/>
      <c r="G331" s="78"/>
      <c r="H331" s="78"/>
      <c r="I331" s="128"/>
      <c r="J331" s="103" t="s">
        <v>24</v>
      </c>
      <c r="K331" s="106" t="s">
        <v>25</v>
      </c>
      <c r="L331" s="108"/>
      <c r="M331" s="108"/>
      <c r="N331" s="68">
        <v>1384</v>
      </c>
      <c r="O331" s="61">
        <f>SUM(O38)</f>
        <v>0</v>
      </c>
      <c r="P331" s="61">
        <f>SUM(P38)</f>
        <v>0</v>
      </c>
      <c r="Q331" s="105"/>
    </row>
    <row r="332" spans="1:20" x14ac:dyDescent="0.25">
      <c r="A332" s="347"/>
      <c r="B332" s="103" t="s">
        <v>188</v>
      </c>
      <c r="C332" s="201" t="s">
        <v>189</v>
      </c>
      <c r="D332" s="201"/>
      <c r="E332" s="76"/>
      <c r="F332" s="127">
        <v>724904</v>
      </c>
      <c r="G332" s="78">
        <f>G222+G154+G124+G71+G304+G300+G296+G292+G288+G284+G278+G17</f>
        <v>761141</v>
      </c>
      <c r="H332" s="78">
        <f>H222+H154+H124+H71+H304+H300+H296+H292+H288+H284+H278+H17</f>
        <v>756868</v>
      </c>
      <c r="I332" s="128">
        <f t="shared" si="32"/>
        <v>99.438605987589696</v>
      </c>
      <c r="J332" s="290" t="s">
        <v>26</v>
      </c>
      <c r="K332" s="350" t="s">
        <v>27</v>
      </c>
      <c r="L332" s="186"/>
      <c r="M332" s="186"/>
      <c r="N332" s="228"/>
      <c r="O332" s="61"/>
      <c r="P332" s="61"/>
      <c r="Q332" s="105"/>
    </row>
    <row r="333" spans="1:20" x14ac:dyDescent="0.25">
      <c r="A333" s="347"/>
      <c r="B333" s="103" t="s">
        <v>190</v>
      </c>
      <c r="C333" s="201" t="s">
        <v>191</v>
      </c>
      <c r="D333" s="330"/>
      <c r="E333" s="330"/>
      <c r="F333" s="127"/>
      <c r="G333" s="78"/>
      <c r="H333" s="78"/>
      <c r="I333" s="128"/>
      <c r="J333" s="103" t="s">
        <v>28</v>
      </c>
      <c r="K333" s="76" t="s">
        <v>29</v>
      </c>
      <c r="L333" s="77"/>
      <c r="M333" s="77"/>
      <c r="N333" s="68"/>
      <c r="O333" s="61">
        <f>SUM(O272)</f>
        <v>950</v>
      </c>
      <c r="P333" s="61">
        <f>SUM(P272)</f>
        <v>1250</v>
      </c>
      <c r="Q333" s="105">
        <f t="shared" si="33"/>
        <v>131.57894736842107</v>
      </c>
    </row>
    <row r="334" spans="1:20" x14ac:dyDescent="0.25">
      <c r="A334" s="347"/>
      <c r="B334" s="103" t="s">
        <v>192</v>
      </c>
      <c r="C334" s="325" t="s">
        <v>193</v>
      </c>
      <c r="D334" s="201"/>
      <c r="E334" s="76"/>
      <c r="F334" s="127"/>
      <c r="G334" s="78">
        <f>SUM(G267)</f>
        <v>300</v>
      </c>
      <c r="H334" s="78">
        <f>SUM(H267)</f>
        <v>221</v>
      </c>
      <c r="I334" s="128">
        <f t="shared" si="32"/>
        <v>73.666666666666671</v>
      </c>
      <c r="J334" s="290" t="s">
        <v>30</v>
      </c>
      <c r="K334" s="106" t="s">
        <v>31</v>
      </c>
      <c r="L334" s="108"/>
      <c r="M334" s="108"/>
      <c r="N334" s="68"/>
      <c r="O334" s="61"/>
      <c r="P334" s="61"/>
      <c r="Q334" s="105"/>
    </row>
    <row r="335" spans="1:20" x14ac:dyDescent="0.25">
      <c r="A335" s="347"/>
      <c r="B335" s="103" t="s">
        <v>194</v>
      </c>
      <c r="C335" s="325" t="s">
        <v>195</v>
      </c>
      <c r="D335" s="201"/>
      <c r="E335" s="76"/>
      <c r="F335" s="127">
        <v>300</v>
      </c>
      <c r="G335" s="78">
        <f>G109</f>
        <v>716</v>
      </c>
      <c r="H335" s="78">
        <f>H109</f>
        <v>582</v>
      </c>
      <c r="I335" s="128">
        <f t="shared" si="32"/>
        <v>81.284916201117312</v>
      </c>
      <c r="J335" s="103" t="s">
        <v>32</v>
      </c>
      <c r="K335" s="76" t="s">
        <v>33</v>
      </c>
      <c r="L335" s="77"/>
      <c r="M335" s="77"/>
      <c r="N335" s="68">
        <v>60905</v>
      </c>
      <c r="O335" s="61">
        <f>O188+O180+O143+O123+O80+O174+O91+O164+O39</f>
        <v>286000</v>
      </c>
      <c r="P335" s="61">
        <f>P188+P180+P143+P123+P80+P174+P91+P164+P39</f>
        <v>312890</v>
      </c>
      <c r="Q335" s="105">
        <f t="shared" si="33"/>
        <v>109.40209790209789</v>
      </c>
    </row>
    <row r="336" spans="1:20" x14ac:dyDescent="0.25">
      <c r="A336" s="347"/>
      <c r="B336" s="103" t="s">
        <v>196</v>
      </c>
      <c r="C336" s="325" t="s">
        <v>197</v>
      </c>
      <c r="D336" s="330"/>
      <c r="E336" s="330"/>
      <c r="F336" s="127"/>
      <c r="G336" s="78"/>
      <c r="H336" s="78"/>
      <c r="I336" s="128"/>
      <c r="J336" s="290" t="s">
        <v>34</v>
      </c>
      <c r="K336" s="106" t="s">
        <v>35</v>
      </c>
      <c r="L336" s="108"/>
      <c r="M336" s="108"/>
      <c r="N336" s="68"/>
      <c r="O336" s="61"/>
      <c r="P336" s="61"/>
      <c r="Q336" s="105"/>
    </row>
    <row r="337" spans="1:18" x14ac:dyDescent="0.25">
      <c r="A337" s="347"/>
      <c r="B337" s="103" t="s">
        <v>198</v>
      </c>
      <c r="C337" s="325" t="s">
        <v>199</v>
      </c>
      <c r="D337" s="330"/>
      <c r="E337" s="330"/>
      <c r="F337" s="127"/>
      <c r="G337" s="78"/>
      <c r="H337" s="78"/>
      <c r="I337" s="128"/>
      <c r="J337" s="138" t="s">
        <v>36</v>
      </c>
      <c r="K337" s="139" t="s">
        <v>37</v>
      </c>
      <c r="L337" s="140"/>
      <c r="M337" s="140"/>
      <c r="N337" s="126"/>
      <c r="O337" s="61"/>
      <c r="P337" s="61"/>
      <c r="Q337" s="105"/>
    </row>
    <row r="338" spans="1:18" x14ac:dyDescent="0.25">
      <c r="A338" s="347"/>
      <c r="B338" s="103" t="s">
        <v>200</v>
      </c>
      <c r="C338" s="325" t="s">
        <v>201</v>
      </c>
      <c r="D338" s="330"/>
      <c r="E338" s="330"/>
      <c r="F338" s="127">
        <v>4477</v>
      </c>
      <c r="G338" s="78">
        <f>G199+G155+G103+G110</f>
        <v>5774</v>
      </c>
      <c r="H338" s="78">
        <f>H199+H155+H103+H110+H268</f>
        <v>3421</v>
      </c>
      <c r="I338" s="128">
        <f t="shared" si="32"/>
        <v>59.248354693453408</v>
      </c>
      <c r="J338" s="103" t="s">
        <v>38</v>
      </c>
      <c r="K338" s="106" t="s">
        <v>39</v>
      </c>
      <c r="L338" s="108"/>
      <c r="M338" s="108"/>
      <c r="N338" s="68">
        <v>26783</v>
      </c>
      <c r="O338" s="61">
        <f>SUM(O113+O42)</f>
        <v>433590</v>
      </c>
      <c r="P338" s="61">
        <f>SUM(P113+P42)</f>
        <v>433590</v>
      </c>
      <c r="Q338" s="105">
        <f t="shared" si="33"/>
        <v>100</v>
      </c>
    </row>
    <row r="339" spans="1:18" ht="16.5" thickBot="1" x14ac:dyDescent="0.3">
      <c r="A339" s="347"/>
      <c r="B339" s="103" t="s">
        <v>202</v>
      </c>
      <c r="C339" s="325" t="s">
        <v>203</v>
      </c>
      <c r="D339" s="330"/>
      <c r="E339" s="330"/>
      <c r="F339" s="113">
        <v>29220</v>
      </c>
      <c r="G339" s="114">
        <f>G85+G16+G156</f>
        <v>0</v>
      </c>
      <c r="H339" s="114">
        <f>H85+H16+H156</f>
        <v>0</v>
      </c>
      <c r="I339" s="86"/>
      <c r="J339" s="103" t="s">
        <v>40</v>
      </c>
      <c r="K339" s="350" t="s">
        <v>41</v>
      </c>
      <c r="L339" s="108"/>
      <c r="M339" s="108"/>
      <c r="N339" s="68"/>
      <c r="O339" s="61"/>
      <c r="P339" s="61"/>
      <c r="Q339" s="105"/>
    </row>
    <row r="340" spans="1:18" ht="16.5" thickBot="1" x14ac:dyDescent="0.3">
      <c r="A340" s="347"/>
      <c r="B340" s="103"/>
      <c r="C340" s="328" t="s">
        <v>204</v>
      </c>
      <c r="D340" s="330"/>
      <c r="E340" s="330"/>
      <c r="F340" s="170">
        <f>SUM(F324:F339)</f>
        <v>1390527</v>
      </c>
      <c r="G340" s="171">
        <f>SUM(G324:G339)</f>
        <v>1825433</v>
      </c>
      <c r="H340" s="171">
        <f>SUM(H324:H339)</f>
        <v>1656825</v>
      </c>
      <c r="I340" s="86">
        <f t="shared" si="32"/>
        <v>90.763396958420273</v>
      </c>
      <c r="J340" s="103" t="s">
        <v>42</v>
      </c>
      <c r="K340" s="76" t="s">
        <v>43</v>
      </c>
      <c r="L340" s="77"/>
      <c r="M340" s="77"/>
      <c r="N340" s="68"/>
      <c r="O340" s="61"/>
      <c r="P340" s="61"/>
      <c r="Q340" s="105"/>
    </row>
    <row r="341" spans="1:18" x14ac:dyDescent="0.25">
      <c r="A341" s="351" t="s">
        <v>205</v>
      </c>
      <c r="B341" s="352"/>
      <c r="C341" s="353"/>
      <c r="D341" s="354"/>
      <c r="E341" s="354"/>
      <c r="F341" s="342"/>
      <c r="G341" s="99"/>
      <c r="H341" s="99"/>
      <c r="I341" s="99"/>
      <c r="J341" s="103" t="s">
        <v>44</v>
      </c>
      <c r="K341" s="106" t="s">
        <v>45</v>
      </c>
      <c r="L341" s="108"/>
      <c r="M341" s="108"/>
      <c r="N341" s="68"/>
      <c r="O341" s="61"/>
      <c r="P341" s="61"/>
      <c r="Q341" s="105"/>
    </row>
    <row r="342" spans="1:18" x14ac:dyDescent="0.25">
      <c r="A342" s="347"/>
      <c r="B342" s="103" t="s">
        <v>38</v>
      </c>
      <c r="C342" s="325" t="s">
        <v>206</v>
      </c>
      <c r="D342" s="330"/>
      <c r="E342" s="330"/>
      <c r="F342" s="127">
        <v>955816</v>
      </c>
      <c r="G342" s="78">
        <f>G206+G201+G192+G184+G158+G133+G126+G113+G64+G25+G98+G87+G232+G224+G215</f>
        <v>1206831</v>
      </c>
      <c r="H342" s="78">
        <f>H206+H201+H192+H184+H158+H133+H126+H113+H64+H25+H98+H87+H232+H224+H215</f>
        <v>858100</v>
      </c>
      <c r="I342" s="128">
        <f>H342/G342*100</f>
        <v>71.103576225668718</v>
      </c>
      <c r="J342" s="103" t="s">
        <v>46</v>
      </c>
      <c r="K342" s="106" t="s">
        <v>47</v>
      </c>
      <c r="L342" s="108"/>
      <c r="M342" s="108"/>
      <c r="N342" s="68">
        <v>759074</v>
      </c>
      <c r="O342" s="61">
        <f>O131+O114+O64</f>
        <v>749201</v>
      </c>
      <c r="P342" s="61">
        <f>P131+P114+P64</f>
        <v>738414</v>
      </c>
      <c r="Q342" s="105">
        <f t="shared" si="33"/>
        <v>98.560199465830934</v>
      </c>
    </row>
    <row r="343" spans="1:18" x14ac:dyDescent="0.25">
      <c r="A343" s="347"/>
      <c r="B343" s="103" t="s">
        <v>207</v>
      </c>
      <c r="C343" s="76" t="s">
        <v>360</v>
      </c>
      <c r="D343" s="330"/>
      <c r="E343" s="330"/>
      <c r="F343" s="127"/>
      <c r="G343" s="189">
        <f>SUM(G115)</f>
        <v>149308</v>
      </c>
      <c r="H343" s="189">
        <f>SUM(H115)</f>
        <v>29354</v>
      </c>
      <c r="I343" s="128">
        <f t="shared" ref="I343:I345" si="34">H343/G343*100</f>
        <v>19.660031612505694</v>
      </c>
      <c r="J343" s="103" t="s">
        <v>48</v>
      </c>
      <c r="K343" s="106" t="s">
        <v>35</v>
      </c>
      <c r="L343" s="108"/>
      <c r="M343" s="108"/>
      <c r="N343" s="233">
        <v>742287</v>
      </c>
      <c r="O343" s="188">
        <f>O132+O115+O65</f>
        <v>742287</v>
      </c>
      <c r="P343" s="188">
        <f>P132+P115+P65</f>
        <v>738414</v>
      </c>
      <c r="Q343" s="105">
        <f t="shared" si="33"/>
        <v>99.478234160102502</v>
      </c>
    </row>
    <row r="344" spans="1:18" x14ac:dyDescent="0.25">
      <c r="A344" s="347"/>
      <c r="B344" s="103"/>
      <c r="C344" s="325" t="s">
        <v>209</v>
      </c>
      <c r="D344" s="77"/>
      <c r="E344" s="77"/>
      <c r="F344" s="355">
        <v>805067</v>
      </c>
      <c r="G344" s="189">
        <f>G207+G134+G114+G65</f>
        <v>906975</v>
      </c>
      <c r="H344" s="189">
        <f>H207+H134+H114+H65</f>
        <v>795402</v>
      </c>
      <c r="I344" s="128">
        <f t="shared" si="34"/>
        <v>87.698337881418993</v>
      </c>
      <c r="J344" s="138" t="s">
        <v>49</v>
      </c>
      <c r="K344" s="139" t="s">
        <v>50</v>
      </c>
      <c r="L344" s="140"/>
      <c r="M344" s="140"/>
      <c r="N344" s="126"/>
      <c r="O344" s="61"/>
      <c r="P344" s="61"/>
      <c r="Q344" s="105"/>
    </row>
    <row r="345" spans="1:18" x14ac:dyDescent="0.25">
      <c r="A345" s="347"/>
      <c r="B345" s="103" t="s">
        <v>210</v>
      </c>
      <c r="C345" s="325" t="s">
        <v>211</v>
      </c>
      <c r="D345" s="77"/>
      <c r="E345" s="77"/>
      <c r="F345" s="127">
        <v>24700</v>
      </c>
      <c r="G345" s="78">
        <f>G159+G66+G26</f>
        <v>54744</v>
      </c>
      <c r="H345" s="78">
        <f>H159+H66+H26</f>
        <v>34993</v>
      </c>
      <c r="I345" s="128">
        <f t="shared" si="34"/>
        <v>63.921160309805636</v>
      </c>
      <c r="J345" s="103" t="s">
        <v>51</v>
      </c>
      <c r="K345" s="106" t="s">
        <v>52</v>
      </c>
      <c r="L345" s="108"/>
      <c r="M345" s="140"/>
      <c r="N345" s="68">
        <v>6600</v>
      </c>
      <c r="O345" s="61">
        <f>SUM(O45)</f>
        <v>6600</v>
      </c>
      <c r="P345" s="61">
        <f>SUM(P316)</f>
        <v>5996</v>
      </c>
      <c r="Q345" s="105">
        <f t="shared" si="33"/>
        <v>90.848484848484844</v>
      </c>
    </row>
    <row r="346" spans="1:18" x14ac:dyDescent="0.25">
      <c r="A346" s="347"/>
      <c r="B346" s="103"/>
      <c r="C346" s="325" t="s">
        <v>212</v>
      </c>
      <c r="D346" s="330"/>
      <c r="E346" s="330"/>
      <c r="F346" s="127"/>
      <c r="G346" s="78"/>
      <c r="H346" s="78"/>
      <c r="I346" s="78"/>
      <c r="J346" s="103" t="s">
        <v>53</v>
      </c>
      <c r="K346" s="106" t="s">
        <v>54</v>
      </c>
      <c r="L346" s="108"/>
      <c r="M346" s="140"/>
      <c r="N346" s="68">
        <v>405000</v>
      </c>
      <c r="O346" s="61">
        <f>SUM(O46)</f>
        <v>555000</v>
      </c>
      <c r="P346" s="61">
        <f t="shared" ref="P346:P347" si="35">SUM(P317)</f>
        <v>560205</v>
      </c>
      <c r="Q346" s="105">
        <f t="shared" si="33"/>
        <v>100.93783783783783</v>
      </c>
    </row>
    <row r="347" spans="1:18" x14ac:dyDescent="0.25">
      <c r="A347" s="347"/>
      <c r="B347" s="103" t="s">
        <v>213</v>
      </c>
      <c r="C347" s="63" t="s">
        <v>183</v>
      </c>
      <c r="D347" s="330"/>
      <c r="E347" s="330"/>
      <c r="F347" s="127"/>
      <c r="G347" s="78"/>
      <c r="H347" s="78"/>
      <c r="I347" s="78"/>
      <c r="J347" s="103" t="s">
        <v>55</v>
      </c>
      <c r="K347" s="70" t="s">
        <v>56</v>
      </c>
      <c r="L347" s="149"/>
      <c r="M347" s="149"/>
      <c r="N347" s="68">
        <v>28000</v>
      </c>
      <c r="O347" s="61">
        <f>SUM(O47)</f>
        <v>28000</v>
      </c>
      <c r="P347" s="61">
        <f t="shared" si="35"/>
        <v>25228</v>
      </c>
      <c r="Q347" s="105">
        <f t="shared" si="33"/>
        <v>90.100000000000009</v>
      </c>
    </row>
    <row r="348" spans="1:18" ht="30.75" customHeight="1" x14ac:dyDescent="0.25">
      <c r="A348" s="347"/>
      <c r="B348" s="103" t="s">
        <v>214</v>
      </c>
      <c r="C348" s="63" t="s">
        <v>185</v>
      </c>
      <c r="D348" s="77"/>
      <c r="E348" s="77"/>
      <c r="F348" s="127"/>
      <c r="G348" s="78"/>
      <c r="H348" s="78"/>
      <c r="I348" s="356"/>
      <c r="J348" s="265" t="s">
        <v>57</v>
      </c>
      <c r="K348" s="629" t="s">
        <v>58</v>
      </c>
      <c r="L348" s="630"/>
      <c r="M348" s="630"/>
      <c r="N348" s="153">
        <v>5600</v>
      </c>
      <c r="O348" s="61">
        <f>SUM(O48)</f>
        <v>5600</v>
      </c>
      <c r="P348" s="61">
        <f>SUM(P319+P312)</f>
        <v>4138</v>
      </c>
      <c r="Q348" s="105">
        <f t="shared" si="33"/>
        <v>73.892857142857139</v>
      </c>
      <c r="R348" s="349"/>
    </row>
    <row r="349" spans="1:18" ht="62.25" customHeight="1" x14ac:dyDescent="0.25">
      <c r="A349" s="347"/>
      <c r="B349" s="103" t="s">
        <v>215</v>
      </c>
      <c r="C349" s="325" t="s">
        <v>187</v>
      </c>
      <c r="D349" s="77"/>
      <c r="E349" s="77"/>
      <c r="F349" s="127"/>
      <c r="G349" s="78"/>
      <c r="H349" s="78"/>
      <c r="I349" s="356"/>
      <c r="J349" s="265" t="s">
        <v>59</v>
      </c>
      <c r="K349" s="629" t="s">
        <v>60</v>
      </c>
      <c r="L349" s="630"/>
      <c r="M349" s="633"/>
      <c r="N349" s="153">
        <v>3000</v>
      </c>
      <c r="O349" s="61">
        <f>SUM(O49)</f>
        <v>3000</v>
      </c>
      <c r="P349" s="61">
        <f>SUM(P49+P145)</f>
        <v>1707</v>
      </c>
      <c r="Q349" s="105">
        <f t="shared" si="33"/>
        <v>56.899999999999991</v>
      </c>
      <c r="R349" s="349"/>
    </row>
    <row r="350" spans="1:18" ht="24.75" customHeight="1" x14ac:dyDescent="0.25">
      <c r="A350" s="347"/>
      <c r="B350" s="103"/>
      <c r="C350" s="325"/>
      <c r="D350" s="77"/>
      <c r="E350" s="77"/>
      <c r="F350" s="127"/>
      <c r="G350" s="78"/>
      <c r="H350" s="78"/>
      <c r="I350" s="356"/>
      <c r="J350" s="337" t="s">
        <v>439</v>
      </c>
      <c r="K350" s="629" t="s">
        <v>440</v>
      </c>
      <c r="L350" s="630"/>
      <c r="M350" s="633"/>
      <c r="N350" s="153"/>
      <c r="O350" s="61"/>
      <c r="P350" s="61">
        <f>SUM(P320)</f>
        <v>980</v>
      </c>
      <c r="Q350" s="105"/>
      <c r="R350" s="349"/>
    </row>
    <row r="351" spans="1:18" x14ac:dyDescent="0.25">
      <c r="A351" s="347"/>
      <c r="B351" s="103" t="s">
        <v>216</v>
      </c>
      <c r="C351" s="63" t="s">
        <v>217</v>
      </c>
      <c r="D351" s="77"/>
      <c r="E351" s="77"/>
      <c r="F351" s="127">
        <v>25597</v>
      </c>
      <c r="G351" s="78">
        <f>SUM(G127+G280)</f>
        <v>392939</v>
      </c>
      <c r="H351" s="78">
        <f>SUM(H127+H280)</f>
        <v>392939</v>
      </c>
      <c r="I351" s="128">
        <f>H351/G351*100</f>
        <v>100</v>
      </c>
      <c r="J351" s="138" t="s">
        <v>61</v>
      </c>
      <c r="K351" s="139" t="s">
        <v>62</v>
      </c>
      <c r="L351" s="140"/>
      <c r="M351" s="140"/>
      <c r="N351" s="126"/>
      <c r="O351" s="61"/>
      <c r="P351" s="61"/>
      <c r="Q351" s="105"/>
      <c r="R351" s="349"/>
    </row>
    <row r="352" spans="1:18" x14ac:dyDescent="0.25">
      <c r="A352" s="347"/>
      <c r="B352" s="103" t="s">
        <v>218</v>
      </c>
      <c r="C352" s="201" t="s">
        <v>191</v>
      </c>
      <c r="D352" s="330"/>
      <c r="E352" s="330"/>
      <c r="F352" s="127"/>
      <c r="G352" s="78"/>
      <c r="H352" s="78"/>
      <c r="I352" s="78"/>
      <c r="J352" s="103" t="s">
        <v>63</v>
      </c>
      <c r="K352" s="106" t="s">
        <v>64</v>
      </c>
      <c r="L352" s="108"/>
      <c r="M352" s="108"/>
      <c r="N352" s="68"/>
      <c r="O352" s="61">
        <f>SUM(O93)</f>
        <v>10650</v>
      </c>
      <c r="P352" s="61">
        <f>SUM(P93+P147+P82)</f>
        <v>16860</v>
      </c>
      <c r="Q352" s="105">
        <f t="shared" si="33"/>
        <v>158.30985915492957</v>
      </c>
    </row>
    <row r="353" spans="1:17" x14ac:dyDescent="0.25">
      <c r="A353" s="347"/>
      <c r="B353" s="103" t="s">
        <v>219</v>
      </c>
      <c r="C353" s="325" t="s">
        <v>193</v>
      </c>
      <c r="D353" s="77"/>
      <c r="E353" s="77"/>
      <c r="F353" s="127"/>
      <c r="G353" s="78"/>
      <c r="H353" s="78"/>
      <c r="I353" s="78"/>
      <c r="J353" s="103" t="s">
        <v>65</v>
      </c>
      <c r="K353" s="106" t="s">
        <v>66</v>
      </c>
      <c r="L353" s="108"/>
      <c r="M353" s="108"/>
      <c r="N353" s="68">
        <v>7649</v>
      </c>
      <c r="O353" s="61">
        <f>O21</f>
        <v>7649</v>
      </c>
      <c r="P353" s="61">
        <f>P21+P219+P211+P148+P134+P94</f>
        <v>9763</v>
      </c>
      <c r="Q353" s="105">
        <f t="shared" si="33"/>
        <v>127.6375996862335</v>
      </c>
    </row>
    <row r="354" spans="1:17" x14ac:dyDescent="0.25">
      <c r="A354" s="347"/>
      <c r="B354" s="103" t="s">
        <v>220</v>
      </c>
      <c r="C354" s="76" t="s">
        <v>221</v>
      </c>
      <c r="D354" s="77"/>
      <c r="E354" s="77"/>
      <c r="F354" s="127"/>
      <c r="G354" s="78"/>
      <c r="H354" s="78"/>
      <c r="I354" s="78"/>
      <c r="J354" s="103" t="s">
        <v>67</v>
      </c>
      <c r="K354" s="106" t="s">
        <v>68</v>
      </c>
      <c r="L354" s="108"/>
      <c r="M354" s="108"/>
      <c r="N354" s="68"/>
      <c r="O354" s="61"/>
      <c r="P354" s="61">
        <f>SUM(P220+P107+P22+P149)</f>
        <v>3445</v>
      </c>
      <c r="Q354" s="105"/>
    </row>
    <row r="355" spans="1:17" x14ac:dyDescent="0.25">
      <c r="A355" s="347"/>
      <c r="B355" s="103" t="s">
        <v>222</v>
      </c>
      <c r="C355" s="325" t="s">
        <v>223</v>
      </c>
      <c r="D355" s="330"/>
      <c r="E355" s="330"/>
      <c r="F355" s="127"/>
      <c r="G355" s="78"/>
      <c r="H355" s="78"/>
      <c r="I355" s="78"/>
      <c r="J355" s="103" t="s">
        <v>69</v>
      </c>
      <c r="K355" s="106" t="s">
        <v>70</v>
      </c>
      <c r="L355" s="108"/>
      <c r="M355" s="108"/>
      <c r="N355" s="68">
        <v>20187</v>
      </c>
      <c r="O355" s="61">
        <f>O108+O75+O23+O150</f>
        <v>39917</v>
      </c>
      <c r="P355" s="61">
        <f>P108+P75+P23+P150</f>
        <v>23339</v>
      </c>
      <c r="Q355" s="105">
        <f t="shared" si="33"/>
        <v>58.468822807325203</v>
      </c>
    </row>
    <row r="356" spans="1:17" ht="16.5" thickBot="1" x14ac:dyDescent="0.3">
      <c r="A356" s="347"/>
      <c r="B356" s="103" t="s">
        <v>224</v>
      </c>
      <c r="C356" s="76" t="s">
        <v>225</v>
      </c>
      <c r="D356" s="77"/>
      <c r="E356" s="77"/>
      <c r="F356" s="113">
        <v>1000</v>
      </c>
      <c r="G356" s="114">
        <f>G160+G202</f>
        <v>20575</v>
      </c>
      <c r="H356" s="114">
        <f>H160+H202</f>
        <v>19575</v>
      </c>
      <c r="I356" s="86">
        <f>H356/G356*100</f>
        <v>95.139732685297702</v>
      </c>
      <c r="J356" s="103" t="s">
        <v>71</v>
      </c>
      <c r="K356" s="106" t="s">
        <v>72</v>
      </c>
      <c r="L356" s="108"/>
      <c r="M356" s="108"/>
      <c r="N356" s="68">
        <v>33179</v>
      </c>
      <c r="O356" s="61">
        <f>O242+O236</f>
        <v>33179</v>
      </c>
      <c r="P356" s="61">
        <f>P242+P236</f>
        <v>26375</v>
      </c>
      <c r="Q356" s="105">
        <f t="shared" si="33"/>
        <v>79.493052834624308</v>
      </c>
    </row>
    <row r="357" spans="1:17" ht="16.5" thickBot="1" x14ac:dyDescent="0.3">
      <c r="A357" s="347"/>
      <c r="B357" s="103"/>
      <c r="C357" s="357" t="s">
        <v>226</v>
      </c>
      <c r="D357" s="77"/>
      <c r="E357" s="77"/>
      <c r="F357" s="170">
        <f>SUM(F345:F356,F342)</f>
        <v>1007113</v>
      </c>
      <c r="G357" s="171">
        <f>SUM(G342:G356)-G343-G344</f>
        <v>1675089</v>
      </c>
      <c r="H357" s="171">
        <f>SUM(H342:H356)-H343-H344</f>
        <v>1305607</v>
      </c>
      <c r="I357" s="86">
        <f t="shared" ref="I357:I361" si="36">H357/G357*100</f>
        <v>77.942545142377512</v>
      </c>
      <c r="J357" s="103" t="s">
        <v>73</v>
      </c>
      <c r="K357" s="106" t="s">
        <v>74</v>
      </c>
      <c r="L357" s="108"/>
      <c r="M357" s="108"/>
      <c r="N357" s="68">
        <v>57574</v>
      </c>
      <c r="O357" s="61">
        <f>O243+O237+O109+O76+O24+O95</f>
        <v>60449</v>
      </c>
      <c r="P357" s="61">
        <f>P243+P237+P109+P76+P24+P95+P221+P212+P151+P135+P83</f>
        <v>12528</v>
      </c>
      <c r="Q357" s="105">
        <f t="shared" si="33"/>
        <v>20.724908600638557</v>
      </c>
    </row>
    <row r="358" spans="1:17" ht="16.5" thickBot="1" x14ac:dyDescent="0.3">
      <c r="A358" s="358" t="s">
        <v>230</v>
      </c>
      <c r="B358" s="103"/>
      <c r="C358" s="76"/>
      <c r="D358" s="77"/>
      <c r="E358" s="77"/>
      <c r="F358" s="271">
        <f>SUM(F357,F340)</f>
        <v>2397640</v>
      </c>
      <c r="G358" s="119">
        <f>SUM(G357,G340)</f>
        <v>3500522</v>
      </c>
      <c r="H358" s="119">
        <f>SUM(H357,H340)</f>
        <v>2962432</v>
      </c>
      <c r="I358" s="86">
        <f t="shared" si="36"/>
        <v>84.628292580363734</v>
      </c>
      <c r="J358" s="103" t="s">
        <v>75</v>
      </c>
      <c r="K358" s="106" t="s">
        <v>76</v>
      </c>
      <c r="L358" s="108"/>
      <c r="M358" s="108"/>
      <c r="N358" s="68">
        <v>136848</v>
      </c>
      <c r="O358" s="61">
        <f>O244+O238+O110+O96+O121</f>
        <v>220849</v>
      </c>
      <c r="P358" s="61">
        <f>P244+P238+P110+P96+P121+P152+P84</f>
        <v>115171</v>
      </c>
      <c r="Q358" s="105">
        <f t="shared" si="33"/>
        <v>52.14920601859189</v>
      </c>
    </row>
    <row r="359" spans="1:17" ht="16.5" thickBot="1" x14ac:dyDescent="0.3">
      <c r="A359" s="133" t="s">
        <v>262</v>
      </c>
      <c r="B359" s="103"/>
      <c r="C359" s="357"/>
      <c r="D359" s="77"/>
      <c r="E359" s="77"/>
      <c r="F359" s="271">
        <f>SUM(F360)</f>
        <v>453148</v>
      </c>
      <c r="G359" s="119">
        <f>SUM(G360:G361)</f>
        <v>494529</v>
      </c>
      <c r="H359" s="119">
        <f>SUM(H360:H361)</f>
        <v>445118</v>
      </c>
      <c r="I359" s="86">
        <f t="shared" si="36"/>
        <v>90.008472708375038</v>
      </c>
      <c r="J359" s="103" t="s">
        <v>77</v>
      </c>
      <c r="K359" s="106" t="s">
        <v>78</v>
      </c>
      <c r="L359" s="108"/>
      <c r="M359" s="108"/>
      <c r="N359" s="68"/>
      <c r="O359" s="61"/>
      <c r="P359" s="61">
        <f>SUM(P153)</f>
        <v>1160</v>
      </c>
      <c r="Q359" s="105"/>
    </row>
    <row r="360" spans="1:17" x14ac:dyDescent="0.25">
      <c r="A360" s="134" t="s">
        <v>227</v>
      </c>
      <c r="B360" s="133" t="s">
        <v>228</v>
      </c>
      <c r="C360" s="357"/>
      <c r="D360" s="77"/>
      <c r="E360" s="77"/>
      <c r="F360" s="178">
        <v>453148</v>
      </c>
      <c r="G360" s="99">
        <f>SUM(G56)</f>
        <v>465561</v>
      </c>
      <c r="H360" s="99">
        <f>SUM(H56)</f>
        <v>416150</v>
      </c>
      <c r="I360" s="359">
        <f t="shared" si="36"/>
        <v>89.38678282759939</v>
      </c>
      <c r="J360" s="103" t="s">
        <v>79</v>
      </c>
      <c r="K360" s="106" t="s">
        <v>80</v>
      </c>
      <c r="L360" s="108"/>
      <c r="M360" s="108"/>
      <c r="N360" s="68"/>
      <c r="O360" s="61"/>
      <c r="P360" s="61"/>
      <c r="Q360" s="105"/>
    </row>
    <row r="361" spans="1:17" x14ac:dyDescent="0.25">
      <c r="A361" s="134" t="s">
        <v>36</v>
      </c>
      <c r="B361" s="678" t="s">
        <v>229</v>
      </c>
      <c r="C361" s="679"/>
      <c r="D361" s="679"/>
      <c r="E361" s="679"/>
      <c r="F361" s="107"/>
      <c r="G361" s="78">
        <v>28968</v>
      </c>
      <c r="H361" s="78">
        <v>28968</v>
      </c>
      <c r="I361" s="296">
        <f t="shared" si="36"/>
        <v>100</v>
      </c>
      <c r="J361" s="103" t="s">
        <v>81</v>
      </c>
      <c r="K361" s="106" t="s">
        <v>82</v>
      </c>
      <c r="L361" s="108"/>
      <c r="M361" s="108"/>
      <c r="N361" s="68"/>
      <c r="O361" s="61"/>
      <c r="P361" s="61">
        <f>SUM(P97)</f>
        <v>1028</v>
      </c>
      <c r="Q361" s="105"/>
    </row>
    <row r="362" spans="1:17" x14ac:dyDescent="0.25">
      <c r="A362" s="347"/>
      <c r="B362" s="103"/>
      <c r="C362" s="76"/>
      <c r="D362" s="77"/>
      <c r="E362" s="77"/>
      <c r="F362" s="127"/>
      <c r="G362" s="78"/>
      <c r="H362" s="78"/>
      <c r="I362" s="99"/>
      <c r="J362" s="103" t="s">
        <v>83</v>
      </c>
      <c r="K362" s="106" t="s">
        <v>84</v>
      </c>
      <c r="L362" s="108"/>
      <c r="M362" s="108"/>
      <c r="N362" s="68"/>
      <c r="O362" s="61"/>
      <c r="P362" s="61">
        <f>SUM(P248+P154+P111+P85)</f>
        <v>198</v>
      </c>
      <c r="Q362" s="105"/>
    </row>
    <row r="363" spans="1:17" x14ac:dyDescent="0.25">
      <c r="A363" s="347"/>
      <c r="B363" s="103"/>
      <c r="C363" s="76"/>
      <c r="D363" s="77"/>
      <c r="E363" s="77"/>
      <c r="F363" s="127"/>
      <c r="G363" s="78"/>
      <c r="H363" s="78"/>
      <c r="I363" s="78"/>
      <c r="J363" s="138" t="s">
        <v>85</v>
      </c>
      <c r="K363" s="139" t="s">
        <v>86</v>
      </c>
      <c r="L363" s="140"/>
      <c r="M363" s="108"/>
      <c r="N363" s="68"/>
      <c r="O363" s="61"/>
      <c r="P363" s="61"/>
      <c r="Q363" s="105"/>
    </row>
    <row r="364" spans="1:17" x14ac:dyDescent="0.25">
      <c r="A364" s="347"/>
      <c r="B364" s="103"/>
      <c r="C364" s="357"/>
      <c r="D364" s="77"/>
      <c r="E364" s="77"/>
      <c r="F364" s="127"/>
      <c r="G364" s="218"/>
      <c r="H364" s="218"/>
      <c r="I364" s="218"/>
      <c r="J364" s="103" t="s">
        <v>87</v>
      </c>
      <c r="K364" s="76" t="s">
        <v>88</v>
      </c>
      <c r="L364" s="77"/>
      <c r="M364" s="108"/>
      <c r="N364" s="68"/>
      <c r="O364" s="61"/>
      <c r="P364" s="61"/>
      <c r="Q364" s="105"/>
    </row>
    <row r="365" spans="1:17" x14ac:dyDescent="0.25">
      <c r="A365" s="358"/>
      <c r="B365" s="346"/>
      <c r="C365" s="346"/>
      <c r="D365" s="346"/>
      <c r="E365" s="346"/>
      <c r="F365" s="300"/>
      <c r="G365" s="360"/>
      <c r="H365" s="360"/>
      <c r="I365" s="360"/>
      <c r="J365" s="103" t="s">
        <v>89</v>
      </c>
      <c r="K365" s="106" t="s">
        <v>90</v>
      </c>
      <c r="L365" s="108"/>
      <c r="M365" s="108"/>
      <c r="N365" s="68">
        <v>160225</v>
      </c>
      <c r="O365" s="61">
        <f>O26</f>
        <v>181260</v>
      </c>
      <c r="P365" s="61">
        <f>P26</f>
        <v>267</v>
      </c>
      <c r="Q365" s="105">
        <f t="shared" si="33"/>
        <v>0.14730221780867261</v>
      </c>
    </row>
    <row r="366" spans="1:17" x14ac:dyDescent="0.25">
      <c r="A366" s="361"/>
      <c r="B366" s="362"/>
      <c r="C366" s="363"/>
      <c r="D366" s="364"/>
      <c r="E366" s="364"/>
      <c r="F366" s="300"/>
      <c r="G366" s="78"/>
      <c r="H366" s="78"/>
      <c r="I366" s="78"/>
      <c r="J366" s="103" t="s">
        <v>91</v>
      </c>
      <c r="K366" s="106" t="s">
        <v>92</v>
      </c>
      <c r="L366" s="140"/>
      <c r="M366" s="140"/>
      <c r="N366" s="126"/>
      <c r="O366" s="61"/>
      <c r="P366" s="61"/>
      <c r="Q366" s="105"/>
    </row>
    <row r="367" spans="1:17" x14ac:dyDescent="0.25">
      <c r="A367" s="347"/>
      <c r="B367" s="138"/>
      <c r="C367" s="365"/>
      <c r="D367" s="346"/>
      <c r="E367" s="346"/>
      <c r="F367" s="300"/>
      <c r="G367" s="78"/>
      <c r="H367" s="78"/>
      <c r="I367" s="78"/>
      <c r="J367" s="103" t="s">
        <v>93</v>
      </c>
      <c r="K367" s="76" t="s">
        <v>94</v>
      </c>
      <c r="L367" s="77"/>
      <c r="M367" s="77"/>
      <c r="N367" s="68"/>
      <c r="O367" s="61"/>
      <c r="P367" s="61"/>
      <c r="Q367" s="105"/>
    </row>
    <row r="368" spans="1:17" ht="17.25" customHeight="1" x14ac:dyDescent="0.25">
      <c r="A368" s="347"/>
      <c r="B368" s="103"/>
      <c r="C368" s="186"/>
      <c r="D368" s="186"/>
      <c r="E368" s="186"/>
      <c r="F368" s="228"/>
      <c r="G368" s="218"/>
      <c r="H368" s="218"/>
      <c r="I368" s="218"/>
      <c r="J368" s="103" t="s">
        <v>95</v>
      </c>
      <c r="K368" s="666" t="s">
        <v>96</v>
      </c>
      <c r="L368" s="667"/>
      <c r="M368" s="667"/>
      <c r="N368" s="129"/>
      <c r="O368" s="61"/>
      <c r="P368" s="61"/>
      <c r="Q368" s="105"/>
    </row>
    <row r="369" spans="1:17" ht="12.75" customHeight="1" x14ac:dyDescent="0.25">
      <c r="A369" s="366"/>
      <c r="B369" s="103"/>
      <c r="C369" s="325"/>
      <c r="D369" s="330"/>
      <c r="E369" s="77"/>
      <c r="F369" s="127"/>
      <c r="G369" s="78"/>
      <c r="H369" s="78"/>
      <c r="I369" s="78"/>
      <c r="J369" s="138" t="s">
        <v>97</v>
      </c>
      <c r="K369" s="642" t="s">
        <v>98</v>
      </c>
      <c r="L369" s="643"/>
      <c r="M369" s="643"/>
      <c r="N369" s="321"/>
      <c r="O369" s="229"/>
      <c r="P369" s="229"/>
      <c r="Q369" s="105"/>
    </row>
    <row r="370" spans="1:17" ht="12.75" customHeight="1" x14ac:dyDescent="0.25">
      <c r="A370" s="347"/>
      <c r="B370" s="367"/>
      <c r="C370" s="325"/>
      <c r="D370" s="77"/>
      <c r="E370" s="77"/>
      <c r="F370" s="127"/>
      <c r="G370" s="78"/>
      <c r="H370" s="331"/>
      <c r="I370" s="331"/>
      <c r="J370" s="348" t="s">
        <v>99</v>
      </c>
      <c r="K370" s="368" t="s">
        <v>100</v>
      </c>
      <c r="L370" s="369"/>
      <c r="M370" s="369"/>
      <c r="N370" s="68">
        <v>1800</v>
      </c>
      <c r="O370" s="61">
        <f>SUM(O156)</f>
        <v>1800</v>
      </c>
      <c r="P370" s="61">
        <f>SUM(P156)</f>
        <v>1800</v>
      </c>
      <c r="Q370" s="105">
        <f t="shared" si="33"/>
        <v>100</v>
      </c>
    </row>
    <row r="371" spans="1:17" ht="12.75" customHeight="1" x14ac:dyDescent="0.25">
      <c r="A371" s="347"/>
      <c r="B371" s="103"/>
      <c r="C371" s="76"/>
      <c r="D371" s="77"/>
      <c r="E371" s="77"/>
      <c r="F371" s="127"/>
      <c r="G371" s="78"/>
      <c r="H371" s="79"/>
      <c r="I371" s="79"/>
      <c r="J371" s="75" t="s">
        <v>101</v>
      </c>
      <c r="K371" s="83" t="s">
        <v>102</v>
      </c>
      <c r="L371" s="110"/>
      <c r="M371" s="110"/>
      <c r="N371" s="68"/>
      <c r="O371" s="61">
        <f>SUM(O266)</f>
        <v>300</v>
      </c>
      <c r="P371" s="61">
        <f>SUM(P266)</f>
        <v>163</v>
      </c>
      <c r="Q371" s="105">
        <f t="shared" si="33"/>
        <v>54.333333333333336</v>
      </c>
    </row>
    <row r="372" spans="1:17" ht="12.75" customHeight="1" x14ac:dyDescent="0.25">
      <c r="A372" s="347"/>
      <c r="B372" s="103"/>
      <c r="C372" s="193"/>
      <c r="D372" s="77"/>
      <c r="E372" s="77"/>
      <c r="F372" s="127"/>
      <c r="G372" s="78"/>
      <c r="H372" s="79"/>
      <c r="I372" s="79"/>
      <c r="J372" s="75" t="s">
        <v>103</v>
      </c>
      <c r="K372" s="83" t="s">
        <v>104</v>
      </c>
      <c r="L372" s="110"/>
      <c r="M372" s="110"/>
      <c r="N372" s="68"/>
      <c r="O372" s="61"/>
      <c r="P372" s="61"/>
      <c r="Q372" s="105"/>
    </row>
    <row r="373" spans="1:17" ht="12.75" customHeight="1" x14ac:dyDescent="0.25">
      <c r="A373" s="347"/>
      <c r="B373" s="103"/>
      <c r="C373" s="186"/>
      <c r="D373" s="77"/>
      <c r="E373" s="77"/>
      <c r="F373" s="127"/>
      <c r="G373" s="78"/>
      <c r="H373" s="78"/>
      <c r="I373" s="78"/>
      <c r="J373" s="103"/>
      <c r="K373" s="106" t="s">
        <v>35</v>
      </c>
      <c r="L373" s="108"/>
      <c r="M373" s="108"/>
      <c r="N373" s="68"/>
      <c r="O373" s="61"/>
      <c r="P373" s="61"/>
      <c r="Q373" s="105"/>
    </row>
    <row r="374" spans="1:17" ht="12.75" customHeight="1" x14ac:dyDescent="0.25">
      <c r="A374" s="347"/>
      <c r="B374" s="103"/>
      <c r="C374" s="325"/>
      <c r="D374" s="330"/>
      <c r="E374" s="77"/>
      <c r="F374" s="127"/>
      <c r="G374" s="78"/>
      <c r="H374" s="78"/>
      <c r="I374" s="78"/>
      <c r="J374" s="138" t="s">
        <v>105</v>
      </c>
      <c r="K374" s="139" t="s">
        <v>106</v>
      </c>
      <c r="L374" s="140"/>
      <c r="M374" s="140"/>
      <c r="N374" s="126"/>
      <c r="O374" s="61"/>
      <c r="P374" s="61"/>
      <c r="Q374" s="105"/>
    </row>
    <row r="375" spans="1:17" x14ac:dyDescent="0.25">
      <c r="A375" s="347"/>
      <c r="B375" s="103"/>
      <c r="C375" s="325"/>
      <c r="D375" s="77"/>
      <c r="E375" s="77"/>
      <c r="F375" s="127"/>
      <c r="G375" s="78"/>
      <c r="H375" s="78"/>
      <c r="I375" s="78"/>
      <c r="J375" s="103" t="s">
        <v>107</v>
      </c>
      <c r="K375" s="670" t="s">
        <v>108</v>
      </c>
      <c r="L375" s="671"/>
      <c r="M375" s="671"/>
      <c r="N375" s="68"/>
      <c r="O375" s="61"/>
      <c r="P375" s="61"/>
      <c r="Q375" s="105"/>
    </row>
    <row r="376" spans="1:17" x14ac:dyDescent="0.25">
      <c r="A376" s="347"/>
      <c r="B376" s="138"/>
      <c r="C376" s="139"/>
      <c r="D376" s="364"/>
      <c r="E376" s="364"/>
      <c r="F376" s="300"/>
      <c r="G376" s="78"/>
      <c r="H376" s="78"/>
      <c r="I376" s="78"/>
      <c r="J376" s="103" t="s">
        <v>109</v>
      </c>
      <c r="K376" s="83" t="s">
        <v>110</v>
      </c>
      <c r="L376" s="110"/>
      <c r="M376" s="110"/>
      <c r="N376" s="68"/>
      <c r="O376" s="61"/>
      <c r="P376" s="61"/>
      <c r="Q376" s="105"/>
    </row>
    <row r="377" spans="1:17" x14ac:dyDescent="0.25">
      <c r="A377" s="347"/>
      <c r="B377" s="103"/>
      <c r="C377" s="106"/>
      <c r="D377" s="77"/>
      <c r="E377" s="77"/>
      <c r="F377" s="127"/>
      <c r="G377" s="78"/>
      <c r="H377" s="78"/>
      <c r="I377" s="78"/>
      <c r="J377" s="103" t="s">
        <v>111</v>
      </c>
      <c r="K377" s="83" t="s">
        <v>112</v>
      </c>
      <c r="L377" s="108"/>
      <c r="M377" s="108"/>
      <c r="N377" s="68"/>
      <c r="O377" s="61"/>
      <c r="P377" s="61">
        <f>SUM(P117)</f>
        <v>16</v>
      </c>
      <c r="Q377" s="105"/>
    </row>
    <row r="378" spans="1:17" ht="16.5" thickBot="1" x14ac:dyDescent="0.3">
      <c r="A378" s="347"/>
      <c r="B378" s="103"/>
      <c r="C378" s="106"/>
      <c r="D378" s="77"/>
      <c r="E378" s="77"/>
      <c r="F378" s="127"/>
      <c r="G378" s="78"/>
      <c r="H378" s="78"/>
      <c r="I378" s="78"/>
      <c r="J378" s="103"/>
      <c r="K378" s="106" t="s">
        <v>35</v>
      </c>
      <c r="L378" s="108"/>
      <c r="M378" s="108"/>
      <c r="N378" s="116"/>
      <c r="O378" s="117"/>
      <c r="P378" s="117"/>
      <c r="Q378" s="118"/>
    </row>
    <row r="379" spans="1:17" ht="16.5" thickBot="1" x14ac:dyDescent="0.3">
      <c r="A379" s="347"/>
      <c r="B379" s="103"/>
      <c r="C379" s="325"/>
      <c r="D379" s="330"/>
      <c r="E379" s="330"/>
      <c r="F379" s="127"/>
      <c r="G379" s="78"/>
      <c r="H379" s="79"/>
      <c r="I379" s="79"/>
      <c r="J379" s="673" t="s">
        <v>113</v>
      </c>
      <c r="K379" s="674"/>
      <c r="L379" s="674"/>
      <c r="M379" s="674"/>
      <c r="N379" s="297">
        <f>SUM(N344:N378,N324:N342)</f>
        <v>2906960</v>
      </c>
      <c r="O379" s="338">
        <f>SUM(O324:O378)-O343</f>
        <v>3720638</v>
      </c>
      <c r="P379" s="338">
        <f>SUM(P324:P378)-P343</f>
        <v>3393155</v>
      </c>
      <c r="Q379" s="118">
        <f t="shared" si="33"/>
        <v>91.198203103876267</v>
      </c>
    </row>
    <row r="380" spans="1:17" x14ac:dyDescent="0.25">
      <c r="A380" s="347"/>
      <c r="B380" s="103"/>
      <c r="C380" s="325"/>
      <c r="D380" s="330"/>
      <c r="E380" s="330"/>
      <c r="F380" s="127"/>
      <c r="G380" s="78"/>
      <c r="H380" s="356"/>
      <c r="I380" s="356"/>
      <c r="J380" s="163" t="s">
        <v>114</v>
      </c>
      <c r="K380" s="649" t="s">
        <v>115</v>
      </c>
      <c r="L380" s="650"/>
      <c r="M380" s="650"/>
      <c r="N380" s="123"/>
      <c r="O380" s="82"/>
      <c r="P380" s="82"/>
      <c r="Q380" s="327"/>
    </row>
    <row r="381" spans="1:17" x14ac:dyDescent="0.25">
      <c r="A381" s="347"/>
      <c r="B381" s="103"/>
      <c r="C381" s="325"/>
      <c r="D381" s="330"/>
      <c r="E381" s="330"/>
      <c r="F381" s="127"/>
      <c r="G381" s="78"/>
      <c r="H381" s="331"/>
      <c r="I381" s="331"/>
      <c r="J381" s="370" t="s">
        <v>116</v>
      </c>
      <c r="K381" s="357" t="s">
        <v>117</v>
      </c>
      <c r="L381" s="364"/>
      <c r="M381" s="364"/>
      <c r="N381" s="126"/>
      <c r="O381" s="61"/>
      <c r="P381" s="61"/>
      <c r="Q381" s="105"/>
    </row>
    <row r="382" spans="1:17" x14ac:dyDescent="0.25">
      <c r="A382" s="347"/>
      <c r="B382" s="138"/>
      <c r="C382" s="365"/>
      <c r="D382" s="346"/>
      <c r="E382" s="346"/>
      <c r="F382" s="300"/>
      <c r="G382" s="78"/>
      <c r="H382" s="78"/>
      <c r="I382" s="78"/>
      <c r="J382" s="138" t="s">
        <v>118</v>
      </c>
      <c r="K382" s="649" t="s">
        <v>119</v>
      </c>
      <c r="L382" s="650"/>
      <c r="M382" s="650"/>
      <c r="N382" s="126"/>
      <c r="O382" s="61"/>
      <c r="P382" s="61"/>
      <c r="Q382" s="105"/>
    </row>
    <row r="383" spans="1:17" x14ac:dyDescent="0.25">
      <c r="A383" s="347"/>
      <c r="B383" s="103"/>
      <c r="C383" s="325"/>
      <c r="D383" s="330"/>
      <c r="E383" s="330"/>
      <c r="F383" s="127"/>
      <c r="G383" s="78"/>
      <c r="H383" s="78"/>
      <c r="I383" s="78"/>
      <c r="J383" s="103" t="s">
        <v>120</v>
      </c>
      <c r="K383" s="76" t="s">
        <v>121</v>
      </c>
      <c r="L383" s="77"/>
      <c r="M383" s="77"/>
      <c r="N383" s="68"/>
      <c r="O383" s="61">
        <f>SUM(O274)</f>
        <v>125000</v>
      </c>
      <c r="P383" s="61">
        <f>SUM(P274)</f>
        <v>0</v>
      </c>
      <c r="Q383" s="105">
        <f t="shared" si="33"/>
        <v>0</v>
      </c>
    </row>
    <row r="384" spans="1:17" x14ac:dyDescent="0.25">
      <c r="A384" s="347"/>
      <c r="B384" s="103"/>
      <c r="C384" s="76"/>
      <c r="D384" s="77"/>
      <c r="E384" s="77"/>
      <c r="F384" s="127"/>
      <c r="G384" s="78"/>
      <c r="H384" s="78"/>
      <c r="I384" s="78"/>
      <c r="J384" s="103"/>
      <c r="K384" s="641" t="s">
        <v>122</v>
      </c>
      <c r="L384" s="651"/>
      <c r="M384" s="651"/>
      <c r="N384" s="68"/>
      <c r="O384" s="61"/>
      <c r="P384" s="61"/>
      <c r="Q384" s="105"/>
    </row>
    <row r="385" spans="1:17" x14ac:dyDescent="0.25">
      <c r="A385" s="347"/>
      <c r="B385" s="103"/>
      <c r="C385" s="76"/>
      <c r="D385" s="77"/>
      <c r="E385" s="77"/>
      <c r="F385" s="127"/>
      <c r="G385" s="78"/>
      <c r="H385" s="78"/>
      <c r="I385" s="78"/>
      <c r="J385" s="103"/>
      <c r="K385" s="641" t="s">
        <v>123</v>
      </c>
      <c r="L385" s="651"/>
      <c r="M385" s="651"/>
      <c r="N385" s="68"/>
      <c r="O385" s="61">
        <f>SUM(O383)</f>
        <v>125000</v>
      </c>
      <c r="P385" s="61">
        <f>SUM(P383)</f>
        <v>0</v>
      </c>
      <c r="Q385" s="105">
        <f t="shared" si="33"/>
        <v>0</v>
      </c>
    </row>
    <row r="386" spans="1:17" x14ac:dyDescent="0.25">
      <c r="A386" s="347"/>
      <c r="B386" s="103"/>
      <c r="C386" s="76"/>
      <c r="D386" s="77"/>
      <c r="E386" s="77"/>
      <c r="F386" s="127"/>
      <c r="G386" s="78"/>
      <c r="H386" s="78"/>
      <c r="I386" s="78"/>
      <c r="J386" s="103" t="s">
        <v>124</v>
      </c>
      <c r="K386" s="641" t="s">
        <v>125</v>
      </c>
      <c r="L386" s="651"/>
      <c r="M386" s="651"/>
      <c r="N386" s="68"/>
      <c r="O386" s="61"/>
      <c r="P386" s="61"/>
      <c r="Q386" s="105"/>
    </row>
    <row r="387" spans="1:17" x14ac:dyDescent="0.25">
      <c r="A387" s="347"/>
      <c r="B387" s="103"/>
      <c r="C387" s="76"/>
      <c r="D387" s="77"/>
      <c r="E387" s="77"/>
      <c r="F387" s="127"/>
      <c r="G387" s="78"/>
      <c r="H387" s="78"/>
      <c r="I387" s="78"/>
      <c r="J387" s="103" t="s">
        <v>126</v>
      </c>
      <c r="K387" s="663" t="s">
        <v>127</v>
      </c>
      <c r="L387" s="664"/>
      <c r="M387" s="664"/>
      <c r="N387" s="235"/>
      <c r="O387" s="61"/>
      <c r="P387" s="61"/>
      <c r="Q387" s="105"/>
    </row>
    <row r="388" spans="1:17" x14ac:dyDescent="0.25">
      <c r="A388" s="347"/>
      <c r="B388" s="103"/>
      <c r="C388" s="76"/>
      <c r="D388" s="77"/>
      <c r="E388" s="77"/>
      <c r="F388" s="127"/>
      <c r="G388" s="78"/>
      <c r="H388" s="78"/>
      <c r="I388" s="78"/>
      <c r="J388" s="138" t="s">
        <v>128</v>
      </c>
      <c r="K388" s="649" t="s">
        <v>129</v>
      </c>
      <c r="L388" s="650"/>
      <c r="M388" s="650"/>
      <c r="N388" s="126"/>
      <c r="O388" s="61"/>
      <c r="P388" s="61"/>
      <c r="Q388" s="105"/>
    </row>
    <row r="389" spans="1:17" x14ac:dyDescent="0.25">
      <c r="A389" s="347"/>
      <c r="B389" s="103"/>
      <c r="C389" s="76"/>
      <c r="D389" s="77"/>
      <c r="E389" s="77"/>
      <c r="F389" s="127"/>
      <c r="G389" s="78"/>
      <c r="H389" s="78"/>
      <c r="I389" s="78"/>
      <c r="J389" s="103" t="s">
        <v>130</v>
      </c>
      <c r="K389" s="641" t="s">
        <v>131</v>
      </c>
      <c r="L389" s="651"/>
      <c r="M389" s="651"/>
      <c r="N389" s="68"/>
      <c r="O389" s="61"/>
      <c r="P389" s="61"/>
      <c r="Q389" s="105"/>
    </row>
    <row r="390" spans="1:17" x14ac:dyDescent="0.25">
      <c r="A390" s="347"/>
      <c r="B390" s="103"/>
      <c r="C390" s="76"/>
      <c r="D390" s="77"/>
      <c r="E390" s="77"/>
      <c r="F390" s="127"/>
      <c r="G390" s="78"/>
      <c r="H390" s="78"/>
      <c r="I390" s="78"/>
      <c r="J390" s="103" t="s">
        <v>132</v>
      </c>
      <c r="K390" s="641" t="s">
        <v>133</v>
      </c>
      <c r="L390" s="651"/>
      <c r="M390" s="651"/>
      <c r="N390" s="68"/>
      <c r="O390" s="61"/>
      <c r="P390" s="61"/>
      <c r="Q390" s="105"/>
    </row>
    <row r="391" spans="1:17" x14ac:dyDescent="0.25">
      <c r="A391" s="347"/>
      <c r="B391" s="103"/>
      <c r="C391" s="76"/>
      <c r="D391" s="77"/>
      <c r="E391" s="77"/>
      <c r="F391" s="127"/>
      <c r="G391" s="78"/>
      <c r="H391" s="78"/>
      <c r="I391" s="78"/>
      <c r="J391" s="103" t="s">
        <v>134</v>
      </c>
      <c r="K391" s="641" t="s">
        <v>135</v>
      </c>
      <c r="L391" s="651"/>
      <c r="M391" s="651"/>
      <c r="N391" s="68"/>
      <c r="O391" s="61"/>
      <c r="P391" s="61"/>
      <c r="Q391" s="105"/>
    </row>
    <row r="392" spans="1:17" x14ac:dyDescent="0.25">
      <c r="A392" s="347"/>
      <c r="B392" s="103"/>
      <c r="C392" s="76"/>
      <c r="D392" s="77"/>
      <c r="E392" s="77"/>
      <c r="F392" s="127"/>
      <c r="G392" s="78"/>
      <c r="H392" s="78"/>
      <c r="I392" s="78"/>
      <c r="J392" s="103" t="s">
        <v>136</v>
      </c>
      <c r="K392" s="641" t="s">
        <v>137</v>
      </c>
      <c r="L392" s="651"/>
      <c r="M392" s="651"/>
      <c r="N392" s="68"/>
      <c r="O392" s="61"/>
      <c r="P392" s="61"/>
      <c r="Q392" s="105"/>
    </row>
    <row r="393" spans="1:17" x14ac:dyDescent="0.25">
      <c r="A393" s="347"/>
      <c r="B393" s="103"/>
      <c r="C393" s="76"/>
      <c r="D393" s="77"/>
      <c r="E393" s="77"/>
      <c r="F393" s="127"/>
      <c r="G393" s="78"/>
      <c r="H393" s="78"/>
      <c r="I393" s="78"/>
      <c r="J393" s="138" t="s">
        <v>138</v>
      </c>
      <c r="K393" s="649" t="s">
        <v>139</v>
      </c>
      <c r="L393" s="650"/>
      <c r="M393" s="650"/>
      <c r="N393" s="126"/>
      <c r="O393" s="61"/>
      <c r="P393" s="61"/>
      <c r="Q393" s="105"/>
    </row>
    <row r="394" spans="1:17" x14ac:dyDescent="0.25">
      <c r="A394" s="347"/>
      <c r="B394" s="103"/>
      <c r="C394" s="76"/>
      <c r="D394" s="77"/>
      <c r="E394" s="77"/>
      <c r="F394" s="127"/>
      <c r="G394" s="78"/>
      <c r="H394" s="78"/>
      <c r="I394" s="78"/>
      <c r="J394" s="103" t="s">
        <v>140</v>
      </c>
      <c r="K394" s="641" t="s">
        <v>141</v>
      </c>
      <c r="L394" s="651"/>
      <c r="M394" s="651"/>
      <c r="N394" s="68">
        <v>45618</v>
      </c>
      <c r="O394" s="61">
        <v>263540</v>
      </c>
      <c r="P394" s="61">
        <v>263540</v>
      </c>
      <c r="Q394" s="105">
        <f t="shared" ref="Q394:Q412" si="37">P394/O394*100</f>
        <v>100</v>
      </c>
    </row>
    <row r="395" spans="1:17" x14ac:dyDescent="0.25">
      <c r="A395" s="347"/>
      <c r="B395" s="103"/>
      <c r="C395" s="76"/>
      <c r="D395" s="77"/>
      <c r="E395" s="77"/>
      <c r="F395" s="127"/>
      <c r="G395" s="78"/>
      <c r="H395" s="44"/>
      <c r="I395" s="44"/>
      <c r="J395" s="371"/>
      <c r="K395" s="631" t="s">
        <v>444</v>
      </c>
      <c r="L395" s="632"/>
      <c r="M395" s="632"/>
      <c r="N395" s="68">
        <v>19271</v>
      </c>
      <c r="O395" s="61">
        <v>237193</v>
      </c>
      <c r="P395" s="61">
        <v>237193</v>
      </c>
      <c r="Q395" s="105">
        <f t="shared" si="37"/>
        <v>100</v>
      </c>
    </row>
    <row r="396" spans="1:17" x14ac:dyDescent="0.25">
      <c r="A396" s="347"/>
      <c r="B396" s="103"/>
      <c r="C396" s="76"/>
      <c r="D396" s="77"/>
      <c r="E396" s="77"/>
      <c r="F396" s="127"/>
      <c r="G396" s="78"/>
      <c r="H396" s="44"/>
      <c r="I396" s="44"/>
      <c r="J396" s="120"/>
      <c r="K396" s="631" t="s">
        <v>445</v>
      </c>
      <c r="L396" s="632"/>
      <c r="M396" s="632"/>
      <c r="N396" s="68">
        <v>26347</v>
      </c>
      <c r="O396" s="61">
        <f>O394-O395</f>
        <v>26347</v>
      </c>
      <c r="P396" s="61">
        <f>P394-P395</f>
        <v>26347</v>
      </c>
      <c r="Q396" s="105">
        <f t="shared" si="37"/>
        <v>100</v>
      </c>
    </row>
    <row r="397" spans="1:17" x14ac:dyDescent="0.25">
      <c r="A397" s="347"/>
      <c r="B397" s="103"/>
      <c r="C397" s="325"/>
      <c r="D397" s="330"/>
      <c r="E397" s="330"/>
      <c r="F397" s="127"/>
      <c r="G397" s="78"/>
      <c r="H397" s="78"/>
      <c r="I397" s="78"/>
      <c r="J397" s="103" t="s">
        <v>142</v>
      </c>
      <c r="K397" s="641" t="s">
        <v>143</v>
      </c>
      <c r="L397" s="651"/>
      <c r="M397" s="651"/>
      <c r="N397" s="68"/>
      <c r="O397" s="61"/>
      <c r="P397" s="61"/>
      <c r="Q397" s="105"/>
    </row>
    <row r="398" spans="1:17" x14ac:dyDescent="0.25">
      <c r="A398" s="347"/>
      <c r="B398" s="103"/>
      <c r="C398" s="325"/>
      <c r="D398" s="330"/>
      <c r="E398" s="330"/>
      <c r="F398" s="127"/>
      <c r="G398" s="78"/>
      <c r="H398" s="78"/>
      <c r="I398" s="78"/>
      <c r="J398" s="138" t="s">
        <v>144</v>
      </c>
      <c r="K398" s="649" t="s">
        <v>145</v>
      </c>
      <c r="L398" s="650"/>
      <c r="M398" s="650"/>
      <c r="N398" s="126"/>
      <c r="O398" s="61"/>
      <c r="P398" s="61"/>
      <c r="Q398" s="105"/>
    </row>
    <row r="399" spans="1:17" ht="14.1" customHeight="1" x14ac:dyDescent="0.25">
      <c r="A399" s="347"/>
      <c r="B399" s="103"/>
      <c r="C399" s="325"/>
      <c r="D399" s="330"/>
      <c r="E399" s="330"/>
      <c r="F399" s="127"/>
      <c r="G399" s="78"/>
      <c r="H399" s="78"/>
      <c r="I399" s="78"/>
      <c r="J399" s="103" t="s">
        <v>146</v>
      </c>
      <c r="K399" s="641" t="s">
        <v>147</v>
      </c>
      <c r="L399" s="651"/>
      <c r="M399" s="651"/>
      <c r="N399" s="68"/>
      <c r="O399" s="61"/>
      <c r="P399" s="61">
        <f>SUM(P53)</f>
        <v>35293</v>
      </c>
      <c r="Q399" s="105"/>
    </row>
    <row r="400" spans="1:17" ht="14.1" customHeight="1" x14ac:dyDescent="0.25">
      <c r="A400" s="361"/>
      <c r="B400" s="103"/>
      <c r="C400" s="325"/>
      <c r="D400" s="330"/>
      <c r="E400" s="330"/>
      <c r="F400" s="127"/>
      <c r="G400" s="218"/>
      <c r="H400" s="218"/>
      <c r="I400" s="218"/>
      <c r="J400" s="103" t="s">
        <v>148</v>
      </c>
      <c r="K400" s="641" t="s">
        <v>149</v>
      </c>
      <c r="L400" s="651"/>
      <c r="M400" s="651"/>
      <c r="N400" s="68"/>
      <c r="O400" s="61"/>
      <c r="P400" s="61"/>
      <c r="Q400" s="105"/>
    </row>
    <row r="401" spans="1:17" x14ac:dyDescent="0.25">
      <c r="A401" s="133"/>
      <c r="B401" s="103"/>
      <c r="C401" s="325"/>
      <c r="D401" s="330"/>
      <c r="E401" s="330"/>
      <c r="F401" s="127"/>
      <c r="G401" s="218"/>
      <c r="H401" s="218"/>
      <c r="I401" s="218"/>
      <c r="J401" s="103" t="s">
        <v>150</v>
      </c>
      <c r="K401" s="641" t="s">
        <v>151</v>
      </c>
      <c r="L401" s="651"/>
      <c r="M401" s="651"/>
      <c r="N401" s="68"/>
      <c r="O401" s="61"/>
      <c r="P401" s="61"/>
      <c r="Q401" s="105"/>
    </row>
    <row r="402" spans="1:17" x14ac:dyDescent="0.25">
      <c r="A402" s="372"/>
      <c r="B402" s="115"/>
      <c r="C402" s="373"/>
      <c r="D402" s="374"/>
      <c r="E402" s="374"/>
      <c r="F402" s="73"/>
      <c r="G402" s="375"/>
      <c r="H402" s="375"/>
      <c r="I402" s="375"/>
      <c r="J402" s="115" t="s">
        <v>152</v>
      </c>
      <c r="K402" s="76" t="s">
        <v>153</v>
      </c>
      <c r="L402" s="77"/>
      <c r="M402" s="77"/>
      <c r="N402" s="65"/>
      <c r="O402" s="132"/>
      <c r="P402" s="132"/>
      <c r="Q402" s="105"/>
    </row>
    <row r="403" spans="1:17" x14ac:dyDescent="0.25">
      <c r="A403" s="372"/>
      <c r="B403" s="115"/>
      <c r="C403" s="373"/>
      <c r="D403" s="374"/>
      <c r="E403" s="374"/>
      <c r="F403" s="73"/>
      <c r="G403" s="375"/>
      <c r="H403" s="375"/>
      <c r="I403" s="375"/>
      <c r="J403" s="115"/>
      <c r="K403" s="76" t="s">
        <v>154</v>
      </c>
      <c r="L403" s="77"/>
      <c r="M403" s="77"/>
      <c r="N403" s="65"/>
      <c r="O403" s="132"/>
      <c r="P403" s="132"/>
      <c r="Q403" s="105"/>
    </row>
    <row r="404" spans="1:17" x14ac:dyDescent="0.25">
      <c r="A404" s="372"/>
      <c r="B404" s="115"/>
      <c r="C404" s="373"/>
      <c r="D404" s="374"/>
      <c r="E404" s="374"/>
      <c r="F404" s="73"/>
      <c r="G404" s="375"/>
      <c r="H404" s="375"/>
      <c r="I404" s="375"/>
      <c r="J404" s="115"/>
      <c r="K404" s="76" t="s">
        <v>155</v>
      </c>
      <c r="L404" s="77"/>
      <c r="M404" s="77"/>
      <c r="N404" s="65"/>
      <c r="O404" s="132"/>
      <c r="P404" s="132"/>
      <c r="Q404" s="105"/>
    </row>
    <row r="405" spans="1:17" x14ac:dyDescent="0.25">
      <c r="A405" s="372"/>
      <c r="B405" s="115"/>
      <c r="C405" s="373"/>
      <c r="D405" s="374"/>
      <c r="E405" s="374"/>
      <c r="F405" s="73"/>
      <c r="G405" s="375"/>
      <c r="H405" s="375"/>
      <c r="I405" s="375"/>
      <c r="J405" s="376" t="s">
        <v>156</v>
      </c>
      <c r="K405" s="649" t="s">
        <v>157</v>
      </c>
      <c r="L405" s="650"/>
      <c r="M405" s="650"/>
      <c r="N405" s="141"/>
      <c r="O405" s="132"/>
      <c r="P405" s="132"/>
      <c r="Q405" s="105"/>
    </row>
    <row r="406" spans="1:17" x14ac:dyDescent="0.25">
      <c r="A406" s="372"/>
      <c r="B406" s="115"/>
      <c r="C406" s="373"/>
      <c r="D406" s="374"/>
      <c r="E406" s="374"/>
      <c r="F406" s="73"/>
      <c r="G406" s="375"/>
      <c r="H406" s="375"/>
      <c r="I406" s="375"/>
      <c r="J406" s="115" t="s">
        <v>158</v>
      </c>
      <c r="K406" s="641" t="s">
        <v>159</v>
      </c>
      <c r="L406" s="651"/>
      <c r="M406" s="651"/>
      <c r="N406" s="65"/>
      <c r="O406" s="132"/>
      <c r="P406" s="132"/>
      <c r="Q406" s="105"/>
    </row>
    <row r="407" spans="1:17" x14ac:dyDescent="0.25">
      <c r="A407" s="372"/>
      <c r="B407" s="115"/>
      <c r="C407" s="373"/>
      <c r="D407" s="374"/>
      <c r="E407" s="374"/>
      <c r="F407" s="73"/>
      <c r="G407" s="375"/>
      <c r="H407" s="375"/>
      <c r="I407" s="375"/>
      <c r="J407" s="115" t="s">
        <v>160</v>
      </c>
      <c r="K407" s="641" t="s">
        <v>161</v>
      </c>
      <c r="L407" s="651"/>
      <c r="M407" s="651"/>
      <c r="N407" s="65"/>
      <c r="O407" s="132"/>
      <c r="P407" s="132"/>
      <c r="Q407" s="105"/>
    </row>
    <row r="408" spans="1:17" x14ac:dyDescent="0.25">
      <c r="A408" s="372"/>
      <c r="B408" s="115"/>
      <c r="C408" s="373"/>
      <c r="D408" s="374"/>
      <c r="E408" s="374"/>
      <c r="F408" s="73"/>
      <c r="G408" s="375"/>
      <c r="H408" s="375"/>
      <c r="I408" s="375"/>
      <c r="J408" s="115" t="s">
        <v>162</v>
      </c>
      <c r="K408" s="641" t="s">
        <v>163</v>
      </c>
      <c r="L408" s="651"/>
      <c r="M408" s="651"/>
      <c r="N408" s="65"/>
      <c r="O408" s="132"/>
      <c r="P408" s="132"/>
      <c r="Q408" s="105"/>
    </row>
    <row r="409" spans="1:17" x14ac:dyDescent="0.25">
      <c r="A409" s="372"/>
      <c r="B409" s="115"/>
      <c r="C409" s="373"/>
      <c r="D409" s="374"/>
      <c r="E409" s="374"/>
      <c r="F409" s="73"/>
      <c r="G409" s="375"/>
      <c r="H409" s="375"/>
      <c r="I409" s="375"/>
      <c r="J409" s="115" t="s">
        <v>164</v>
      </c>
      <c r="K409" s="641" t="s">
        <v>165</v>
      </c>
      <c r="L409" s="651"/>
      <c r="M409" s="651"/>
      <c r="N409" s="65"/>
      <c r="O409" s="132"/>
      <c r="P409" s="132"/>
      <c r="Q409" s="105"/>
    </row>
    <row r="410" spans="1:17" ht="16.5" thickBot="1" x14ac:dyDescent="0.3">
      <c r="A410" s="372"/>
      <c r="B410" s="115"/>
      <c r="C410" s="373"/>
      <c r="D410" s="374"/>
      <c r="E410" s="374"/>
      <c r="F410" s="73"/>
      <c r="G410" s="375"/>
      <c r="H410" s="375"/>
      <c r="I410" s="375"/>
      <c r="J410" s="376" t="s">
        <v>166</v>
      </c>
      <c r="K410" s="649" t="s">
        <v>167</v>
      </c>
      <c r="L410" s="650"/>
      <c r="M410" s="650"/>
      <c r="N410" s="297"/>
      <c r="O410" s="117"/>
      <c r="P410" s="117"/>
      <c r="Q410" s="118"/>
    </row>
    <row r="411" spans="1:17" ht="16.5" thickBot="1" x14ac:dyDescent="0.3">
      <c r="A411" s="372"/>
      <c r="B411" s="115"/>
      <c r="C411" s="373"/>
      <c r="D411" s="374"/>
      <c r="E411" s="374"/>
      <c r="F411" s="73"/>
      <c r="G411" s="375"/>
      <c r="H411" s="377"/>
      <c r="I411" s="377"/>
      <c r="J411" s="361" t="s">
        <v>168</v>
      </c>
      <c r="K411" s="378"/>
      <c r="L411" s="379"/>
      <c r="M411" s="379"/>
      <c r="N411" s="297">
        <f>SUM(N394,N383)</f>
        <v>45618</v>
      </c>
      <c r="O411" s="338">
        <f>SUM(O394,O383)</f>
        <v>388540</v>
      </c>
      <c r="P411" s="338">
        <f>SUM(P394,P383)</f>
        <v>263540</v>
      </c>
      <c r="Q411" s="118">
        <f t="shared" si="37"/>
        <v>67.828280228547897</v>
      </c>
    </row>
    <row r="412" spans="1:17" ht="16.5" thickBot="1" x14ac:dyDescent="0.3">
      <c r="A412" s="728" t="s">
        <v>358</v>
      </c>
      <c r="B412" s="729"/>
      <c r="C412" s="729"/>
      <c r="D412" s="729"/>
      <c r="E412" s="730"/>
      <c r="F412" s="170">
        <f>SUM(F359,F358)</f>
        <v>2850788</v>
      </c>
      <c r="G412" s="171">
        <f>SUM(G359,G358)</f>
        <v>3995051</v>
      </c>
      <c r="H412" s="171">
        <f>SUM(H359,H358)</f>
        <v>3407550</v>
      </c>
      <c r="I412" s="380">
        <f>H412/G412*100</f>
        <v>85.294280348361013</v>
      </c>
      <c r="J412" s="381" t="s">
        <v>359</v>
      </c>
      <c r="K412" s="381"/>
      <c r="L412" s="381"/>
      <c r="M412" s="382"/>
      <c r="N412" s="95">
        <f>SUM(N411,N379)</f>
        <v>2952578</v>
      </c>
      <c r="O412" s="121">
        <f>O379+O411</f>
        <v>4109178</v>
      </c>
      <c r="P412" s="121">
        <f>P379+P411</f>
        <v>3656695</v>
      </c>
      <c r="Q412" s="327">
        <f t="shared" si="37"/>
        <v>88.988478960999018</v>
      </c>
    </row>
    <row r="413" spans="1:17" s="186" customFormat="1" x14ac:dyDescent="0.25">
      <c r="A413" s="383"/>
      <c r="B413" s="384"/>
      <c r="C413" s="384"/>
      <c r="D413" s="384"/>
      <c r="E413" s="384"/>
      <c r="F413" s="214"/>
      <c r="G413" s="377"/>
      <c r="H413" s="377"/>
      <c r="I413" s="377"/>
      <c r="J413" s="384"/>
      <c r="K413" s="384"/>
      <c r="L413" s="384"/>
      <c r="M413" s="384"/>
      <c r="N413" s="214"/>
      <c r="O413" s="385"/>
      <c r="P413" s="386"/>
      <c r="Q413" s="387"/>
    </row>
    <row r="414" spans="1:17" s="186" customFormat="1" ht="16.5" thickBot="1" x14ac:dyDescent="0.3">
      <c r="A414" s="383"/>
      <c r="B414" s="384"/>
      <c r="C414" s="384"/>
      <c r="D414" s="384"/>
      <c r="E414" s="384"/>
      <c r="F414" s="214"/>
      <c r="G414" s="377"/>
      <c r="H414" s="377"/>
      <c r="I414" s="377"/>
      <c r="J414" s="384"/>
      <c r="K414" s="384"/>
      <c r="L414" s="384"/>
      <c r="M414" s="384"/>
      <c r="N414" s="214"/>
      <c r="O414" s="385"/>
      <c r="P414" s="388"/>
      <c r="Q414" s="389"/>
    </row>
    <row r="415" spans="1:17" ht="27.75" customHeight="1" x14ac:dyDescent="0.25">
      <c r="A415" s="390"/>
      <c r="B415" s="391" t="s">
        <v>361</v>
      </c>
      <c r="C415" s="392"/>
      <c r="D415" s="392"/>
      <c r="E415" s="393"/>
      <c r="F415" s="394"/>
      <c r="G415" s="395"/>
      <c r="H415" s="395"/>
      <c r="I415" s="395"/>
      <c r="J415" s="391" t="s">
        <v>362</v>
      </c>
      <c r="K415" s="396"/>
      <c r="L415" s="396"/>
      <c r="M415" s="397"/>
      <c r="N415" s="301"/>
      <c r="O415" s="398"/>
      <c r="P415" s="54"/>
      <c r="Q415" s="55"/>
    </row>
    <row r="416" spans="1:17" ht="14.1" customHeight="1" x14ac:dyDescent="0.25">
      <c r="A416" s="42" t="s">
        <v>227</v>
      </c>
      <c r="B416" s="720" t="s">
        <v>363</v>
      </c>
      <c r="C416" s="721"/>
      <c r="D416" s="721"/>
      <c r="E416" s="721"/>
      <c r="F416" s="43"/>
      <c r="G416" s="44"/>
      <c r="H416" s="45"/>
      <c r="I416" s="45"/>
      <c r="J416" s="720" t="s">
        <v>363</v>
      </c>
      <c r="K416" s="721"/>
      <c r="L416" s="721"/>
      <c r="M416" s="721"/>
      <c r="N416" s="46"/>
      <c r="O416" s="47"/>
      <c r="P416" s="40"/>
      <c r="Q416" s="41"/>
    </row>
    <row r="417" spans="1:17" ht="14.1" customHeight="1" x14ac:dyDescent="0.25">
      <c r="A417" s="50"/>
      <c r="B417" s="722"/>
      <c r="C417" s="723"/>
      <c r="D417" s="723"/>
      <c r="E417" s="723"/>
      <c r="F417" s="51"/>
      <c r="G417" s="52"/>
      <c r="H417" s="53"/>
      <c r="I417" s="53"/>
      <c r="J417" s="722"/>
      <c r="K417" s="723"/>
      <c r="L417" s="723"/>
      <c r="M417" s="723"/>
      <c r="N417" s="46"/>
      <c r="O417" s="47"/>
      <c r="P417" s="48"/>
      <c r="Q417" s="49"/>
    </row>
    <row r="418" spans="1:17" ht="25.5" customHeight="1" x14ac:dyDescent="0.25">
      <c r="A418" s="50"/>
      <c r="B418" s="724"/>
      <c r="C418" s="725"/>
      <c r="D418" s="725"/>
      <c r="E418" s="725"/>
      <c r="F418" s="51"/>
      <c r="G418" s="52"/>
      <c r="H418" s="53"/>
      <c r="I418" s="53"/>
      <c r="J418" s="724"/>
      <c r="K418" s="725"/>
      <c r="L418" s="725"/>
      <c r="M418" s="725"/>
      <c r="N418" s="46"/>
      <c r="O418" s="47"/>
      <c r="P418" s="54"/>
      <c r="Q418" s="55"/>
    </row>
    <row r="419" spans="1:17" ht="14.1" customHeight="1" x14ac:dyDescent="0.25">
      <c r="A419" s="50"/>
      <c r="B419" s="56" t="s">
        <v>171</v>
      </c>
      <c r="C419" s="57"/>
      <c r="D419" s="58"/>
      <c r="E419" s="58"/>
      <c r="F419" s="59"/>
      <c r="G419" s="44"/>
      <c r="H419" s="45"/>
      <c r="I419" s="45"/>
      <c r="J419" s="716" t="s">
        <v>364</v>
      </c>
      <c r="K419" s="717"/>
      <c r="L419" s="717"/>
      <c r="M419" s="717"/>
      <c r="N419" s="60"/>
      <c r="O419" s="61"/>
      <c r="P419" s="62"/>
      <c r="Q419" s="63"/>
    </row>
    <row r="420" spans="1:17" ht="14.1" customHeight="1" x14ac:dyDescent="0.25">
      <c r="A420" s="50"/>
      <c r="B420" s="64" t="s">
        <v>172</v>
      </c>
      <c r="C420" s="631" t="s">
        <v>173</v>
      </c>
      <c r="D420" s="632"/>
      <c r="E420" s="632"/>
      <c r="F420" s="65">
        <v>24403</v>
      </c>
      <c r="G420" s="44">
        <v>33023</v>
      </c>
      <c r="H420" s="44">
        <v>32261</v>
      </c>
      <c r="I420" s="66">
        <f>H420/G420*100</f>
        <v>97.692517336401892</v>
      </c>
      <c r="J420" s="399" t="s">
        <v>285</v>
      </c>
      <c r="K420" s="72" t="s">
        <v>33</v>
      </c>
      <c r="L420" s="72"/>
      <c r="M420" s="72"/>
      <c r="N420" s="65">
        <v>19069</v>
      </c>
      <c r="O420" s="61">
        <v>53062</v>
      </c>
      <c r="P420" s="62">
        <v>26948</v>
      </c>
      <c r="Q420" s="105">
        <f>P420/O420*100</f>
        <v>50.785873129546566</v>
      </c>
    </row>
    <row r="421" spans="1:17" ht="14.1" customHeight="1" x14ac:dyDescent="0.25">
      <c r="A421" s="50"/>
      <c r="B421" s="64" t="s">
        <v>174</v>
      </c>
      <c r="C421" s="63" t="s">
        <v>175</v>
      </c>
      <c r="D421" s="69"/>
      <c r="E421" s="70"/>
      <c r="F421" s="65">
        <v>6423</v>
      </c>
      <c r="G421" s="44">
        <v>8735</v>
      </c>
      <c r="H421" s="44">
        <v>8250</v>
      </c>
      <c r="I421" s="66">
        <f t="shared" ref="I421:I430" si="38">H421/G421*100</f>
        <v>94.447624499141384</v>
      </c>
      <c r="J421" s="67"/>
      <c r="K421" s="72" t="s">
        <v>365</v>
      </c>
      <c r="L421" s="72"/>
      <c r="M421" s="72"/>
      <c r="N421" s="400">
        <v>19069</v>
      </c>
      <c r="O421" s="401">
        <v>53062</v>
      </c>
      <c r="P421" s="189">
        <v>26948</v>
      </c>
      <c r="Q421" s="105">
        <f t="shared" ref="Q421:Q430" si="39">P421/O421*100</f>
        <v>50.785873129546566</v>
      </c>
    </row>
    <row r="422" spans="1:17" ht="14.1" customHeight="1" x14ac:dyDescent="0.25">
      <c r="A422" s="50"/>
      <c r="B422" s="75"/>
      <c r="C422" s="63"/>
      <c r="D422" s="69"/>
      <c r="E422" s="70"/>
      <c r="F422" s="65"/>
      <c r="G422" s="44"/>
      <c r="H422" s="44"/>
      <c r="I422" s="66"/>
      <c r="J422" s="138" t="s">
        <v>61</v>
      </c>
      <c r="K422" s="139" t="s">
        <v>62</v>
      </c>
      <c r="L422" s="72"/>
      <c r="M422" s="72"/>
      <c r="N422" s="65"/>
      <c r="O422" s="132"/>
      <c r="P422" s="164"/>
      <c r="Q422" s="105"/>
    </row>
    <row r="423" spans="1:17" ht="14.1" customHeight="1" x14ac:dyDescent="0.25">
      <c r="A423" s="50"/>
      <c r="B423" s="75"/>
      <c r="C423" s="63"/>
      <c r="D423" s="69"/>
      <c r="E423" s="70"/>
      <c r="F423" s="65"/>
      <c r="G423" s="44"/>
      <c r="H423" s="44"/>
      <c r="I423" s="66"/>
      <c r="J423" s="103" t="s">
        <v>77</v>
      </c>
      <c r="K423" s="106" t="s">
        <v>78</v>
      </c>
      <c r="L423" s="72"/>
      <c r="M423" s="72"/>
      <c r="N423" s="65"/>
      <c r="O423" s="132"/>
      <c r="P423" s="164">
        <v>19</v>
      </c>
      <c r="Q423" s="105"/>
    </row>
    <row r="424" spans="1:17" ht="14.1" customHeight="1" x14ac:dyDescent="0.25">
      <c r="A424" s="50"/>
      <c r="B424" s="75" t="s">
        <v>251</v>
      </c>
      <c r="C424" s="640" t="s">
        <v>177</v>
      </c>
      <c r="D424" s="640"/>
      <c r="E424" s="641"/>
      <c r="F424" s="127">
        <v>9251</v>
      </c>
      <c r="G424" s="78">
        <v>34099</v>
      </c>
      <c r="H424" s="78">
        <v>33551</v>
      </c>
      <c r="I424" s="66">
        <f t="shared" si="38"/>
        <v>98.392914748233082</v>
      </c>
      <c r="J424" s="138" t="s">
        <v>97</v>
      </c>
      <c r="K424" s="726" t="s">
        <v>98</v>
      </c>
      <c r="L424" s="727"/>
      <c r="M424" s="727"/>
      <c r="N424" s="402"/>
      <c r="O424" s="61"/>
      <c r="P424" s="62"/>
      <c r="Q424" s="105"/>
    </row>
    <row r="425" spans="1:17" ht="14.1" customHeight="1" thickBot="1" x14ac:dyDescent="0.3">
      <c r="A425" s="50"/>
      <c r="B425" s="75" t="s">
        <v>188</v>
      </c>
      <c r="C425" s="106" t="s">
        <v>366</v>
      </c>
      <c r="D425" s="110"/>
      <c r="E425" s="110"/>
      <c r="F425" s="113">
        <v>2000</v>
      </c>
      <c r="G425" s="114">
        <v>2000</v>
      </c>
      <c r="H425" s="114">
        <v>1922</v>
      </c>
      <c r="I425" s="86">
        <f t="shared" si="38"/>
        <v>96.1</v>
      </c>
      <c r="J425" s="75" t="s">
        <v>103</v>
      </c>
      <c r="K425" s="83" t="s">
        <v>104</v>
      </c>
      <c r="L425" s="110"/>
      <c r="M425" s="110"/>
      <c r="N425" s="68"/>
      <c r="O425" s="61">
        <v>1890</v>
      </c>
      <c r="P425" s="62">
        <v>1890</v>
      </c>
      <c r="Q425" s="105">
        <f t="shared" si="39"/>
        <v>100</v>
      </c>
    </row>
    <row r="426" spans="1:17" ht="14.1" customHeight="1" thickBot="1" x14ac:dyDescent="0.3">
      <c r="A426" s="50"/>
      <c r="B426" s="75"/>
      <c r="C426" s="83" t="s">
        <v>367</v>
      </c>
      <c r="D426" s="110"/>
      <c r="E426" s="110"/>
      <c r="F426" s="93">
        <f>SUM(F420:F425)</f>
        <v>42077</v>
      </c>
      <c r="G426" s="94">
        <f>SUM(G420:G425)</f>
        <v>77857</v>
      </c>
      <c r="H426" s="94">
        <f>SUM(H420:H425)</f>
        <v>75984</v>
      </c>
      <c r="I426" s="86">
        <f t="shared" si="38"/>
        <v>97.594307512490857</v>
      </c>
      <c r="J426" s="716" t="s">
        <v>242</v>
      </c>
      <c r="K426" s="717"/>
      <c r="L426" s="717"/>
      <c r="M426" s="717"/>
      <c r="N426" s="60"/>
      <c r="O426" s="61"/>
      <c r="P426" s="62"/>
      <c r="Q426" s="105"/>
    </row>
    <row r="427" spans="1:17" ht="14.1" customHeight="1" x14ac:dyDescent="0.25">
      <c r="A427" s="50"/>
      <c r="B427" s="144" t="s">
        <v>205</v>
      </c>
      <c r="C427" s="102"/>
      <c r="D427" s="110"/>
      <c r="E427" s="110"/>
      <c r="F427" s="81"/>
      <c r="G427" s="205"/>
      <c r="H427" s="99"/>
      <c r="I427" s="289"/>
      <c r="J427" s="399" t="s">
        <v>243</v>
      </c>
      <c r="K427" s="72" t="s">
        <v>141</v>
      </c>
      <c r="L427" s="72"/>
      <c r="M427" s="72"/>
      <c r="N427" s="65">
        <v>10280</v>
      </c>
      <c r="O427" s="61">
        <v>10280</v>
      </c>
      <c r="P427" s="62"/>
      <c r="Q427" s="105">
        <f t="shared" si="39"/>
        <v>0</v>
      </c>
    </row>
    <row r="428" spans="1:17" ht="14.1" customHeight="1" x14ac:dyDescent="0.25">
      <c r="A428" s="50"/>
      <c r="B428" s="64" t="s">
        <v>38</v>
      </c>
      <c r="C428" s="83" t="s">
        <v>206</v>
      </c>
      <c r="D428" s="110"/>
      <c r="E428" s="110"/>
      <c r="F428" s="68"/>
      <c r="G428" s="78">
        <v>1016</v>
      </c>
      <c r="H428" s="78">
        <v>1016</v>
      </c>
      <c r="I428" s="66">
        <f t="shared" si="38"/>
        <v>100</v>
      </c>
      <c r="J428" s="67"/>
      <c r="K428" s="72"/>
      <c r="L428" s="72"/>
      <c r="M428" s="72"/>
      <c r="N428" s="65"/>
      <c r="O428" s="61"/>
      <c r="P428" s="62"/>
      <c r="Q428" s="105"/>
    </row>
    <row r="429" spans="1:17" ht="14.1" customHeight="1" thickBot="1" x14ac:dyDescent="0.3">
      <c r="A429" s="50"/>
      <c r="B429" s="64"/>
      <c r="C429" s="83" t="s">
        <v>277</v>
      </c>
      <c r="D429" s="110"/>
      <c r="E429" s="110"/>
      <c r="F429" s="116"/>
      <c r="G429" s="259">
        <v>1016</v>
      </c>
      <c r="H429" s="259">
        <v>1016</v>
      </c>
      <c r="I429" s="86">
        <f t="shared" si="38"/>
        <v>100</v>
      </c>
      <c r="J429" s="67"/>
      <c r="K429" s="72"/>
      <c r="L429" s="72"/>
      <c r="M429" s="72"/>
      <c r="N429" s="89"/>
      <c r="O429" s="90"/>
      <c r="P429" s="91"/>
      <c r="Q429" s="118"/>
    </row>
    <row r="430" spans="1:17" ht="14.1" customHeight="1" thickBot="1" x14ac:dyDescent="0.3">
      <c r="A430" s="50"/>
      <c r="B430" s="221"/>
      <c r="C430" s="631" t="s">
        <v>247</v>
      </c>
      <c r="D430" s="632"/>
      <c r="E430" s="632"/>
      <c r="F430" s="95">
        <f>SUM(F426)</f>
        <v>42077</v>
      </c>
      <c r="G430" s="94">
        <f>SUM(G428,G426)</f>
        <v>78873</v>
      </c>
      <c r="H430" s="94">
        <f>SUM(H428,H426)</f>
        <v>77000</v>
      </c>
      <c r="I430" s="86">
        <f t="shared" si="38"/>
        <v>97.625296362506816</v>
      </c>
      <c r="J430" s="67"/>
      <c r="K430" s="83" t="s">
        <v>248</v>
      </c>
      <c r="L430" s="72"/>
      <c r="M430" s="72"/>
      <c r="N430" s="95">
        <f>SUM(N427:N429,N420)</f>
        <v>29349</v>
      </c>
      <c r="O430" s="121">
        <f>SUM(O425,O420,O427)</f>
        <v>65232</v>
      </c>
      <c r="P430" s="96">
        <f>SUM(P422:P429,P420)</f>
        <v>28857</v>
      </c>
      <c r="Q430" s="118">
        <f t="shared" si="39"/>
        <v>44.237490802060336</v>
      </c>
    </row>
    <row r="431" spans="1:17" ht="14.1" customHeight="1" x14ac:dyDescent="0.25">
      <c r="A431" s="213" t="s">
        <v>36</v>
      </c>
      <c r="B431" s="692" t="s">
        <v>256</v>
      </c>
      <c r="C431" s="693"/>
      <c r="D431" s="693"/>
      <c r="E431" s="693"/>
      <c r="F431" s="214"/>
      <c r="G431" s="215"/>
      <c r="H431" s="216"/>
      <c r="I431" s="216"/>
      <c r="J431" s="692" t="s">
        <v>256</v>
      </c>
      <c r="K431" s="693"/>
      <c r="L431" s="693"/>
      <c r="M431" s="693"/>
      <c r="N431" s="123"/>
      <c r="O431" s="217"/>
      <c r="P431" s="54"/>
      <c r="Q431" s="55"/>
    </row>
    <row r="432" spans="1:17" ht="14.1" customHeight="1" x14ac:dyDescent="0.25">
      <c r="A432" s="50"/>
      <c r="B432" s="221"/>
      <c r="C432" s="124"/>
      <c r="D432" s="124"/>
      <c r="E432" s="124"/>
      <c r="F432" s="111"/>
      <c r="G432" s="215"/>
      <c r="H432" s="215"/>
      <c r="I432" s="215"/>
      <c r="J432" s="125" t="s">
        <v>257</v>
      </c>
      <c r="K432" s="718" t="s">
        <v>9</v>
      </c>
      <c r="L432" s="719"/>
      <c r="M432" s="719"/>
      <c r="N432" s="123"/>
      <c r="O432" s="217"/>
      <c r="P432" s="62"/>
      <c r="Q432" s="63"/>
    </row>
    <row r="433" spans="1:18" ht="14.1" customHeight="1" x14ac:dyDescent="0.25">
      <c r="A433" s="50"/>
      <c r="B433" s="221"/>
      <c r="C433" s="124"/>
      <c r="D433" s="124"/>
      <c r="E433" s="124"/>
      <c r="F433" s="111"/>
      <c r="G433" s="215"/>
      <c r="H433" s="215"/>
      <c r="I433" s="215"/>
      <c r="J433" s="64" t="s">
        <v>14</v>
      </c>
      <c r="K433" s="666" t="s">
        <v>263</v>
      </c>
      <c r="L433" s="667"/>
      <c r="M433" s="667"/>
      <c r="N433" s="403"/>
      <c r="O433" s="82">
        <v>11287</v>
      </c>
      <c r="P433" s="62">
        <v>11287</v>
      </c>
      <c r="Q433" s="105">
        <f>P433/O433*100</f>
        <v>100</v>
      </c>
    </row>
    <row r="434" spans="1:18" ht="14.1" customHeight="1" thickBot="1" x14ac:dyDescent="0.3">
      <c r="A434" s="50"/>
      <c r="B434" s="221"/>
      <c r="C434" s="124"/>
      <c r="D434" s="124"/>
      <c r="E434" s="124"/>
      <c r="F434" s="111"/>
      <c r="G434" s="215"/>
      <c r="H434" s="216"/>
      <c r="I434" s="216"/>
      <c r="J434" s="75" t="s">
        <v>264</v>
      </c>
      <c r="K434" s="83" t="s">
        <v>19</v>
      </c>
      <c r="L434" s="110"/>
      <c r="M434" s="110"/>
      <c r="N434" s="89"/>
      <c r="O434" s="90">
        <v>104</v>
      </c>
      <c r="P434" s="91">
        <v>104</v>
      </c>
      <c r="Q434" s="118">
        <f t="shared" ref="Q434:Q435" si="40">P434/O434*100</f>
        <v>100</v>
      </c>
    </row>
    <row r="435" spans="1:18" ht="14.1" customHeight="1" thickBot="1" x14ac:dyDescent="0.3">
      <c r="A435" s="50"/>
      <c r="B435" s="221"/>
      <c r="C435" s="124"/>
      <c r="D435" s="124"/>
      <c r="E435" s="124"/>
      <c r="F435" s="111"/>
      <c r="G435" s="215"/>
      <c r="H435" s="216"/>
      <c r="I435" s="216"/>
      <c r="J435" s="221"/>
      <c r="K435" s="83" t="s">
        <v>248</v>
      </c>
      <c r="L435" s="72"/>
      <c r="M435" s="72"/>
      <c r="N435" s="89"/>
      <c r="O435" s="121">
        <f>SUM(O433:O434)</f>
        <v>11391</v>
      </c>
      <c r="P435" s="121">
        <f>SUM(P433:P434)</f>
        <v>11391</v>
      </c>
      <c r="Q435" s="118">
        <f t="shared" si="40"/>
        <v>100</v>
      </c>
      <c r="R435" s="349"/>
    </row>
    <row r="436" spans="1:18" ht="14.1" customHeight="1" x14ac:dyDescent="0.25">
      <c r="A436" s="213" t="s">
        <v>49</v>
      </c>
      <c r="B436" s="404" t="s">
        <v>274</v>
      </c>
      <c r="C436" s="405"/>
      <c r="D436" s="406"/>
      <c r="E436" s="406"/>
      <c r="F436" s="111"/>
      <c r="G436" s="215"/>
      <c r="H436" s="216"/>
      <c r="I436" s="216"/>
      <c r="J436" s="404" t="s">
        <v>274</v>
      </c>
      <c r="K436" s="405"/>
      <c r="L436" s="406"/>
      <c r="M436" s="406"/>
      <c r="N436" s="111"/>
      <c r="O436" s="47"/>
      <c r="P436" s="54"/>
      <c r="Q436" s="55"/>
      <c r="R436" s="349"/>
    </row>
    <row r="437" spans="1:18" ht="14.1" customHeight="1" x14ac:dyDescent="0.25">
      <c r="A437" s="50"/>
      <c r="B437" s="221"/>
      <c r="C437" s="124"/>
      <c r="D437" s="124"/>
      <c r="E437" s="124"/>
      <c r="F437" s="111"/>
      <c r="G437" s="215"/>
      <c r="H437" s="216"/>
      <c r="I437" s="216"/>
      <c r="J437" s="163" t="s">
        <v>114</v>
      </c>
      <c r="K437" s="649" t="s">
        <v>115</v>
      </c>
      <c r="L437" s="650"/>
      <c r="M437" s="650"/>
      <c r="N437" s="68"/>
      <c r="O437" s="164"/>
      <c r="P437" s="62"/>
      <c r="Q437" s="55"/>
      <c r="R437" s="349"/>
    </row>
    <row r="438" spans="1:18" ht="14.1" customHeight="1" x14ac:dyDescent="0.25">
      <c r="A438" s="50"/>
      <c r="B438" s="221"/>
      <c r="C438" s="124"/>
      <c r="D438" s="124"/>
      <c r="E438" s="124"/>
      <c r="F438" s="111"/>
      <c r="G438" s="215"/>
      <c r="H438" s="216"/>
      <c r="I438" s="216"/>
      <c r="J438" s="167" t="s">
        <v>138</v>
      </c>
      <c r="K438" s="649" t="s">
        <v>139</v>
      </c>
      <c r="L438" s="650"/>
      <c r="M438" s="650"/>
      <c r="N438" s="81"/>
      <c r="O438" s="168"/>
      <c r="P438" s="62"/>
      <c r="Q438" s="55"/>
      <c r="R438" s="349"/>
    </row>
    <row r="439" spans="1:18" ht="14.1" customHeight="1" thickBot="1" x14ac:dyDescent="0.3">
      <c r="A439" s="50"/>
      <c r="B439" s="221"/>
      <c r="C439" s="124"/>
      <c r="D439" s="124"/>
      <c r="E439" s="124"/>
      <c r="F439" s="111"/>
      <c r="G439" s="215"/>
      <c r="H439" s="216"/>
      <c r="I439" s="216"/>
      <c r="J439" s="169" t="s">
        <v>140</v>
      </c>
      <c r="K439" s="641" t="s">
        <v>141</v>
      </c>
      <c r="L439" s="651"/>
      <c r="M439" s="651"/>
      <c r="N439" s="89"/>
      <c r="O439" s="90"/>
      <c r="P439" s="91">
        <v>10280</v>
      </c>
      <c r="Q439" s="97"/>
      <c r="R439" s="349"/>
    </row>
    <row r="440" spans="1:18" ht="14.1" customHeight="1" thickBot="1" x14ac:dyDescent="0.3">
      <c r="A440" s="50"/>
      <c r="B440" s="221"/>
      <c r="C440" s="124"/>
      <c r="D440" s="124"/>
      <c r="E440" s="124"/>
      <c r="F440" s="111"/>
      <c r="G440" s="215"/>
      <c r="H440" s="216"/>
      <c r="I440" s="216"/>
      <c r="J440" s="172"/>
      <c r="K440" s="631" t="s">
        <v>248</v>
      </c>
      <c r="L440" s="632"/>
      <c r="M440" s="632"/>
      <c r="N440" s="89"/>
      <c r="O440" s="90"/>
      <c r="P440" s="122">
        <f>SUM(P439)</f>
        <v>10280</v>
      </c>
      <c r="Q440" s="97"/>
      <c r="R440" s="349"/>
    </row>
    <row r="441" spans="1:18" ht="14.1" customHeight="1" x14ac:dyDescent="0.25">
      <c r="A441" s="42" t="s">
        <v>61</v>
      </c>
      <c r="B441" s="696" t="s">
        <v>368</v>
      </c>
      <c r="C441" s="697"/>
      <c r="D441" s="697"/>
      <c r="E441" s="697"/>
      <c r="F441" s="123"/>
      <c r="G441" s="99"/>
      <c r="H441" s="100"/>
      <c r="I441" s="100"/>
      <c r="J441" s="696" t="s">
        <v>368</v>
      </c>
      <c r="K441" s="697"/>
      <c r="L441" s="697"/>
      <c r="M441" s="697"/>
      <c r="N441" s="123"/>
      <c r="O441" s="82"/>
      <c r="P441" s="54"/>
      <c r="Q441" s="55"/>
    </row>
    <row r="442" spans="1:18" ht="14.1" customHeight="1" x14ac:dyDescent="0.25">
      <c r="A442" s="199"/>
      <c r="B442" s="144" t="s">
        <v>205</v>
      </c>
      <c r="C442" s="102"/>
      <c r="D442" s="102"/>
      <c r="E442" s="110"/>
      <c r="F442" s="68"/>
      <c r="G442" s="78"/>
      <c r="H442" s="79"/>
      <c r="I442" s="79"/>
      <c r="J442" s="714" t="s">
        <v>369</v>
      </c>
      <c r="K442" s="715"/>
      <c r="L442" s="715"/>
      <c r="M442" s="715"/>
      <c r="N442" s="59"/>
      <c r="O442" s="132"/>
      <c r="P442" s="62"/>
      <c r="Q442" s="63"/>
    </row>
    <row r="443" spans="1:18" ht="14.1" customHeight="1" thickBot="1" x14ac:dyDescent="0.3">
      <c r="A443" s="50"/>
      <c r="B443" s="236" t="s">
        <v>219</v>
      </c>
      <c r="C443" s="702" t="s">
        <v>370</v>
      </c>
      <c r="D443" s="703"/>
      <c r="E443" s="703"/>
      <c r="F443" s="191">
        <v>1000</v>
      </c>
      <c r="G443" s="85">
        <v>1000</v>
      </c>
      <c r="H443" s="114">
        <v>400</v>
      </c>
      <c r="I443" s="86">
        <f>H443/G443*100</f>
        <v>40</v>
      </c>
      <c r="J443" s="103" t="s">
        <v>371</v>
      </c>
      <c r="K443" s="76" t="s">
        <v>43</v>
      </c>
      <c r="L443" s="77"/>
      <c r="M443" s="77"/>
      <c r="N443" s="116">
        <v>500</v>
      </c>
      <c r="O443" s="117">
        <v>500</v>
      </c>
      <c r="P443" s="91">
        <v>697</v>
      </c>
      <c r="Q443" s="92">
        <f>P443/O443*100</f>
        <v>139.39999999999998</v>
      </c>
    </row>
    <row r="444" spans="1:18" ht="14.1" customHeight="1" thickBot="1" x14ac:dyDescent="0.3">
      <c r="A444" s="50"/>
      <c r="B444" s="221"/>
      <c r="C444" s="69" t="s">
        <v>247</v>
      </c>
      <c r="D444" s="110"/>
      <c r="E444" s="110"/>
      <c r="F444" s="170">
        <f>SUM(F443)</f>
        <v>1000</v>
      </c>
      <c r="G444" s="171">
        <f>SUM(G443)</f>
        <v>1000</v>
      </c>
      <c r="H444" s="171">
        <f>SUM(H443)</f>
        <v>400</v>
      </c>
      <c r="I444" s="86">
        <f>H444/G444*100</f>
        <v>40</v>
      </c>
      <c r="J444" s="103"/>
      <c r="K444" s="631" t="s">
        <v>248</v>
      </c>
      <c r="L444" s="632"/>
      <c r="M444" s="632"/>
      <c r="N444" s="95">
        <f>SUM(N443)</f>
        <v>500</v>
      </c>
      <c r="O444" s="121">
        <f>SUM(O443:O443)</f>
        <v>500</v>
      </c>
      <c r="P444" s="122">
        <f>SUM(P443)</f>
        <v>697</v>
      </c>
      <c r="Q444" s="92">
        <f>P444/O444*100</f>
        <v>139.39999999999998</v>
      </c>
    </row>
    <row r="445" spans="1:18" ht="14.1" customHeight="1" x14ac:dyDescent="0.25">
      <c r="A445" s="42" t="s">
        <v>85</v>
      </c>
      <c r="B445" s="696" t="s">
        <v>372</v>
      </c>
      <c r="C445" s="697"/>
      <c r="D445" s="697"/>
      <c r="E445" s="697"/>
      <c r="F445" s="123"/>
      <c r="G445" s="205"/>
      <c r="H445" s="100"/>
      <c r="I445" s="100"/>
      <c r="J445" s="696" t="s">
        <v>372</v>
      </c>
      <c r="K445" s="697"/>
      <c r="L445" s="697"/>
      <c r="M445" s="697"/>
      <c r="N445" s="214"/>
      <c r="O445" s="47"/>
      <c r="P445" s="54"/>
      <c r="Q445" s="55"/>
    </row>
    <row r="446" spans="1:18" ht="14.1" customHeight="1" x14ac:dyDescent="0.25">
      <c r="A446" s="50"/>
      <c r="B446" s="56" t="s">
        <v>171</v>
      </c>
      <c r="C446" s="58"/>
      <c r="D446" s="58"/>
      <c r="E446" s="58"/>
      <c r="F446" s="60"/>
      <c r="G446" s="262"/>
      <c r="H446" s="262"/>
      <c r="I446" s="262"/>
      <c r="J446" s="56" t="s">
        <v>250</v>
      </c>
      <c r="K446" s="57"/>
      <c r="L446" s="264"/>
      <c r="M446" s="149"/>
      <c r="N446" s="126"/>
      <c r="O446" s="61"/>
      <c r="P446" s="62"/>
      <c r="Q446" s="63"/>
    </row>
    <row r="447" spans="1:18" ht="14.1" customHeight="1" x14ac:dyDescent="0.25">
      <c r="A447" s="50"/>
      <c r="B447" s="64" t="s">
        <v>172</v>
      </c>
      <c r="C447" s="83" t="s">
        <v>173</v>
      </c>
      <c r="D447" s="124"/>
      <c r="E447" s="124"/>
      <c r="F447" s="68">
        <v>2280</v>
      </c>
      <c r="G447" s="78">
        <v>2415</v>
      </c>
      <c r="H447" s="78">
        <v>2409</v>
      </c>
      <c r="I447" s="128">
        <f>H447/G447*100</f>
        <v>99.751552795031046</v>
      </c>
      <c r="J447" s="64" t="s">
        <v>63</v>
      </c>
      <c r="K447" s="83" t="s">
        <v>64</v>
      </c>
      <c r="L447" s="264"/>
      <c r="M447" s="124"/>
      <c r="N447" s="68">
        <v>75</v>
      </c>
      <c r="O447" s="61">
        <v>75</v>
      </c>
      <c r="P447" s="62">
        <v>207</v>
      </c>
      <c r="Q447" s="105">
        <f>P447/O447*100</f>
        <v>276</v>
      </c>
    </row>
    <row r="448" spans="1:18" ht="14.1" customHeight="1" x14ac:dyDescent="0.25">
      <c r="A448" s="50"/>
      <c r="B448" s="64" t="s">
        <v>174</v>
      </c>
      <c r="C448" s="63" t="s">
        <v>175</v>
      </c>
      <c r="D448" s="69"/>
      <c r="E448" s="70"/>
      <c r="F448" s="68">
        <v>615</v>
      </c>
      <c r="G448" s="78">
        <v>651</v>
      </c>
      <c r="H448" s="78">
        <v>650</v>
      </c>
      <c r="I448" s="128">
        <f t="shared" ref="I448:I450" si="41">H448/G448*100</f>
        <v>99.846390168970814</v>
      </c>
      <c r="J448" s="64" t="s">
        <v>73</v>
      </c>
      <c r="K448" s="124" t="s">
        <v>74</v>
      </c>
      <c r="L448" s="149"/>
      <c r="M448" s="149"/>
      <c r="N448" s="68">
        <v>20</v>
      </c>
      <c r="O448" s="61">
        <v>20</v>
      </c>
      <c r="P448" s="62">
        <v>10</v>
      </c>
      <c r="Q448" s="105">
        <f t="shared" ref="Q448:Q450" si="42">P448/O448*100</f>
        <v>50</v>
      </c>
    </row>
    <row r="449" spans="1:17" ht="14.1" customHeight="1" thickBot="1" x14ac:dyDescent="0.3">
      <c r="A449" s="50"/>
      <c r="B449" s="64" t="s">
        <v>176</v>
      </c>
      <c r="C449" s="201" t="s">
        <v>177</v>
      </c>
      <c r="D449" s="201"/>
      <c r="E449" s="76"/>
      <c r="F449" s="113">
        <v>387</v>
      </c>
      <c r="G449" s="78">
        <v>387</v>
      </c>
      <c r="H449" s="114">
        <v>198</v>
      </c>
      <c r="I449" s="86">
        <f t="shared" si="41"/>
        <v>51.162790697674424</v>
      </c>
      <c r="J449" s="152" t="s">
        <v>75</v>
      </c>
      <c r="K449" s="661" t="s">
        <v>76</v>
      </c>
      <c r="L449" s="661"/>
      <c r="M449" s="662"/>
      <c r="N449" s="116"/>
      <c r="O449" s="117"/>
      <c r="P449" s="91">
        <v>1</v>
      </c>
      <c r="Q449" s="118"/>
    </row>
    <row r="450" spans="1:17" ht="14.1" customHeight="1" thickBot="1" x14ac:dyDescent="0.3">
      <c r="A450" s="50"/>
      <c r="B450" s="67"/>
      <c r="C450" s="631" t="s">
        <v>247</v>
      </c>
      <c r="D450" s="632"/>
      <c r="E450" s="632"/>
      <c r="F450" s="170">
        <f>SUM(F447:F449)</f>
        <v>3282</v>
      </c>
      <c r="G450" s="119">
        <f>SUM(G447:G449)</f>
        <v>3453</v>
      </c>
      <c r="H450" s="171">
        <f>SUM(H447:H449)</f>
        <v>3257</v>
      </c>
      <c r="I450" s="86">
        <f t="shared" si="41"/>
        <v>94.323776426295979</v>
      </c>
      <c r="J450" s="67"/>
      <c r="K450" s="631" t="s">
        <v>248</v>
      </c>
      <c r="L450" s="632"/>
      <c r="M450" s="632"/>
      <c r="N450" s="95">
        <f>SUM(N447:N449)</f>
        <v>95</v>
      </c>
      <c r="O450" s="121">
        <f>SUM(O447:O449)</f>
        <v>95</v>
      </c>
      <c r="P450" s="96">
        <f>SUM(P447:P449)</f>
        <v>218</v>
      </c>
      <c r="Q450" s="118">
        <f t="shared" si="42"/>
        <v>229.47368421052633</v>
      </c>
    </row>
    <row r="451" spans="1:17" ht="14.1" customHeight="1" x14ac:dyDescent="0.25">
      <c r="A451" s="42" t="s">
        <v>97</v>
      </c>
      <c r="B451" s="696" t="s">
        <v>373</v>
      </c>
      <c r="C451" s="697"/>
      <c r="D451" s="697"/>
      <c r="E451" s="697"/>
      <c r="F451" s="123"/>
      <c r="G451" s="205"/>
      <c r="H451" s="53"/>
      <c r="I451" s="53"/>
      <c r="J451" s="712" t="s">
        <v>373</v>
      </c>
      <c r="K451" s="713"/>
      <c r="L451" s="713"/>
      <c r="M451" s="713"/>
      <c r="N451" s="214"/>
      <c r="O451" s="82"/>
      <c r="P451" s="54"/>
      <c r="Q451" s="55"/>
    </row>
    <row r="452" spans="1:17" ht="14.1" customHeight="1" x14ac:dyDescent="0.25">
      <c r="A452" s="252"/>
      <c r="B452" s="56" t="s">
        <v>171</v>
      </c>
      <c r="C452" s="58"/>
      <c r="D452" s="58"/>
      <c r="E452" s="175"/>
      <c r="F452" s="123"/>
      <c r="G452" s="100"/>
      <c r="H452" s="100"/>
      <c r="I452" s="100"/>
      <c r="J452" s="407" t="s">
        <v>61</v>
      </c>
      <c r="K452" s="646" t="s">
        <v>374</v>
      </c>
      <c r="L452" s="646"/>
      <c r="M452" s="647"/>
      <c r="N452" s="408"/>
      <c r="O452" s="82"/>
      <c r="P452" s="62"/>
      <c r="Q452" s="63"/>
    </row>
    <row r="453" spans="1:17" ht="14.1" customHeight="1" x14ac:dyDescent="0.25">
      <c r="A453" s="252"/>
      <c r="B453" s="64" t="s">
        <v>172</v>
      </c>
      <c r="C453" s="83" t="s">
        <v>173</v>
      </c>
      <c r="D453" s="124"/>
      <c r="E453" s="175"/>
      <c r="F453" s="123"/>
      <c r="G453" s="100">
        <v>540</v>
      </c>
      <c r="H453" s="78">
        <v>540</v>
      </c>
      <c r="I453" s="128">
        <f>H453/G453*100</f>
        <v>100</v>
      </c>
      <c r="J453" s="409"/>
      <c r="K453" s="410"/>
      <c r="L453" s="410"/>
      <c r="M453" s="410"/>
      <c r="N453" s="203"/>
      <c r="O453" s="82"/>
      <c r="P453" s="62"/>
      <c r="Q453" s="63"/>
    </row>
    <row r="454" spans="1:17" ht="14.1" customHeight="1" x14ac:dyDescent="0.25">
      <c r="A454" s="252"/>
      <c r="B454" s="64" t="s">
        <v>174</v>
      </c>
      <c r="C454" s="63" t="s">
        <v>175</v>
      </c>
      <c r="D454" s="69"/>
      <c r="E454" s="175"/>
      <c r="F454" s="123"/>
      <c r="G454" s="100">
        <v>146</v>
      </c>
      <c r="H454" s="78">
        <v>146</v>
      </c>
      <c r="I454" s="128">
        <f t="shared" ref="I454:I461" si="43">H454/G454*100</f>
        <v>100</v>
      </c>
      <c r="J454" s="409"/>
      <c r="K454" s="410"/>
      <c r="L454" s="410"/>
      <c r="M454" s="410"/>
      <c r="N454" s="203"/>
      <c r="O454" s="82"/>
      <c r="P454" s="62"/>
      <c r="Q454" s="63"/>
    </row>
    <row r="455" spans="1:17" ht="14.1" customHeight="1" x14ac:dyDescent="0.25">
      <c r="A455" s="252"/>
      <c r="B455" s="64" t="s">
        <v>176</v>
      </c>
      <c r="C455" s="201" t="s">
        <v>177</v>
      </c>
      <c r="D455" s="110"/>
      <c r="E455" s="175"/>
      <c r="F455" s="123"/>
      <c r="G455" s="100">
        <v>302747</v>
      </c>
      <c r="H455" s="100">
        <v>176643</v>
      </c>
      <c r="I455" s="128">
        <f t="shared" si="43"/>
        <v>58.346738365698094</v>
      </c>
      <c r="J455" s="103" t="s">
        <v>65</v>
      </c>
      <c r="K455" s="106" t="s">
        <v>66</v>
      </c>
      <c r="L455" s="411"/>
      <c r="M455" s="412"/>
      <c r="N455" s="408"/>
      <c r="O455" s="82">
        <v>7110</v>
      </c>
      <c r="P455" s="62">
        <v>1927</v>
      </c>
      <c r="Q455" s="105">
        <f>P455/O455*100</f>
        <v>27.102672292545709</v>
      </c>
    </row>
    <row r="456" spans="1:17" ht="14.1" customHeight="1" x14ac:dyDescent="0.25">
      <c r="A456" s="50"/>
      <c r="B456" s="144" t="s">
        <v>205</v>
      </c>
      <c r="C456" s="102"/>
      <c r="D456" s="102"/>
      <c r="E456" s="102"/>
      <c r="F456" s="60"/>
      <c r="G456" s="79"/>
      <c r="H456" s="79"/>
      <c r="I456" s="128"/>
      <c r="J456" s="103" t="s">
        <v>73</v>
      </c>
      <c r="K456" s="106" t="s">
        <v>74</v>
      </c>
      <c r="L456" s="411"/>
      <c r="M456" s="412"/>
      <c r="N456" s="268"/>
      <c r="O456" s="61">
        <v>1919</v>
      </c>
      <c r="P456" s="62">
        <v>96</v>
      </c>
      <c r="Q456" s="105">
        <f t="shared" ref="Q456:Q461" si="44">P456/O456*100</f>
        <v>5.0026055237102653</v>
      </c>
    </row>
    <row r="457" spans="1:17" ht="14.1" customHeight="1" x14ac:dyDescent="0.25">
      <c r="A457" s="50"/>
      <c r="B457" s="64" t="s">
        <v>38</v>
      </c>
      <c r="C457" s="83" t="s">
        <v>206</v>
      </c>
      <c r="D457" s="124"/>
      <c r="E457" s="149"/>
      <c r="F457" s="68">
        <v>1383542</v>
      </c>
      <c r="G457" s="79">
        <v>1139538</v>
      </c>
      <c r="H457" s="79">
        <v>1139583</v>
      </c>
      <c r="I457" s="128">
        <f t="shared" si="43"/>
        <v>100.00394896879261</v>
      </c>
      <c r="J457" s="152" t="s">
        <v>75</v>
      </c>
      <c r="K457" s="661" t="s">
        <v>76</v>
      </c>
      <c r="L457" s="661"/>
      <c r="M457" s="662"/>
      <c r="N457" s="153">
        <v>294139</v>
      </c>
      <c r="O457" s="61">
        <v>305090</v>
      </c>
      <c r="P457" s="62">
        <v>178391</v>
      </c>
      <c r="Q457" s="105">
        <f t="shared" si="44"/>
        <v>58.47159854469173</v>
      </c>
    </row>
    <row r="458" spans="1:17" ht="14.1" customHeight="1" x14ac:dyDescent="0.25">
      <c r="A458" s="50"/>
      <c r="B458" s="64" t="s">
        <v>375</v>
      </c>
      <c r="C458" s="83" t="s">
        <v>376</v>
      </c>
      <c r="D458" s="124"/>
      <c r="E458" s="149"/>
      <c r="F458" s="400">
        <v>294139</v>
      </c>
      <c r="G458" s="401">
        <v>305090</v>
      </c>
      <c r="H458" s="401">
        <v>10414</v>
      </c>
      <c r="I458" s="128">
        <f t="shared" si="43"/>
        <v>3.4134189911173749</v>
      </c>
      <c r="J458" s="646" t="s">
        <v>377</v>
      </c>
      <c r="K458" s="646"/>
      <c r="L458" s="646"/>
      <c r="M458" s="647"/>
      <c r="N458" s="268"/>
      <c r="O458" s="61"/>
      <c r="P458" s="62"/>
      <c r="Q458" s="105"/>
    </row>
    <row r="459" spans="1:17" ht="14.1" customHeight="1" x14ac:dyDescent="0.25">
      <c r="A459" s="50"/>
      <c r="B459" s="64"/>
      <c r="C459" s="83" t="s">
        <v>277</v>
      </c>
      <c r="D459" s="124"/>
      <c r="E459" s="149"/>
      <c r="F459" s="400">
        <v>1089403</v>
      </c>
      <c r="G459" s="401">
        <v>1139538</v>
      </c>
      <c r="H459" s="401">
        <v>1129096</v>
      </c>
      <c r="I459" s="128">
        <f t="shared" si="43"/>
        <v>99.083663730388977</v>
      </c>
      <c r="J459" s="152" t="s">
        <v>215</v>
      </c>
      <c r="K459" s="648" t="s">
        <v>47</v>
      </c>
      <c r="L459" s="648"/>
      <c r="M459" s="629"/>
      <c r="N459" s="153">
        <v>766257</v>
      </c>
      <c r="O459" s="61">
        <f>1135852-6300</f>
        <v>1129552</v>
      </c>
      <c r="P459" s="62">
        <v>1111877</v>
      </c>
      <c r="Q459" s="105">
        <f t="shared" si="44"/>
        <v>98.435220335141722</v>
      </c>
    </row>
    <row r="460" spans="1:17" ht="16.5" customHeight="1" thickBot="1" x14ac:dyDescent="0.3">
      <c r="A460" s="50"/>
      <c r="B460" s="64"/>
      <c r="C460" s="83"/>
      <c r="D460" s="124"/>
      <c r="E460" s="149"/>
      <c r="F460" s="170"/>
      <c r="G460" s="45"/>
      <c r="H460" s="114"/>
      <c r="I460" s="86"/>
      <c r="J460" s="152" t="s">
        <v>216</v>
      </c>
      <c r="K460" s="648" t="s">
        <v>300</v>
      </c>
      <c r="L460" s="648"/>
      <c r="M460" s="629"/>
      <c r="N460" s="413">
        <v>546076</v>
      </c>
      <c r="O460" s="414">
        <v>565801</v>
      </c>
      <c r="P460" s="259">
        <v>565801</v>
      </c>
      <c r="Q460" s="105">
        <f t="shared" si="44"/>
        <v>100</v>
      </c>
    </row>
    <row r="461" spans="1:17" ht="16.5" thickBot="1" x14ac:dyDescent="0.3">
      <c r="A461" s="50"/>
      <c r="B461" s="64"/>
      <c r="C461" s="631" t="s">
        <v>247</v>
      </c>
      <c r="D461" s="632"/>
      <c r="E461" s="632"/>
      <c r="F461" s="93">
        <f>SUM(F457)</f>
        <v>1383542</v>
      </c>
      <c r="G461" s="119">
        <f>SUM(G457:G458)-G458+G455+G454+G453</f>
        <v>1442971</v>
      </c>
      <c r="H461" s="119">
        <f>SUM(H457:H458)-H458+H455+H454+H453</f>
        <v>1316912</v>
      </c>
      <c r="I461" s="86">
        <f t="shared" si="43"/>
        <v>91.263926995067806</v>
      </c>
      <c r="J461" s="67"/>
      <c r="K461" s="631" t="s">
        <v>248</v>
      </c>
      <c r="L461" s="632"/>
      <c r="M461" s="632"/>
      <c r="N461" s="297">
        <f>SUM(N457:N459)</f>
        <v>1060396</v>
      </c>
      <c r="O461" s="338">
        <f>SUM(O457:O459,O456,O455)</f>
        <v>1443671</v>
      </c>
      <c r="P461" s="295">
        <f>SUM(P455:P459)</f>
        <v>1292291</v>
      </c>
      <c r="Q461" s="118">
        <f t="shared" si="44"/>
        <v>89.51423142807468</v>
      </c>
    </row>
    <row r="462" spans="1:17" ht="27" customHeight="1" x14ac:dyDescent="0.25">
      <c r="A462" s="42" t="s">
        <v>105</v>
      </c>
      <c r="B462" s="698" t="s">
        <v>378</v>
      </c>
      <c r="C462" s="699"/>
      <c r="D462" s="699"/>
      <c r="E462" s="699"/>
      <c r="F462" s="98"/>
      <c r="G462" s="205"/>
      <c r="H462" s="100"/>
      <c r="I462" s="100"/>
      <c r="J462" s="698" t="s">
        <v>378</v>
      </c>
      <c r="K462" s="699"/>
      <c r="L462" s="699"/>
      <c r="M462" s="699"/>
      <c r="N462" s="46"/>
      <c r="O462" s="47"/>
      <c r="P462" s="54"/>
      <c r="Q462" s="55"/>
    </row>
    <row r="463" spans="1:17" ht="14.1" customHeight="1" x14ac:dyDescent="0.25">
      <c r="A463" s="50"/>
      <c r="B463" s="56" t="s">
        <v>171</v>
      </c>
      <c r="C463" s="58"/>
      <c r="D463" s="58"/>
      <c r="E463" s="58"/>
      <c r="F463" s="60"/>
      <c r="G463" s="262"/>
      <c r="H463" s="262"/>
      <c r="I463" s="262"/>
      <c r="J463" s="646" t="s">
        <v>377</v>
      </c>
      <c r="K463" s="646"/>
      <c r="L463" s="646"/>
      <c r="M463" s="647"/>
      <c r="N463" s="126"/>
      <c r="O463" s="61"/>
      <c r="P463" s="62"/>
      <c r="Q463" s="63"/>
    </row>
    <row r="464" spans="1:17" ht="14.1" customHeight="1" thickBot="1" x14ac:dyDescent="0.3">
      <c r="A464" s="50"/>
      <c r="B464" s="64" t="s">
        <v>176</v>
      </c>
      <c r="C464" s="201" t="s">
        <v>177</v>
      </c>
      <c r="D464" s="201"/>
      <c r="E464" s="76"/>
      <c r="F464" s="127">
        <v>1765</v>
      </c>
      <c r="G464" s="78">
        <v>1765</v>
      </c>
      <c r="H464" s="78">
        <v>2127</v>
      </c>
      <c r="I464" s="128">
        <f>H464/G464*100</f>
        <v>120.50991501416431</v>
      </c>
      <c r="J464" s="152" t="s">
        <v>215</v>
      </c>
      <c r="K464" s="648" t="s">
        <v>47</v>
      </c>
      <c r="L464" s="648"/>
      <c r="M464" s="629"/>
      <c r="N464" s="116"/>
      <c r="O464" s="117">
        <v>6300</v>
      </c>
      <c r="P464" s="91">
        <f>SUM(O464)</f>
        <v>6300</v>
      </c>
      <c r="Q464" s="118">
        <f>P464/O464*100</f>
        <v>100</v>
      </c>
    </row>
    <row r="465" spans="1:18" ht="14.1" customHeight="1" thickBot="1" x14ac:dyDescent="0.3">
      <c r="A465" s="50"/>
      <c r="B465" s="64" t="s">
        <v>291</v>
      </c>
      <c r="C465" s="201" t="s">
        <v>201</v>
      </c>
      <c r="D465" s="77"/>
      <c r="E465" s="77"/>
      <c r="F465" s="111"/>
      <c r="G465" s="52">
        <v>104</v>
      </c>
      <c r="H465" s="52">
        <v>104</v>
      </c>
      <c r="I465" s="128">
        <f t="shared" ref="I465:I468" si="45">H465/G465*100</f>
        <v>100</v>
      </c>
      <c r="J465" s="67"/>
      <c r="K465" s="631" t="s">
        <v>248</v>
      </c>
      <c r="L465" s="632"/>
      <c r="M465" s="632"/>
      <c r="N465" s="89"/>
      <c r="O465" s="121">
        <f>SUM(O464)</f>
        <v>6300</v>
      </c>
      <c r="P465" s="122">
        <f>SUM(P464)</f>
        <v>6300</v>
      </c>
      <c r="Q465" s="118">
        <f>P465/O465*100</f>
        <v>100</v>
      </c>
      <c r="R465" s="349"/>
    </row>
    <row r="466" spans="1:18" ht="14.1" customHeight="1" x14ac:dyDescent="0.25">
      <c r="A466" s="50"/>
      <c r="B466" s="144" t="s">
        <v>205</v>
      </c>
      <c r="C466" s="102"/>
      <c r="D466" s="77"/>
      <c r="E466" s="77"/>
      <c r="F466" s="68"/>
      <c r="G466" s="78"/>
      <c r="H466" s="78"/>
      <c r="I466" s="128"/>
      <c r="J466" s="103"/>
      <c r="K466" s="76"/>
      <c r="L466" s="182"/>
      <c r="M466" s="77"/>
      <c r="N466" s="111"/>
      <c r="O466" s="47"/>
      <c r="P466" s="54"/>
      <c r="Q466" s="55"/>
    </row>
    <row r="467" spans="1:18" ht="14.1" customHeight="1" thickBot="1" x14ac:dyDescent="0.3">
      <c r="A467" s="50"/>
      <c r="B467" s="64" t="s">
        <v>38</v>
      </c>
      <c r="C467" s="83" t="s">
        <v>206</v>
      </c>
      <c r="D467" s="77"/>
      <c r="E467" s="77"/>
      <c r="F467" s="84"/>
      <c r="G467" s="52">
        <v>10000</v>
      </c>
      <c r="H467" s="85">
        <v>3000</v>
      </c>
      <c r="I467" s="86">
        <f t="shared" si="45"/>
        <v>30</v>
      </c>
      <c r="J467" s="103"/>
      <c r="K467" s="76"/>
      <c r="L467" s="182"/>
      <c r="M467" s="77"/>
      <c r="N467" s="65"/>
      <c r="O467" s="164"/>
      <c r="P467" s="62"/>
      <c r="Q467" s="63"/>
    </row>
    <row r="468" spans="1:18" ht="14.1" customHeight="1" thickBot="1" x14ac:dyDescent="0.3">
      <c r="A468" s="50"/>
      <c r="B468" s="67"/>
      <c r="C468" s="631" t="s">
        <v>247</v>
      </c>
      <c r="D468" s="632"/>
      <c r="E468" s="632"/>
      <c r="F468" s="93">
        <f>SUM(F464:F467)</f>
        <v>1765</v>
      </c>
      <c r="G468" s="119">
        <f>SUM(G464:G467)</f>
        <v>11869</v>
      </c>
      <c r="H468" s="119">
        <f>SUM(H464:H467)</f>
        <v>5231</v>
      </c>
      <c r="I468" s="86">
        <f t="shared" si="45"/>
        <v>44.072794675204314</v>
      </c>
      <c r="J468" s="67"/>
      <c r="K468" s="631"/>
      <c r="L468" s="632"/>
      <c r="M468" s="632"/>
      <c r="N468" s="65"/>
      <c r="O468" s="275"/>
      <c r="P468" s="62"/>
      <c r="Q468" s="63"/>
    </row>
    <row r="469" spans="1:18" ht="14.1" customHeight="1" x14ac:dyDescent="0.25">
      <c r="A469" s="42" t="s">
        <v>282</v>
      </c>
      <c r="B469" s="696" t="s">
        <v>379</v>
      </c>
      <c r="C469" s="697"/>
      <c r="D469" s="697"/>
      <c r="E469" s="697"/>
      <c r="F469" s="123"/>
      <c r="G469" s="99"/>
      <c r="H469" s="100"/>
      <c r="I469" s="100"/>
      <c r="J469" s="696" t="s">
        <v>379</v>
      </c>
      <c r="K469" s="697"/>
      <c r="L469" s="697"/>
      <c r="M469" s="697"/>
      <c r="N469" s="126"/>
      <c r="O469" s="82"/>
      <c r="P469" s="62"/>
      <c r="Q469" s="63"/>
    </row>
    <row r="470" spans="1:18" ht="14.1" customHeight="1" x14ac:dyDescent="0.25">
      <c r="A470" s="180"/>
      <c r="B470" s="56" t="s">
        <v>171</v>
      </c>
      <c r="C470" s="124"/>
      <c r="D470" s="124"/>
      <c r="E470" s="124"/>
      <c r="F470" s="68"/>
      <c r="G470" s="78"/>
      <c r="H470" s="79"/>
      <c r="I470" s="79"/>
      <c r="J470" s="710" t="s">
        <v>250</v>
      </c>
      <c r="K470" s="711"/>
      <c r="L470" s="711"/>
      <c r="M470" s="711"/>
      <c r="N470" s="60"/>
      <c r="O470" s="61"/>
      <c r="P470" s="62"/>
      <c r="Q470" s="63"/>
    </row>
    <row r="471" spans="1:18" ht="14.1" customHeight="1" thickBot="1" x14ac:dyDescent="0.3">
      <c r="A471" s="199"/>
      <c r="B471" s="64" t="s">
        <v>176</v>
      </c>
      <c r="C471" s="640" t="s">
        <v>177</v>
      </c>
      <c r="D471" s="640"/>
      <c r="E471" s="641"/>
      <c r="F471" s="113">
        <v>578</v>
      </c>
      <c r="G471" s="415">
        <v>578</v>
      </c>
      <c r="H471" s="416">
        <v>299</v>
      </c>
      <c r="I471" s="417">
        <f>H471/G471*100</f>
        <v>51.730103806228378</v>
      </c>
      <c r="J471" s="418" t="s">
        <v>380</v>
      </c>
      <c r="K471" s="419" t="s">
        <v>68</v>
      </c>
      <c r="L471" s="420"/>
      <c r="M471" s="420"/>
      <c r="N471" s="68">
        <v>150</v>
      </c>
      <c r="O471" s="61">
        <v>150</v>
      </c>
      <c r="P471" s="62"/>
      <c r="Q471" s="63"/>
    </row>
    <row r="472" spans="1:18" ht="14.1" customHeight="1" thickBot="1" x14ac:dyDescent="0.3">
      <c r="A472" s="199"/>
      <c r="B472" s="221"/>
      <c r="C472" s="631" t="s">
        <v>247</v>
      </c>
      <c r="D472" s="632"/>
      <c r="E472" s="632"/>
      <c r="F472" s="93">
        <f>SUM(F471)</f>
        <v>578</v>
      </c>
      <c r="G472" s="421">
        <f>SUM(G471)</f>
        <v>578</v>
      </c>
      <c r="H472" s="422">
        <f>SUM(H471)</f>
        <v>299</v>
      </c>
      <c r="I472" s="417">
        <f>H472/G472*100</f>
        <v>51.730103806228378</v>
      </c>
      <c r="J472" s="418" t="s">
        <v>381</v>
      </c>
      <c r="K472" s="706" t="s">
        <v>74</v>
      </c>
      <c r="L472" s="707"/>
      <c r="M472" s="707"/>
      <c r="N472" s="68">
        <v>41</v>
      </c>
      <c r="O472" s="61">
        <v>41</v>
      </c>
      <c r="P472" s="62"/>
      <c r="Q472" s="63"/>
    </row>
    <row r="473" spans="1:18" ht="14.1" customHeight="1" thickBot="1" x14ac:dyDescent="0.3">
      <c r="A473" s="199"/>
      <c r="B473" s="221"/>
      <c r="C473" s="83"/>
      <c r="D473" s="124"/>
      <c r="E473" s="124"/>
      <c r="F473" s="326"/>
      <c r="G473" s="423"/>
      <c r="H473" s="423"/>
      <c r="I473" s="424"/>
      <c r="J473" s="152" t="s">
        <v>75</v>
      </c>
      <c r="K473" s="661" t="s">
        <v>76</v>
      </c>
      <c r="L473" s="661"/>
      <c r="M473" s="662"/>
      <c r="N473" s="89"/>
      <c r="O473" s="90"/>
      <c r="P473" s="96">
        <v>22</v>
      </c>
      <c r="Q473" s="97"/>
    </row>
    <row r="474" spans="1:18" ht="14.1" customHeight="1" thickBot="1" x14ac:dyDescent="0.3">
      <c r="A474" s="50"/>
      <c r="B474" s="67"/>
      <c r="C474" s="83"/>
      <c r="D474" s="80"/>
      <c r="E474" s="80"/>
      <c r="F474" s="178"/>
      <c r="G474" s="99"/>
      <c r="H474" s="99"/>
      <c r="I474" s="99"/>
      <c r="J474" s="425"/>
      <c r="K474" s="706" t="s">
        <v>248</v>
      </c>
      <c r="L474" s="707"/>
      <c r="M474" s="707"/>
      <c r="N474" s="95">
        <f>SUM(N471:N472)</f>
        <v>191</v>
      </c>
      <c r="O474" s="121">
        <f>SUM(O471:O472)</f>
        <v>191</v>
      </c>
      <c r="P474" s="122">
        <f>SUM(P473)</f>
        <v>22</v>
      </c>
      <c r="Q474" s="97"/>
    </row>
    <row r="475" spans="1:18" ht="14.1" customHeight="1" thickBot="1" x14ac:dyDescent="0.3">
      <c r="A475" s="42" t="s">
        <v>287</v>
      </c>
      <c r="B475" s="698" t="s">
        <v>382</v>
      </c>
      <c r="C475" s="699"/>
      <c r="D475" s="699"/>
      <c r="E475" s="699"/>
      <c r="F475" s="98"/>
      <c r="G475" s="99"/>
      <c r="H475" s="100"/>
      <c r="I475" s="100"/>
      <c r="J475" s="698" t="s">
        <v>382</v>
      </c>
      <c r="K475" s="699"/>
      <c r="L475" s="699"/>
      <c r="M475" s="699"/>
      <c r="N475" s="101"/>
      <c r="O475" s="82"/>
      <c r="P475" s="54"/>
      <c r="Q475" s="55"/>
    </row>
    <row r="476" spans="1:18" ht="14.1" customHeight="1" thickBot="1" x14ac:dyDescent="0.3">
      <c r="A476" s="206"/>
      <c r="B476" s="56" t="s">
        <v>171</v>
      </c>
      <c r="C476" s="57"/>
      <c r="D476" s="58"/>
      <c r="E476" s="58"/>
      <c r="F476" s="60"/>
      <c r="G476" s="78"/>
      <c r="H476" s="426"/>
      <c r="I476" s="426"/>
      <c r="J476" s="427" t="s">
        <v>310</v>
      </c>
      <c r="K476" s="708" t="s">
        <v>383</v>
      </c>
      <c r="L476" s="709"/>
      <c r="M476" s="709"/>
      <c r="N476" s="428"/>
      <c r="O476" s="61"/>
      <c r="P476" s="62"/>
      <c r="Q476" s="63"/>
    </row>
    <row r="477" spans="1:18" ht="14.1" customHeight="1" x14ac:dyDescent="0.25">
      <c r="A477" s="50"/>
      <c r="B477" s="64" t="s">
        <v>172</v>
      </c>
      <c r="C477" s="631" t="s">
        <v>173</v>
      </c>
      <c r="D477" s="632"/>
      <c r="E477" s="632"/>
      <c r="F477" s="68">
        <v>17888</v>
      </c>
      <c r="G477" s="78">
        <v>17888</v>
      </c>
      <c r="H477" s="356">
        <v>17478</v>
      </c>
      <c r="I477" s="429">
        <f>H477/G477*100</f>
        <v>97.707960644007159</v>
      </c>
      <c r="J477" s="265" t="s">
        <v>384</v>
      </c>
      <c r="K477" s="629" t="s">
        <v>385</v>
      </c>
      <c r="L477" s="630"/>
      <c r="M477" s="630"/>
      <c r="N477" s="153">
        <v>115480</v>
      </c>
      <c r="O477" s="61">
        <v>106389</v>
      </c>
      <c r="P477" s="62">
        <v>107521</v>
      </c>
      <c r="Q477" s="105">
        <f>P477/O477*100</f>
        <v>101.06401977648065</v>
      </c>
    </row>
    <row r="478" spans="1:18" ht="14.1" customHeight="1" thickBot="1" x14ac:dyDescent="0.3">
      <c r="A478" s="50"/>
      <c r="B478" s="64" t="s">
        <v>174</v>
      </c>
      <c r="C478" s="63" t="s">
        <v>175</v>
      </c>
      <c r="D478" s="69"/>
      <c r="E478" s="70"/>
      <c r="F478" s="68">
        <v>4731</v>
      </c>
      <c r="G478" s="78">
        <v>4731</v>
      </c>
      <c r="H478" s="78">
        <v>4344</v>
      </c>
      <c r="I478" s="429">
        <f t="shared" ref="I478:I484" si="46">H478/G478*100</f>
        <v>91.819911223842738</v>
      </c>
      <c r="J478" s="430" t="s">
        <v>386</v>
      </c>
      <c r="K478" s="629" t="s">
        <v>300</v>
      </c>
      <c r="L478" s="630"/>
      <c r="M478" s="630"/>
      <c r="N478" s="431">
        <v>115480</v>
      </c>
      <c r="O478" s="401">
        <v>106389</v>
      </c>
      <c r="P478" s="189">
        <v>103321</v>
      </c>
      <c r="Q478" s="105">
        <f>P478/O478*100</f>
        <v>97.11624322063372</v>
      </c>
    </row>
    <row r="479" spans="1:18" ht="14.1" customHeight="1" thickBot="1" x14ac:dyDescent="0.3">
      <c r="A479" s="50"/>
      <c r="B479" s="64" t="s">
        <v>176</v>
      </c>
      <c r="C479" s="640" t="s">
        <v>177</v>
      </c>
      <c r="D479" s="640"/>
      <c r="E479" s="641"/>
      <c r="F479" s="127">
        <v>93473</v>
      </c>
      <c r="G479" s="78">
        <v>93473</v>
      </c>
      <c r="H479" s="426">
        <v>85856</v>
      </c>
      <c r="I479" s="429">
        <f t="shared" si="46"/>
        <v>91.851122784119482</v>
      </c>
      <c r="J479" s="432" t="s">
        <v>36</v>
      </c>
      <c r="K479" s="647" t="s">
        <v>387</v>
      </c>
      <c r="L479" s="691"/>
      <c r="M479" s="691"/>
      <c r="N479" s="268"/>
      <c r="O479" s="61"/>
      <c r="P479" s="62"/>
      <c r="Q479" s="63"/>
    </row>
    <row r="480" spans="1:18" ht="14.1" customHeight="1" x14ac:dyDescent="0.25">
      <c r="A480" s="50"/>
      <c r="B480" s="144" t="s">
        <v>205</v>
      </c>
      <c r="C480" s="102"/>
      <c r="D480" s="102"/>
      <c r="E480" s="102"/>
      <c r="F480" s="59"/>
      <c r="G480" s="44"/>
      <c r="H480" s="433"/>
      <c r="I480" s="429"/>
      <c r="J480" s="265" t="s">
        <v>215</v>
      </c>
      <c r="K480" s="629" t="s">
        <v>47</v>
      </c>
      <c r="L480" s="630"/>
      <c r="M480" s="630"/>
      <c r="N480" s="153">
        <v>9414</v>
      </c>
      <c r="O480" s="61">
        <v>9414</v>
      </c>
      <c r="P480" s="62"/>
      <c r="Q480" s="63"/>
    </row>
    <row r="481" spans="1:17" ht="14.1" customHeight="1" x14ac:dyDescent="0.25">
      <c r="A481" s="50"/>
      <c r="B481" s="64" t="s">
        <v>38</v>
      </c>
      <c r="C481" s="83" t="s">
        <v>206</v>
      </c>
      <c r="D481" s="124"/>
      <c r="E481" s="149"/>
      <c r="F481" s="65">
        <v>9414</v>
      </c>
      <c r="G481" s="44">
        <v>9414</v>
      </c>
      <c r="H481" s="433">
        <v>9413</v>
      </c>
      <c r="I481" s="429">
        <f t="shared" si="46"/>
        <v>99.989377522838325</v>
      </c>
      <c r="J481" s="430" t="s">
        <v>216</v>
      </c>
      <c r="K481" s="629" t="s">
        <v>300</v>
      </c>
      <c r="L481" s="630"/>
      <c r="M481" s="630"/>
      <c r="N481" s="434">
        <v>9414</v>
      </c>
      <c r="O481" s="188">
        <v>9414</v>
      </c>
      <c r="P481" s="189"/>
      <c r="Q481" s="435"/>
    </row>
    <row r="482" spans="1:17" ht="14.1" customHeight="1" x14ac:dyDescent="0.25">
      <c r="A482" s="50"/>
      <c r="B482" s="64"/>
      <c r="C482" s="83" t="s">
        <v>277</v>
      </c>
      <c r="D482" s="124"/>
      <c r="E482" s="149"/>
      <c r="F482" s="355">
        <v>9414</v>
      </c>
      <c r="G482" s="189">
        <v>9414</v>
      </c>
      <c r="H482" s="189">
        <v>9413</v>
      </c>
      <c r="I482" s="128">
        <f t="shared" si="46"/>
        <v>99.989377522838325</v>
      </c>
      <c r="J482" s="138" t="s">
        <v>61</v>
      </c>
      <c r="K482" s="139" t="s">
        <v>62</v>
      </c>
      <c r="L482" s="124"/>
      <c r="M482" s="124"/>
      <c r="N482" s="68"/>
      <c r="O482" s="61"/>
      <c r="P482" s="62"/>
      <c r="Q482" s="63"/>
    </row>
    <row r="483" spans="1:17" ht="14.1" customHeight="1" thickBot="1" x14ac:dyDescent="0.3">
      <c r="A483" s="50"/>
      <c r="B483" s="64"/>
      <c r="C483" s="83"/>
      <c r="D483" s="124"/>
      <c r="E483" s="149"/>
      <c r="F483" s="84"/>
      <c r="G483" s="260"/>
      <c r="H483" s="250"/>
      <c r="I483" s="292"/>
      <c r="J483" s="103" t="s">
        <v>77</v>
      </c>
      <c r="K483" s="106" t="s">
        <v>78</v>
      </c>
      <c r="L483" s="124"/>
      <c r="M483" s="124"/>
      <c r="N483" s="89"/>
      <c r="O483" s="90"/>
      <c r="P483" s="96">
        <v>96</v>
      </c>
      <c r="Q483" s="97"/>
    </row>
    <row r="484" spans="1:17" ht="14.1" customHeight="1" thickBot="1" x14ac:dyDescent="0.3">
      <c r="A484" s="50"/>
      <c r="B484" s="67"/>
      <c r="C484" s="631" t="s">
        <v>247</v>
      </c>
      <c r="D484" s="632"/>
      <c r="E484" s="632"/>
      <c r="F484" s="93">
        <f>SUM(F477:F481)</f>
        <v>125506</v>
      </c>
      <c r="G484" s="119">
        <f>SUM(G477:G481)</f>
        <v>125506</v>
      </c>
      <c r="H484" s="119">
        <f>SUM(H477:H481)</f>
        <v>117091</v>
      </c>
      <c r="I484" s="86">
        <f t="shared" si="46"/>
        <v>93.295141268146537</v>
      </c>
      <c r="J484" s="67"/>
      <c r="K484" s="631" t="s">
        <v>248</v>
      </c>
      <c r="L484" s="632"/>
      <c r="M484" s="632"/>
      <c r="N484" s="95">
        <f>SUM(N480,N477)</f>
        <v>124894</v>
      </c>
      <c r="O484" s="121">
        <f>SUM(O480,O477)</f>
        <v>115803</v>
      </c>
      <c r="P484" s="96">
        <f>SUM(P483,P477)</f>
        <v>107617</v>
      </c>
      <c r="Q484" s="212">
        <f>P484/O484*100</f>
        <v>92.931098503493004</v>
      </c>
    </row>
    <row r="485" spans="1:17" ht="14.1" customHeight="1" x14ac:dyDescent="0.25">
      <c r="A485" s="42" t="s">
        <v>289</v>
      </c>
      <c r="B485" s="698" t="s">
        <v>388</v>
      </c>
      <c r="C485" s="699"/>
      <c r="D485" s="699"/>
      <c r="E485" s="699"/>
      <c r="F485" s="98"/>
      <c r="G485" s="99"/>
      <c r="H485" s="100"/>
      <c r="I485" s="100"/>
      <c r="J485" s="698" t="s">
        <v>388</v>
      </c>
      <c r="K485" s="699"/>
      <c r="L485" s="699"/>
      <c r="M485" s="699"/>
      <c r="N485" s="101"/>
      <c r="O485" s="82"/>
      <c r="P485" s="54"/>
      <c r="Q485" s="55"/>
    </row>
    <row r="486" spans="1:17" ht="14.1" customHeight="1" x14ac:dyDescent="0.25">
      <c r="A486" s="206"/>
      <c r="B486" s="56" t="s">
        <v>171</v>
      </c>
      <c r="C486" s="57"/>
      <c r="D486" s="58"/>
      <c r="E486" s="58"/>
      <c r="F486" s="60"/>
      <c r="G486" s="78"/>
      <c r="H486" s="78"/>
      <c r="I486" s="78"/>
      <c r="J486" s="56"/>
      <c r="K486" s="57"/>
      <c r="L486" s="149"/>
      <c r="M486" s="149"/>
      <c r="N486" s="126"/>
      <c r="O486" s="61"/>
      <c r="P486" s="62"/>
      <c r="Q486" s="63"/>
    </row>
    <row r="487" spans="1:17" ht="14.1" customHeight="1" x14ac:dyDescent="0.25">
      <c r="A487" s="50"/>
      <c r="B487" s="64" t="s">
        <v>172</v>
      </c>
      <c r="C487" s="631" t="s">
        <v>173</v>
      </c>
      <c r="D487" s="632"/>
      <c r="E487" s="632"/>
      <c r="F487" s="68">
        <v>240</v>
      </c>
      <c r="G487" s="78">
        <v>0</v>
      </c>
      <c r="H487" s="78"/>
      <c r="I487" s="78"/>
      <c r="J487" s="67"/>
      <c r="K487" s="83"/>
      <c r="L487" s="124"/>
      <c r="M487" s="124"/>
      <c r="N487" s="68"/>
      <c r="O487" s="61"/>
      <c r="P487" s="62"/>
      <c r="Q487" s="63"/>
    </row>
    <row r="488" spans="1:17" ht="14.1" customHeight="1" x14ac:dyDescent="0.25">
      <c r="A488" s="50"/>
      <c r="B488" s="64" t="s">
        <v>174</v>
      </c>
      <c r="C488" s="63" t="s">
        <v>175</v>
      </c>
      <c r="D488" s="69"/>
      <c r="E488" s="70"/>
      <c r="F488" s="68">
        <v>65</v>
      </c>
      <c r="G488" s="78">
        <v>0</v>
      </c>
      <c r="H488" s="78"/>
      <c r="I488" s="78"/>
      <c r="J488" s="67"/>
      <c r="K488" s="704"/>
      <c r="L488" s="705"/>
      <c r="M488" s="705"/>
      <c r="N488" s="65"/>
      <c r="O488" s="132"/>
      <c r="P488" s="62"/>
      <c r="Q488" s="63"/>
    </row>
    <row r="489" spans="1:17" ht="14.1" customHeight="1" x14ac:dyDescent="0.25">
      <c r="A489" s="50"/>
      <c r="B489" s="64" t="s">
        <v>176</v>
      </c>
      <c r="C489" s="640" t="s">
        <v>177</v>
      </c>
      <c r="D489" s="640"/>
      <c r="E489" s="641"/>
      <c r="F489" s="127">
        <v>184</v>
      </c>
      <c r="G489" s="78">
        <v>184</v>
      </c>
      <c r="H489" s="78"/>
      <c r="I489" s="78"/>
      <c r="J489" s="67"/>
      <c r="K489" s="631"/>
      <c r="L489" s="632"/>
      <c r="M489" s="632"/>
      <c r="N489" s="68"/>
      <c r="O489" s="61"/>
      <c r="P489" s="62"/>
      <c r="Q489" s="63"/>
    </row>
    <row r="490" spans="1:17" ht="14.1" customHeight="1" thickBot="1" x14ac:dyDescent="0.3">
      <c r="A490" s="50"/>
      <c r="B490" s="64" t="s">
        <v>291</v>
      </c>
      <c r="C490" s="201" t="s">
        <v>201</v>
      </c>
      <c r="D490" s="201"/>
      <c r="E490" s="76"/>
      <c r="F490" s="113">
        <v>3800</v>
      </c>
      <c r="G490" s="44">
        <f>5100+60</f>
        <v>5160</v>
      </c>
      <c r="H490" s="114">
        <v>5160</v>
      </c>
      <c r="I490" s="86">
        <f>H490/G490*100</f>
        <v>100</v>
      </c>
      <c r="J490" s="67"/>
      <c r="K490" s="124"/>
      <c r="L490" s="124"/>
      <c r="M490" s="124"/>
      <c r="N490" s="68"/>
      <c r="O490" s="164"/>
      <c r="P490" s="62"/>
      <c r="Q490" s="63"/>
    </row>
    <row r="491" spans="1:17" ht="14.1" customHeight="1" thickBot="1" x14ac:dyDescent="0.3">
      <c r="A491" s="50"/>
      <c r="B491" s="67"/>
      <c r="C491" s="631" t="s">
        <v>247</v>
      </c>
      <c r="D491" s="632"/>
      <c r="E491" s="632"/>
      <c r="F491" s="93">
        <f>SUM(F487:F490)</f>
        <v>4289</v>
      </c>
      <c r="G491" s="119">
        <f>SUM(G487:G490)</f>
        <v>5344</v>
      </c>
      <c r="H491" s="119">
        <f>SUM(H487:H490)</f>
        <v>5160</v>
      </c>
      <c r="I491" s="86">
        <f>H491/G491*100</f>
        <v>96.556886227544908</v>
      </c>
      <c r="J491" s="67"/>
      <c r="K491" s="631" t="s">
        <v>248</v>
      </c>
      <c r="L491" s="632"/>
      <c r="M491" s="632"/>
      <c r="N491" s="178"/>
      <c r="O491" s="168"/>
      <c r="P491" s="62"/>
      <c r="Q491" s="63"/>
    </row>
    <row r="492" spans="1:17" ht="14.1" customHeight="1" thickBot="1" x14ac:dyDescent="0.3">
      <c r="A492" s="213" t="s">
        <v>292</v>
      </c>
      <c r="B492" s="696" t="s">
        <v>389</v>
      </c>
      <c r="C492" s="697"/>
      <c r="D492" s="697"/>
      <c r="E492" s="697"/>
      <c r="F492" s="123"/>
      <c r="G492" s="99"/>
      <c r="H492" s="100"/>
      <c r="I492" s="100"/>
      <c r="J492" s="696" t="s">
        <v>389</v>
      </c>
      <c r="K492" s="697"/>
      <c r="L492" s="697"/>
      <c r="M492" s="697"/>
      <c r="N492" s="123"/>
      <c r="O492" s="82"/>
      <c r="P492" s="62"/>
      <c r="Q492" s="63"/>
    </row>
    <row r="493" spans="1:17" ht="14.1" customHeight="1" thickBot="1" x14ac:dyDescent="0.3">
      <c r="A493" s="180"/>
      <c r="B493" s="56" t="s">
        <v>171</v>
      </c>
      <c r="C493" s="149"/>
      <c r="D493" s="149"/>
      <c r="E493" s="149"/>
      <c r="F493" s="123"/>
      <c r="G493" s="99"/>
      <c r="H493" s="426"/>
      <c r="I493" s="426"/>
      <c r="J493" s="432" t="s">
        <v>61</v>
      </c>
      <c r="K493" s="647" t="s">
        <v>374</v>
      </c>
      <c r="L493" s="691"/>
      <c r="M493" s="691"/>
      <c r="N493" s="408"/>
      <c r="O493" s="82"/>
      <c r="P493" s="62"/>
      <c r="Q493" s="63"/>
    </row>
    <row r="494" spans="1:17" ht="14.1" customHeight="1" x14ac:dyDescent="0.25">
      <c r="A494" s="180"/>
      <c r="B494" s="64" t="s">
        <v>176</v>
      </c>
      <c r="C494" s="640" t="s">
        <v>177</v>
      </c>
      <c r="D494" s="640"/>
      <c r="E494" s="641"/>
      <c r="F494" s="178">
        <v>5670</v>
      </c>
      <c r="G494" s="99">
        <v>5670</v>
      </c>
      <c r="H494" s="436"/>
      <c r="I494" s="436"/>
      <c r="J494" s="265" t="s">
        <v>69</v>
      </c>
      <c r="K494" s="629" t="s">
        <v>390</v>
      </c>
      <c r="L494" s="630"/>
      <c r="M494" s="630"/>
      <c r="N494" s="269">
        <v>21000</v>
      </c>
      <c r="O494" s="82">
        <v>21000</v>
      </c>
      <c r="P494" s="62"/>
      <c r="Q494" s="63"/>
    </row>
    <row r="495" spans="1:17" ht="14.1" customHeight="1" x14ac:dyDescent="0.25">
      <c r="A495" s="180"/>
      <c r="B495" s="144" t="s">
        <v>205</v>
      </c>
      <c r="C495" s="102"/>
      <c r="D495" s="102"/>
      <c r="E495" s="102"/>
      <c r="F495" s="60"/>
      <c r="G495" s="154"/>
      <c r="H495" s="437"/>
      <c r="I495" s="437"/>
      <c r="J495" s="265" t="s">
        <v>73</v>
      </c>
      <c r="K495" s="629" t="s">
        <v>391</v>
      </c>
      <c r="L495" s="630"/>
      <c r="M495" s="630"/>
      <c r="N495" s="269">
        <v>5670</v>
      </c>
      <c r="O495" s="82">
        <v>5670</v>
      </c>
      <c r="P495" s="62"/>
      <c r="Q495" s="63"/>
    </row>
    <row r="496" spans="1:17" ht="14.1" customHeight="1" x14ac:dyDescent="0.25">
      <c r="A496" s="180"/>
      <c r="B496" s="64" t="s">
        <v>38</v>
      </c>
      <c r="C496" s="83" t="s">
        <v>206</v>
      </c>
      <c r="D496" s="124"/>
      <c r="E496" s="149"/>
      <c r="F496" s="111">
        <v>18509</v>
      </c>
      <c r="G496" s="52">
        <v>18709</v>
      </c>
      <c r="H496" s="52">
        <v>200</v>
      </c>
      <c r="I496" s="296">
        <f>H496/G496*100</f>
        <v>1.0690042225666792</v>
      </c>
      <c r="J496" s="144"/>
      <c r="K496" s="145"/>
      <c r="L496" s="182"/>
      <c r="M496" s="77"/>
      <c r="N496" s="81"/>
      <c r="O496" s="82"/>
      <c r="P496" s="62"/>
      <c r="Q496" s="63"/>
    </row>
    <row r="497" spans="1:17" ht="14.1" customHeight="1" x14ac:dyDescent="0.25">
      <c r="A497" s="180"/>
      <c r="B497" s="64"/>
      <c r="C497" s="83" t="s">
        <v>277</v>
      </c>
      <c r="D497" s="124"/>
      <c r="E497" s="149"/>
      <c r="F497" s="68"/>
      <c r="G497" s="78">
        <v>0</v>
      </c>
      <c r="H497" s="78"/>
      <c r="I497" s="296"/>
      <c r="J497" s="103"/>
      <c r="K497" s="76"/>
      <c r="L497" s="182"/>
      <c r="M497" s="77"/>
      <c r="N497" s="68"/>
      <c r="O497" s="61"/>
      <c r="P497" s="62"/>
      <c r="Q497" s="63"/>
    </row>
    <row r="498" spans="1:17" ht="14.1" customHeight="1" x14ac:dyDescent="0.25">
      <c r="A498" s="180"/>
      <c r="B498" s="438" t="s">
        <v>216</v>
      </c>
      <c r="C498" s="83" t="s">
        <v>217</v>
      </c>
      <c r="D498" s="124"/>
      <c r="E498" s="149"/>
      <c r="F498" s="68">
        <v>66602</v>
      </c>
      <c r="G498" s="78">
        <v>66602</v>
      </c>
      <c r="H498" s="78">
        <v>61052</v>
      </c>
      <c r="I498" s="296">
        <f t="shared" ref="I498:I500" si="47">H498/G498*100</f>
        <v>91.666916909402119</v>
      </c>
      <c r="J498" s="103"/>
      <c r="K498" s="76"/>
      <c r="L498" s="182"/>
      <c r="M498" s="77"/>
      <c r="N498" s="65"/>
      <c r="O498" s="132"/>
      <c r="P498" s="62"/>
      <c r="Q498" s="63"/>
    </row>
    <row r="499" spans="1:17" ht="14.1" customHeight="1" thickBot="1" x14ac:dyDescent="0.3">
      <c r="A499" s="180"/>
      <c r="B499" s="439" t="s">
        <v>222</v>
      </c>
      <c r="C499" s="702" t="s">
        <v>223</v>
      </c>
      <c r="D499" s="703"/>
      <c r="E499" s="703"/>
      <c r="F499" s="191"/>
      <c r="G499" s="78">
        <v>0</v>
      </c>
      <c r="H499" s="114"/>
      <c r="I499" s="292"/>
      <c r="J499" s="103"/>
      <c r="K499" s="106"/>
      <c r="L499" s="108"/>
      <c r="M499" s="108"/>
      <c r="N499" s="116"/>
      <c r="O499" s="117"/>
      <c r="P499" s="91"/>
      <c r="Q499" s="92"/>
    </row>
    <row r="500" spans="1:17" ht="14.1" customHeight="1" thickBot="1" x14ac:dyDescent="0.3">
      <c r="A500" s="180"/>
      <c r="B500" s="253"/>
      <c r="C500" s="631" t="s">
        <v>247</v>
      </c>
      <c r="D500" s="632"/>
      <c r="E500" s="632"/>
      <c r="F500" s="170">
        <f>SUM(F494:F499)</f>
        <v>90781</v>
      </c>
      <c r="G500" s="119">
        <f>SUM(G494:G499)</f>
        <v>90981</v>
      </c>
      <c r="H500" s="171">
        <f>SUM(H494:H499)</f>
        <v>61252</v>
      </c>
      <c r="I500" s="292">
        <f t="shared" si="47"/>
        <v>67.323946758114332</v>
      </c>
      <c r="J500" s="103"/>
      <c r="K500" s="631" t="s">
        <v>248</v>
      </c>
      <c r="L500" s="632"/>
      <c r="M500" s="632"/>
      <c r="N500" s="95">
        <f>SUM(N494:N499)</f>
        <v>26670</v>
      </c>
      <c r="O500" s="121">
        <f>SUM(O494:O499)</f>
        <v>26670</v>
      </c>
      <c r="P500" s="96"/>
      <c r="Q500" s="97"/>
    </row>
    <row r="501" spans="1:17" ht="14.1" customHeight="1" x14ac:dyDescent="0.25">
      <c r="A501" s="213" t="s">
        <v>301</v>
      </c>
      <c r="B501" s="696" t="s">
        <v>392</v>
      </c>
      <c r="C501" s="697"/>
      <c r="D501" s="697"/>
      <c r="E501" s="697"/>
      <c r="F501" s="123"/>
      <c r="G501" s="99"/>
      <c r="H501" s="100"/>
      <c r="I501" s="100"/>
      <c r="J501" s="696" t="s">
        <v>393</v>
      </c>
      <c r="K501" s="697"/>
      <c r="L501" s="697"/>
      <c r="M501" s="697"/>
      <c r="N501" s="123"/>
      <c r="O501" s="82"/>
      <c r="P501" s="54"/>
      <c r="Q501" s="55"/>
    </row>
    <row r="502" spans="1:17" ht="14.1" customHeight="1" x14ac:dyDescent="0.25">
      <c r="A502" s="50"/>
      <c r="B502" s="56" t="s">
        <v>171</v>
      </c>
      <c r="C502" s="57"/>
      <c r="D502" s="58"/>
      <c r="E502" s="58"/>
      <c r="F502" s="60"/>
      <c r="G502" s="36"/>
      <c r="H502" s="36"/>
      <c r="I502" s="36"/>
      <c r="J502" s="263" t="s">
        <v>310</v>
      </c>
      <c r="K502" s="149" t="s">
        <v>23</v>
      </c>
      <c r="L502" s="149"/>
      <c r="M502" s="149"/>
      <c r="N502" s="126"/>
      <c r="O502" s="226"/>
      <c r="P502" s="62"/>
      <c r="Q502" s="63"/>
    </row>
    <row r="503" spans="1:17" ht="14.1" customHeight="1" x14ac:dyDescent="0.25">
      <c r="A503" s="50"/>
      <c r="B503" s="64" t="s">
        <v>172</v>
      </c>
      <c r="C503" s="631" t="s">
        <v>173</v>
      </c>
      <c r="D503" s="632"/>
      <c r="E503" s="632"/>
      <c r="F503" s="68">
        <v>1171</v>
      </c>
      <c r="G503" s="78">
        <v>1171</v>
      </c>
      <c r="H503" s="78">
        <v>610</v>
      </c>
      <c r="I503" s="128">
        <f>H503/G503*100</f>
        <v>52.092228864218612</v>
      </c>
      <c r="J503" s="64" t="s">
        <v>394</v>
      </c>
      <c r="K503" s="124" t="s">
        <v>33</v>
      </c>
      <c r="L503" s="124"/>
      <c r="M503" s="124"/>
      <c r="N503" s="68">
        <v>1400</v>
      </c>
      <c r="O503" s="226">
        <v>1400</v>
      </c>
      <c r="P503" s="62">
        <v>1527</v>
      </c>
      <c r="Q503" s="105">
        <f>P503/O503*100</f>
        <v>109.07142857142857</v>
      </c>
    </row>
    <row r="504" spans="1:17" ht="14.1" customHeight="1" x14ac:dyDescent="0.25">
      <c r="A504" s="206"/>
      <c r="B504" s="64" t="s">
        <v>174</v>
      </c>
      <c r="C504" s="63" t="s">
        <v>175</v>
      </c>
      <c r="D504" s="69"/>
      <c r="E504" s="70"/>
      <c r="F504" s="68">
        <v>316</v>
      </c>
      <c r="G504" s="78">
        <v>316</v>
      </c>
      <c r="H504" s="78">
        <v>148</v>
      </c>
      <c r="I504" s="128">
        <f t="shared" ref="I504:I507" si="48">H504/G504*100</f>
        <v>46.835443037974684</v>
      </c>
      <c r="J504" s="56" t="s">
        <v>250</v>
      </c>
      <c r="K504" s="57"/>
      <c r="L504" s="80"/>
      <c r="M504" s="80"/>
      <c r="N504" s="68"/>
      <c r="O504" s="61"/>
      <c r="P504" s="62"/>
      <c r="Q504" s="105"/>
    </row>
    <row r="505" spans="1:17" ht="14.1" customHeight="1" x14ac:dyDescent="0.25">
      <c r="A505" s="50"/>
      <c r="B505" s="64" t="s">
        <v>176</v>
      </c>
      <c r="C505" s="640" t="s">
        <v>177</v>
      </c>
      <c r="D505" s="640"/>
      <c r="E505" s="641"/>
      <c r="F505" s="127">
        <v>5162</v>
      </c>
      <c r="G505" s="78">
        <v>5162</v>
      </c>
      <c r="H505" s="78">
        <v>2357</v>
      </c>
      <c r="I505" s="128">
        <f t="shared" si="48"/>
        <v>45.660596667958153</v>
      </c>
      <c r="J505" s="103" t="s">
        <v>395</v>
      </c>
      <c r="K505" s="76" t="s">
        <v>66</v>
      </c>
      <c r="L505" s="77"/>
      <c r="M505" s="77"/>
      <c r="N505" s="68">
        <v>3772</v>
      </c>
      <c r="O505" s="61">
        <v>3772</v>
      </c>
      <c r="P505" s="62">
        <v>1796</v>
      </c>
      <c r="Q505" s="105">
        <f t="shared" ref="Q505:Q507" si="49">P505/O505*100</f>
        <v>47.613997879109228</v>
      </c>
    </row>
    <row r="506" spans="1:17" ht="14.1" customHeight="1" thickBot="1" x14ac:dyDescent="0.3">
      <c r="A506" s="50"/>
      <c r="B506" s="67"/>
      <c r="C506" s="181"/>
      <c r="D506" s="80"/>
      <c r="E506" s="80"/>
      <c r="F506" s="116"/>
      <c r="G506" s="114"/>
      <c r="H506" s="114"/>
      <c r="I506" s="86"/>
      <c r="J506" s="103" t="s">
        <v>73</v>
      </c>
      <c r="K506" s="106" t="s">
        <v>74</v>
      </c>
      <c r="L506" s="108"/>
      <c r="M506" s="108"/>
      <c r="N506" s="68">
        <v>1057</v>
      </c>
      <c r="O506" s="61">
        <v>1057</v>
      </c>
      <c r="P506" s="62">
        <v>717</v>
      </c>
      <c r="Q506" s="105">
        <f t="shared" si="49"/>
        <v>67.833491012298964</v>
      </c>
    </row>
    <row r="507" spans="1:17" ht="14.1" customHeight="1" thickBot="1" x14ac:dyDescent="0.3">
      <c r="A507" s="50"/>
      <c r="B507" s="67"/>
      <c r="C507" s="631" t="s">
        <v>247</v>
      </c>
      <c r="D507" s="632"/>
      <c r="E507" s="632"/>
      <c r="F507" s="95">
        <f>SUM(F503:F506)</f>
        <v>6649</v>
      </c>
      <c r="G507" s="94">
        <f>SUM(G503:G506)</f>
        <v>6649</v>
      </c>
      <c r="H507" s="94">
        <f>SUM(H503:H506)</f>
        <v>3115</v>
      </c>
      <c r="I507" s="86">
        <f t="shared" si="48"/>
        <v>46.849150248157621</v>
      </c>
      <c r="J507" s="303" t="s">
        <v>396</v>
      </c>
      <c r="K507" s="76" t="s">
        <v>76</v>
      </c>
      <c r="L507" s="77"/>
      <c r="M507" s="77"/>
      <c r="N507" s="116">
        <v>858</v>
      </c>
      <c r="O507" s="117">
        <v>858</v>
      </c>
      <c r="P507" s="91">
        <v>344</v>
      </c>
      <c r="Q507" s="118">
        <f t="shared" si="49"/>
        <v>40.093240093240098</v>
      </c>
    </row>
    <row r="508" spans="1:17" ht="14.1" customHeight="1" thickBot="1" x14ac:dyDescent="0.3">
      <c r="A508" s="50"/>
      <c r="B508" s="67"/>
      <c r="C508" s="631"/>
      <c r="D508" s="632"/>
      <c r="E508" s="632"/>
      <c r="F508" s="81"/>
      <c r="G508" s="99"/>
      <c r="H508" s="100"/>
      <c r="I508" s="100"/>
      <c r="J508" s="304"/>
      <c r="K508" s="83" t="s">
        <v>248</v>
      </c>
      <c r="L508" s="124"/>
      <c r="M508" s="124"/>
      <c r="N508" s="95">
        <f>SUM(N503:N507)</f>
        <v>7087</v>
      </c>
      <c r="O508" s="121">
        <f>SUM(O503:O507)</f>
        <v>7087</v>
      </c>
      <c r="P508" s="121">
        <f>SUM(P503:P507)</f>
        <v>4384</v>
      </c>
      <c r="Q508" s="97"/>
    </row>
    <row r="509" spans="1:17" x14ac:dyDescent="0.25">
      <c r="A509" s="42" t="s">
        <v>304</v>
      </c>
      <c r="B509" s="696" t="s">
        <v>397</v>
      </c>
      <c r="C509" s="697"/>
      <c r="D509" s="697"/>
      <c r="E509" s="697"/>
      <c r="F509" s="123"/>
      <c r="G509" s="99"/>
      <c r="H509" s="100"/>
      <c r="I509" s="100"/>
      <c r="J509" s="696" t="s">
        <v>397</v>
      </c>
      <c r="K509" s="697"/>
      <c r="L509" s="697"/>
      <c r="M509" s="697"/>
      <c r="N509" s="123"/>
      <c r="O509" s="82"/>
      <c r="P509" s="440"/>
      <c r="Q509" s="441"/>
    </row>
    <row r="510" spans="1:17" ht="12.75" customHeight="1" x14ac:dyDescent="0.25">
      <c r="A510" s="199"/>
      <c r="B510" s="56" t="s">
        <v>171</v>
      </c>
      <c r="C510" s="57"/>
      <c r="D510" s="58"/>
      <c r="E510" s="58"/>
      <c r="F510" s="60"/>
      <c r="G510" s="78"/>
      <c r="H510" s="78"/>
      <c r="I510" s="78"/>
      <c r="J510" s="56" t="s">
        <v>250</v>
      </c>
      <c r="K510" s="57"/>
      <c r="L510" s="110"/>
      <c r="M510" s="110"/>
      <c r="N510" s="68"/>
      <c r="O510" s="61"/>
      <c r="P510" s="442"/>
      <c r="Q510" s="270"/>
    </row>
    <row r="511" spans="1:17" ht="12.75" customHeight="1" x14ac:dyDescent="0.25">
      <c r="A511" s="199"/>
      <c r="B511" s="64" t="s">
        <v>172</v>
      </c>
      <c r="C511" s="631" t="s">
        <v>173</v>
      </c>
      <c r="D511" s="632"/>
      <c r="E511" s="632"/>
      <c r="F511" s="65">
        <v>781</v>
      </c>
      <c r="G511" s="44">
        <v>781</v>
      </c>
      <c r="H511" s="44">
        <v>781</v>
      </c>
      <c r="I511" s="66">
        <f>H511/G511*100</f>
        <v>100</v>
      </c>
      <c r="J511" s="103" t="s">
        <v>395</v>
      </c>
      <c r="K511" s="76" t="s">
        <v>66</v>
      </c>
      <c r="L511" s="110"/>
      <c r="M511" s="110"/>
      <c r="N511" s="127"/>
      <c r="O511" s="164"/>
      <c r="P511" s="442">
        <v>20</v>
      </c>
      <c r="Q511" s="270"/>
    </row>
    <row r="512" spans="1:17" ht="12.75" customHeight="1" x14ac:dyDescent="0.25">
      <c r="A512" s="199"/>
      <c r="B512" s="64" t="s">
        <v>174</v>
      </c>
      <c r="C512" s="63" t="s">
        <v>175</v>
      </c>
      <c r="D512" s="69"/>
      <c r="E512" s="70"/>
      <c r="F512" s="65">
        <v>211</v>
      </c>
      <c r="G512" s="44">
        <v>211</v>
      </c>
      <c r="H512" s="44">
        <v>190</v>
      </c>
      <c r="I512" s="66">
        <f t="shared" ref="I512:I514" si="50">H512/G512*100</f>
        <v>90.047393364928908</v>
      </c>
      <c r="J512" s="103" t="s">
        <v>73</v>
      </c>
      <c r="K512" s="106" t="s">
        <v>74</v>
      </c>
      <c r="L512" s="110"/>
      <c r="M512" s="110"/>
      <c r="N512" s="127"/>
      <c r="O512" s="164"/>
      <c r="P512" s="442">
        <v>5</v>
      </c>
      <c r="Q512" s="270"/>
    </row>
    <row r="513" spans="1:17" ht="16.5" thickBot="1" x14ac:dyDescent="0.3">
      <c r="A513" s="50"/>
      <c r="B513" s="64" t="s">
        <v>176</v>
      </c>
      <c r="C513" s="640" t="s">
        <v>177</v>
      </c>
      <c r="D513" s="640"/>
      <c r="E513" s="641"/>
      <c r="F513" s="113">
        <v>3170</v>
      </c>
      <c r="G513" s="114">
        <v>3548</v>
      </c>
      <c r="H513" s="114">
        <v>2974</v>
      </c>
      <c r="I513" s="86">
        <f t="shared" si="50"/>
        <v>83.82187147688839</v>
      </c>
      <c r="J513" s="67"/>
      <c r="K513" s="631"/>
      <c r="L513" s="632"/>
      <c r="M513" s="632"/>
      <c r="N513" s="113"/>
      <c r="O513" s="211"/>
      <c r="P513" s="443"/>
      <c r="Q513" s="444"/>
    </row>
    <row r="514" spans="1:17" ht="16.5" thickBot="1" x14ac:dyDescent="0.3">
      <c r="A514" s="445"/>
      <c r="B514" s="67"/>
      <c r="C514" s="631" t="s">
        <v>247</v>
      </c>
      <c r="D514" s="632"/>
      <c r="E514" s="632"/>
      <c r="F514" s="95">
        <f>SUM(F511:F513)</f>
        <v>4162</v>
      </c>
      <c r="G514" s="94">
        <f>SUM(G511:G513)</f>
        <v>4540</v>
      </c>
      <c r="H514" s="94">
        <f>SUM(H511:H513)</f>
        <v>3945</v>
      </c>
      <c r="I514" s="86">
        <f t="shared" si="50"/>
        <v>86.894273127753308</v>
      </c>
      <c r="J514" s="270"/>
      <c r="K514" s="83" t="s">
        <v>248</v>
      </c>
      <c r="L514" s="186"/>
      <c r="M514" s="186"/>
      <c r="N514" s="446"/>
      <c r="O514" s="447"/>
      <c r="P514" s="448">
        <f>SUM(P511:P513)</f>
        <v>25</v>
      </c>
      <c r="Q514" s="444"/>
    </row>
    <row r="515" spans="1:17" x14ac:dyDescent="0.25">
      <c r="A515" s="42" t="s">
        <v>306</v>
      </c>
      <c r="B515" s="696" t="s">
        <v>398</v>
      </c>
      <c r="C515" s="697"/>
      <c r="D515" s="697"/>
      <c r="E515" s="697"/>
      <c r="F515" s="123"/>
      <c r="G515" s="99"/>
      <c r="H515" s="100"/>
      <c r="I515" s="100"/>
      <c r="J515" s="696" t="s">
        <v>398</v>
      </c>
      <c r="K515" s="697"/>
      <c r="L515" s="697"/>
      <c r="M515" s="697"/>
      <c r="N515" s="123"/>
      <c r="O515" s="204"/>
      <c r="P515" s="440"/>
      <c r="Q515" s="441"/>
    </row>
    <row r="516" spans="1:17" x14ac:dyDescent="0.25">
      <c r="A516" s="206"/>
      <c r="B516" s="56" t="s">
        <v>171</v>
      </c>
      <c r="C516" s="58"/>
      <c r="D516" s="58"/>
      <c r="E516" s="58"/>
      <c r="F516" s="60"/>
      <c r="G516" s="78"/>
      <c r="H516" s="78"/>
      <c r="I516" s="78"/>
      <c r="J516" s="67"/>
      <c r="K516" s="80"/>
      <c r="L516" s="80"/>
      <c r="M516" s="80"/>
      <c r="N516" s="68"/>
      <c r="O516" s="61"/>
      <c r="P516" s="442"/>
      <c r="Q516" s="270"/>
    </row>
    <row r="517" spans="1:17" ht="16.5" thickBot="1" x14ac:dyDescent="0.3">
      <c r="A517" s="206"/>
      <c r="B517" s="64" t="s">
        <v>291</v>
      </c>
      <c r="C517" s="201" t="s">
        <v>201</v>
      </c>
      <c r="D517" s="201"/>
      <c r="E517" s="76"/>
      <c r="F517" s="113">
        <v>6500</v>
      </c>
      <c r="G517" s="114">
        <f>12285-260</f>
        <v>12025</v>
      </c>
      <c r="H517" s="114">
        <v>9850</v>
      </c>
      <c r="I517" s="86">
        <f>H517/G517*100</f>
        <v>81.912681912681919</v>
      </c>
      <c r="J517" s="67"/>
      <c r="K517" s="80"/>
      <c r="L517" s="80"/>
      <c r="M517" s="80"/>
      <c r="N517" s="127"/>
      <c r="O517" s="132"/>
      <c r="P517" s="442"/>
      <c r="Q517" s="270"/>
    </row>
    <row r="518" spans="1:17" ht="16.5" thickBot="1" x14ac:dyDescent="0.3">
      <c r="A518" s="50"/>
      <c r="B518" s="109"/>
      <c r="C518" s="69" t="s">
        <v>247</v>
      </c>
      <c r="D518" s="110"/>
      <c r="E518" s="110"/>
      <c r="F518" s="95">
        <f>SUM(F517)</f>
        <v>6500</v>
      </c>
      <c r="G518" s="94">
        <f>SUM(G517)</f>
        <v>12025</v>
      </c>
      <c r="H518" s="94">
        <f>SUM(H517)</f>
        <v>9850</v>
      </c>
      <c r="I518" s="86">
        <f>H518/G518*100</f>
        <v>81.912681912681919</v>
      </c>
      <c r="J518" s="67"/>
      <c r="K518" s="631" t="s">
        <v>248</v>
      </c>
      <c r="L518" s="632"/>
      <c r="M518" s="632"/>
      <c r="N518" s="127"/>
      <c r="O518" s="449"/>
      <c r="P518" s="442"/>
      <c r="Q518" s="270"/>
    </row>
    <row r="519" spans="1:17" x14ac:dyDescent="0.25">
      <c r="A519" s="450" t="s">
        <v>308</v>
      </c>
      <c r="B519" s="700" t="s">
        <v>408</v>
      </c>
      <c r="C519" s="701"/>
      <c r="D519" s="701"/>
      <c r="E519" s="701"/>
      <c r="F519" s="203"/>
      <c r="G519" s="451"/>
      <c r="H519" s="452"/>
      <c r="I519" s="452"/>
      <c r="J519" s="700" t="s">
        <v>408</v>
      </c>
      <c r="K519" s="701"/>
      <c r="L519" s="701"/>
      <c r="M519" s="701"/>
      <c r="N519" s="123"/>
      <c r="O519" s="82"/>
      <c r="P519" s="442"/>
      <c r="Q519" s="270"/>
    </row>
    <row r="520" spans="1:17" x14ac:dyDescent="0.25">
      <c r="A520" s="50"/>
      <c r="B520" s="56" t="s">
        <v>171</v>
      </c>
      <c r="C520" s="58"/>
      <c r="D520" s="58"/>
      <c r="E520" s="110"/>
      <c r="F520" s="81"/>
      <c r="G520" s="451"/>
      <c r="H520" s="451"/>
      <c r="I520" s="451"/>
      <c r="J520" s="138" t="s">
        <v>97</v>
      </c>
      <c r="K520" s="642" t="s">
        <v>98</v>
      </c>
      <c r="L520" s="643"/>
      <c r="M520" s="643"/>
      <c r="N520" s="101"/>
      <c r="O520" s="82"/>
      <c r="P520" s="442"/>
      <c r="Q520" s="270"/>
    </row>
    <row r="521" spans="1:17" ht="16.5" thickBot="1" x14ac:dyDescent="0.3">
      <c r="A521" s="50"/>
      <c r="B521" s="64" t="s">
        <v>291</v>
      </c>
      <c r="C521" s="201" t="s">
        <v>201</v>
      </c>
      <c r="D521" s="201"/>
      <c r="E521" s="110"/>
      <c r="F521" s="113"/>
      <c r="G521" s="85">
        <v>150</v>
      </c>
      <c r="H521" s="85">
        <v>150</v>
      </c>
      <c r="I521" s="292">
        <f>H521/G521*100</f>
        <v>100</v>
      </c>
      <c r="J521" s="75" t="s">
        <v>103</v>
      </c>
      <c r="K521" s="83" t="s">
        <v>104</v>
      </c>
      <c r="L521" s="110"/>
      <c r="M521" s="110"/>
      <c r="N521" s="89"/>
      <c r="O521" s="90">
        <v>50</v>
      </c>
      <c r="P521" s="443">
        <v>50</v>
      </c>
      <c r="Q521" s="453">
        <f>P521/O521*100</f>
        <v>100</v>
      </c>
    </row>
    <row r="522" spans="1:17" ht="16.5" thickBot="1" x14ac:dyDescent="0.3">
      <c r="A522" s="50"/>
      <c r="B522" s="109"/>
      <c r="C522" s="69" t="s">
        <v>247</v>
      </c>
      <c r="D522" s="110"/>
      <c r="E522" s="110"/>
      <c r="F522" s="84"/>
      <c r="G522" s="94">
        <f>SUM(G521)</f>
        <v>150</v>
      </c>
      <c r="H522" s="94">
        <f>SUM(H521)</f>
        <v>150</v>
      </c>
      <c r="I522" s="292">
        <f>H522/G522*100</f>
        <v>100</v>
      </c>
      <c r="J522" s="221"/>
      <c r="K522" s="631" t="s">
        <v>248</v>
      </c>
      <c r="L522" s="632"/>
      <c r="M522" s="632"/>
      <c r="N522" s="89"/>
      <c r="O522" s="121">
        <f>SUM(O521)</f>
        <v>50</v>
      </c>
      <c r="P522" s="121">
        <f>SUM(P521)</f>
        <v>50</v>
      </c>
      <c r="Q522" s="453">
        <f>P522/O522*100</f>
        <v>100</v>
      </c>
    </row>
    <row r="523" spans="1:17" ht="30" customHeight="1" thickBot="1" x14ac:dyDescent="0.3">
      <c r="A523" s="42" t="s">
        <v>316</v>
      </c>
      <c r="B523" s="698" t="s">
        <v>399</v>
      </c>
      <c r="C523" s="699"/>
      <c r="D523" s="699"/>
      <c r="E523" s="699"/>
      <c r="F523" s="98"/>
      <c r="G523" s="99"/>
      <c r="H523" s="100"/>
      <c r="I523" s="100"/>
      <c r="J523" s="698" t="s">
        <v>399</v>
      </c>
      <c r="K523" s="699"/>
      <c r="L523" s="699"/>
      <c r="M523" s="699"/>
      <c r="N523" s="101"/>
      <c r="O523" s="82"/>
      <c r="P523" s="440"/>
      <c r="Q523" s="441"/>
    </row>
    <row r="524" spans="1:17" ht="16.5" thickBot="1" x14ac:dyDescent="0.3">
      <c r="A524" s="180"/>
      <c r="B524" s="144" t="s">
        <v>205</v>
      </c>
      <c r="C524" s="102"/>
      <c r="D524" s="102"/>
      <c r="E524" s="102"/>
      <c r="F524" s="60"/>
      <c r="G524" s="78"/>
      <c r="H524" s="426"/>
      <c r="I524" s="426"/>
      <c r="J524" s="432" t="s">
        <v>36</v>
      </c>
      <c r="K524" s="647" t="s">
        <v>387</v>
      </c>
      <c r="L524" s="691"/>
      <c r="M524" s="691"/>
      <c r="N524" s="408"/>
      <c r="O524" s="82"/>
      <c r="P524" s="442"/>
      <c r="Q524" s="270"/>
    </row>
    <row r="525" spans="1:17" x14ac:dyDescent="0.25">
      <c r="A525" s="199"/>
      <c r="B525" s="64" t="s">
        <v>38</v>
      </c>
      <c r="C525" s="83" t="s">
        <v>206</v>
      </c>
      <c r="D525" s="124"/>
      <c r="E525" s="149"/>
      <c r="F525" s="68">
        <v>149836</v>
      </c>
      <c r="G525" s="78">
        <f>149836+9</f>
        <v>149845</v>
      </c>
      <c r="H525" s="356">
        <v>149845</v>
      </c>
      <c r="I525" s="429">
        <f>H525/G525*100</f>
        <v>100</v>
      </c>
      <c r="J525" s="265" t="s">
        <v>215</v>
      </c>
      <c r="K525" s="629" t="s">
        <v>47</v>
      </c>
      <c r="L525" s="630"/>
      <c r="M525" s="630"/>
      <c r="N525" s="153">
        <v>149836</v>
      </c>
      <c r="O525" s="61">
        <v>149836</v>
      </c>
      <c r="P525" s="442">
        <v>149836</v>
      </c>
      <c r="Q525" s="454">
        <f>P525/O525*100</f>
        <v>100</v>
      </c>
    </row>
    <row r="526" spans="1:17" x14ac:dyDescent="0.25">
      <c r="A526" s="50"/>
      <c r="B526" s="64" t="s">
        <v>40</v>
      </c>
      <c r="C526" s="83" t="s">
        <v>277</v>
      </c>
      <c r="D526" s="124"/>
      <c r="E526" s="149"/>
      <c r="F526" s="233">
        <v>149836</v>
      </c>
      <c r="G526" s="189">
        <v>149836</v>
      </c>
      <c r="H526" s="189">
        <v>149845</v>
      </c>
      <c r="I526" s="429">
        <f t="shared" ref="I526:I529" si="51">H526/G526*100</f>
        <v>100.00600656718012</v>
      </c>
      <c r="J526" s="455"/>
      <c r="K526" s="629" t="s">
        <v>300</v>
      </c>
      <c r="L526" s="630"/>
      <c r="M526" s="630"/>
      <c r="N526" s="431">
        <v>149836</v>
      </c>
      <c r="O526" s="401">
        <v>149836</v>
      </c>
      <c r="P526" s="234">
        <v>149836</v>
      </c>
      <c r="Q526" s="454">
        <f t="shared" ref="Q526:Q529" si="52">P526/O526*100</f>
        <v>100</v>
      </c>
    </row>
    <row r="527" spans="1:17" x14ac:dyDescent="0.25">
      <c r="A527" s="50"/>
      <c r="B527" s="64" t="s">
        <v>38</v>
      </c>
      <c r="C527" s="83" t="s">
        <v>211</v>
      </c>
      <c r="D527" s="124"/>
      <c r="E527" s="149"/>
      <c r="F527" s="111">
        <v>2540</v>
      </c>
      <c r="G527" s="52">
        <f>4040-2540</f>
        <v>1500</v>
      </c>
      <c r="H527" s="52">
        <v>961</v>
      </c>
      <c r="I527" s="429">
        <f t="shared" si="51"/>
        <v>64.066666666666677</v>
      </c>
      <c r="J527" s="138" t="s">
        <v>105</v>
      </c>
      <c r="K527" s="139" t="s">
        <v>106</v>
      </c>
      <c r="L527" s="77"/>
      <c r="M527" s="77"/>
      <c r="N527" s="68"/>
      <c r="O527" s="61"/>
      <c r="P527" s="442"/>
      <c r="Q527" s="454"/>
    </row>
    <row r="528" spans="1:17" ht="16.5" thickBot="1" x14ac:dyDescent="0.3">
      <c r="A528" s="50"/>
      <c r="B528" s="64" t="s">
        <v>40</v>
      </c>
      <c r="C528" s="83" t="s">
        <v>400</v>
      </c>
      <c r="D528" s="124"/>
      <c r="E528" s="149"/>
      <c r="F528" s="297"/>
      <c r="G528" s="114">
        <v>0</v>
      </c>
      <c r="H528" s="114"/>
      <c r="I528" s="86"/>
      <c r="J528" s="103" t="s">
        <v>111</v>
      </c>
      <c r="K528" s="83" t="s">
        <v>112</v>
      </c>
      <c r="L528" s="77"/>
      <c r="M528" s="77"/>
      <c r="N528" s="116"/>
      <c r="O528" s="117">
        <v>1000</v>
      </c>
      <c r="P528" s="443">
        <v>1000</v>
      </c>
      <c r="Q528" s="454">
        <f t="shared" si="52"/>
        <v>100</v>
      </c>
    </row>
    <row r="529" spans="1:17" ht="16.5" thickBot="1" x14ac:dyDescent="0.3">
      <c r="A529" s="50"/>
      <c r="B529" s="67"/>
      <c r="C529" s="631" t="s">
        <v>247</v>
      </c>
      <c r="D529" s="632"/>
      <c r="E529" s="632"/>
      <c r="F529" s="95">
        <f>SUM(F527,F525)</f>
        <v>152376</v>
      </c>
      <c r="G529" s="94">
        <f>SUM(G527,G525)</f>
        <v>151345</v>
      </c>
      <c r="H529" s="94">
        <f>SUM(H527,H525)</f>
        <v>150806</v>
      </c>
      <c r="I529" s="86">
        <f t="shared" si="51"/>
        <v>99.643860054841582</v>
      </c>
      <c r="J529" s="221"/>
      <c r="K529" s="631" t="s">
        <v>248</v>
      </c>
      <c r="L529" s="632"/>
      <c r="M529" s="632"/>
      <c r="N529" s="95">
        <f>SUM(N525)</f>
        <v>149836</v>
      </c>
      <c r="O529" s="121">
        <f>SUM(O525+O528)</f>
        <v>150836</v>
      </c>
      <c r="P529" s="456">
        <f>SUM(P528,P525)</f>
        <v>150836</v>
      </c>
      <c r="Q529" s="453">
        <f t="shared" si="52"/>
        <v>100</v>
      </c>
    </row>
    <row r="530" spans="1:17" x14ac:dyDescent="0.25">
      <c r="A530" s="42" t="s">
        <v>319</v>
      </c>
      <c r="B530" s="694" t="s">
        <v>401</v>
      </c>
      <c r="C530" s="695"/>
      <c r="D530" s="695"/>
      <c r="E530" s="695"/>
      <c r="F530" s="326"/>
      <c r="G530" s="52"/>
      <c r="H530" s="53"/>
      <c r="I530" s="53"/>
      <c r="J530" s="694" t="s">
        <v>401</v>
      </c>
      <c r="K530" s="695"/>
      <c r="L530" s="695"/>
      <c r="M530" s="695"/>
      <c r="N530" s="214"/>
      <c r="O530" s="47"/>
      <c r="P530" s="440"/>
      <c r="Q530" s="441"/>
    </row>
    <row r="531" spans="1:17" x14ac:dyDescent="0.25">
      <c r="A531" s="50"/>
      <c r="B531" s="56" t="s">
        <v>171</v>
      </c>
      <c r="C531" s="102"/>
      <c r="D531" s="80"/>
      <c r="E531" s="80"/>
      <c r="F531" s="127"/>
      <c r="G531" s="78"/>
      <c r="H531" s="78"/>
      <c r="I531" s="78"/>
      <c r="J531" s="56" t="s">
        <v>250</v>
      </c>
      <c r="K531" s="57"/>
      <c r="L531" s="80"/>
      <c r="M531" s="80"/>
      <c r="N531" s="68"/>
      <c r="O531" s="61"/>
      <c r="P531" s="442"/>
      <c r="Q531" s="270"/>
    </row>
    <row r="532" spans="1:17" x14ac:dyDescent="0.25">
      <c r="A532" s="50"/>
      <c r="B532" s="64" t="s">
        <v>251</v>
      </c>
      <c r="C532" s="640" t="s">
        <v>177</v>
      </c>
      <c r="D532" s="640"/>
      <c r="E532" s="641"/>
      <c r="F532" s="73">
        <v>4448</v>
      </c>
      <c r="G532" s="44">
        <f>4448+430</f>
        <v>4878</v>
      </c>
      <c r="H532" s="44">
        <v>4878</v>
      </c>
      <c r="I532" s="66">
        <f>H532/G532*100</f>
        <v>100</v>
      </c>
      <c r="J532" s="103" t="s">
        <v>71</v>
      </c>
      <c r="K532" s="641" t="s">
        <v>72</v>
      </c>
      <c r="L532" s="651"/>
      <c r="M532" s="651"/>
      <c r="N532" s="68">
        <v>1695</v>
      </c>
      <c r="O532" s="61">
        <v>1695</v>
      </c>
      <c r="P532" s="442">
        <v>1505</v>
      </c>
      <c r="Q532" s="454">
        <f>P532/O532*100</f>
        <v>88.790560471976391</v>
      </c>
    </row>
    <row r="533" spans="1:17" x14ac:dyDescent="0.25">
      <c r="A533" s="50"/>
      <c r="B533" s="64"/>
      <c r="C533" s="201"/>
      <c r="D533" s="201"/>
      <c r="E533" s="76"/>
      <c r="F533" s="68"/>
      <c r="G533" s="78"/>
      <c r="H533" s="78"/>
      <c r="I533" s="66"/>
      <c r="J533" s="103" t="s">
        <v>73</v>
      </c>
      <c r="K533" s="106" t="s">
        <v>74</v>
      </c>
      <c r="L533" s="108"/>
      <c r="M533" s="108"/>
      <c r="N533" s="68">
        <v>458</v>
      </c>
      <c r="O533" s="61">
        <v>458</v>
      </c>
      <c r="P533" s="442">
        <v>406</v>
      </c>
      <c r="Q533" s="454">
        <f t="shared" ref="Q533:Q535" si="53">P533/O533*100</f>
        <v>88.646288209606979</v>
      </c>
    </row>
    <row r="534" spans="1:17" ht="16.5" thickBot="1" x14ac:dyDescent="0.3">
      <c r="A534" s="50"/>
      <c r="B534" s="64"/>
      <c r="C534" s="201"/>
      <c r="D534" s="201"/>
      <c r="E534" s="76"/>
      <c r="F534" s="89"/>
      <c r="G534" s="85"/>
      <c r="H534" s="457"/>
      <c r="I534" s="86"/>
      <c r="J534" s="303" t="s">
        <v>75</v>
      </c>
      <c r="K534" s="641" t="s">
        <v>76</v>
      </c>
      <c r="L534" s="651"/>
      <c r="M534" s="651"/>
      <c r="N534" s="116">
        <v>848</v>
      </c>
      <c r="O534" s="117">
        <v>848</v>
      </c>
      <c r="P534" s="443">
        <v>1000</v>
      </c>
      <c r="Q534" s="453">
        <f t="shared" si="53"/>
        <v>117.9245283018868</v>
      </c>
    </row>
    <row r="535" spans="1:17" ht="16.5" thickBot="1" x14ac:dyDescent="0.3">
      <c r="A535" s="50"/>
      <c r="B535" s="67"/>
      <c r="C535" s="69" t="s">
        <v>247</v>
      </c>
      <c r="D535" s="69"/>
      <c r="E535" s="70"/>
      <c r="F535" s="95">
        <f>SUM(F532:F534)</f>
        <v>4448</v>
      </c>
      <c r="G535" s="94">
        <f>SUM(G532)</f>
        <v>4878</v>
      </c>
      <c r="H535" s="458">
        <f>SUM(H532)</f>
        <v>4878</v>
      </c>
      <c r="I535" s="86">
        <f t="shared" ref="I535" si="54">H535/G535*100</f>
        <v>100</v>
      </c>
      <c r="J535" s="304"/>
      <c r="K535" s="631" t="s">
        <v>248</v>
      </c>
      <c r="L535" s="632"/>
      <c r="M535" s="632"/>
      <c r="N535" s="95">
        <f>SUM(N532:N534)</f>
        <v>3001</v>
      </c>
      <c r="O535" s="121">
        <f>SUM(O532:O534)</f>
        <v>3001</v>
      </c>
      <c r="P535" s="456">
        <f>SUM(P532:P534)</f>
        <v>2911</v>
      </c>
      <c r="Q535" s="459">
        <f t="shared" si="53"/>
        <v>97.000999666777744</v>
      </c>
    </row>
    <row r="536" spans="1:17" ht="16.5" thickBot="1" x14ac:dyDescent="0.3">
      <c r="A536" s="213" t="s">
        <v>321</v>
      </c>
      <c r="B536" s="692" t="s">
        <v>402</v>
      </c>
      <c r="C536" s="693"/>
      <c r="D536" s="693"/>
      <c r="E536" s="693"/>
      <c r="F536" s="326"/>
      <c r="G536" s="215"/>
      <c r="H536" s="216"/>
      <c r="I536" s="216"/>
      <c r="J536" s="692" t="s">
        <v>402</v>
      </c>
      <c r="K536" s="693"/>
      <c r="L536" s="693"/>
      <c r="M536" s="693"/>
      <c r="N536" s="123"/>
      <c r="O536" s="217"/>
      <c r="P536" s="440"/>
      <c r="Q536" s="441"/>
    </row>
    <row r="537" spans="1:17" ht="16.5" thickBot="1" x14ac:dyDescent="0.3">
      <c r="A537" s="50"/>
      <c r="B537" s="56" t="s">
        <v>171</v>
      </c>
      <c r="C537" s="57"/>
      <c r="D537" s="58"/>
      <c r="E537" s="58"/>
      <c r="F537" s="60"/>
      <c r="G537" s="218"/>
      <c r="H537" s="460"/>
      <c r="I537" s="460"/>
      <c r="J537" s="432" t="s">
        <v>36</v>
      </c>
      <c r="K537" s="647" t="s">
        <v>403</v>
      </c>
      <c r="L537" s="691"/>
      <c r="M537" s="691"/>
      <c r="N537" s="408"/>
      <c r="O537" s="217"/>
      <c r="P537" s="442"/>
      <c r="Q537" s="270"/>
    </row>
    <row r="538" spans="1:17" ht="16.5" thickBot="1" x14ac:dyDescent="0.3">
      <c r="A538" s="50"/>
      <c r="B538" s="64" t="s">
        <v>172</v>
      </c>
      <c r="C538" s="631" t="s">
        <v>173</v>
      </c>
      <c r="D538" s="632"/>
      <c r="E538" s="632"/>
      <c r="F538" s="68"/>
      <c r="G538" s="78">
        <v>141</v>
      </c>
      <c r="H538" s="356">
        <v>141</v>
      </c>
      <c r="I538" s="429">
        <f>H538/G538*100</f>
        <v>100</v>
      </c>
      <c r="J538" s="265" t="s">
        <v>215</v>
      </c>
      <c r="K538" s="629" t="s">
        <v>47</v>
      </c>
      <c r="L538" s="630"/>
      <c r="M538" s="630"/>
      <c r="N538" s="461"/>
      <c r="O538" s="90">
        <v>7990</v>
      </c>
      <c r="P538" s="443">
        <v>7990</v>
      </c>
      <c r="Q538" s="453">
        <f>P538/O538*100</f>
        <v>100</v>
      </c>
    </row>
    <row r="539" spans="1:17" ht="16.5" thickBot="1" x14ac:dyDescent="0.3">
      <c r="A539" s="50"/>
      <c r="B539" s="64" t="s">
        <v>174</v>
      </c>
      <c r="C539" s="63" t="s">
        <v>175</v>
      </c>
      <c r="D539" s="69"/>
      <c r="E539" s="70"/>
      <c r="F539" s="68"/>
      <c r="G539" s="78">
        <v>38</v>
      </c>
      <c r="H539" s="79">
        <v>38</v>
      </c>
      <c r="I539" s="429">
        <f t="shared" ref="I539:I543" si="55">H539/G539*100</f>
        <v>100</v>
      </c>
      <c r="J539" s="304"/>
      <c r="K539" s="631" t="s">
        <v>248</v>
      </c>
      <c r="L539" s="632"/>
      <c r="M539" s="632"/>
      <c r="N539" s="89"/>
      <c r="O539" s="121">
        <f>SUM(O538)</f>
        <v>7990</v>
      </c>
      <c r="P539" s="121">
        <f>SUM(P538)</f>
        <v>7990</v>
      </c>
      <c r="Q539" s="453">
        <f>P539/O539*100</f>
        <v>100</v>
      </c>
    </row>
    <row r="540" spans="1:17" x14ac:dyDescent="0.25">
      <c r="A540" s="50"/>
      <c r="B540" s="64" t="s">
        <v>176</v>
      </c>
      <c r="C540" s="640" t="s">
        <v>177</v>
      </c>
      <c r="D540" s="640"/>
      <c r="E540" s="641"/>
      <c r="F540" s="127"/>
      <c r="G540" s="78">
        <v>1417</v>
      </c>
      <c r="H540" s="79">
        <v>426</v>
      </c>
      <c r="I540" s="429">
        <f t="shared" si="55"/>
        <v>30.063514467184195</v>
      </c>
      <c r="J540" s="304"/>
      <c r="K540" s="124"/>
      <c r="L540" s="124"/>
      <c r="M540" s="124"/>
      <c r="N540" s="111"/>
      <c r="O540" s="272"/>
      <c r="P540" s="440"/>
      <c r="Q540" s="441"/>
    </row>
    <row r="541" spans="1:17" x14ac:dyDescent="0.25">
      <c r="A541" s="50"/>
      <c r="B541" s="144" t="s">
        <v>205</v>
      </c>
      <c r="C541" s="102"/>
      <c r="D541" s="102"/>
      <c r="E541" s="102"/>
      <c r="F541" s="60"/>
      <c r="G541" s="78"/>
      <c r="H541" s="79"/>
      <c r="I541" s="429"/>
      <c r="J541" s="304"/>
      <c r="K541" s="124"/>
      <c r="L541" s="124"/>
      <c r="M541" s="124"/>
      <c r="N541" s="127"/>
      <c r="O541" s="275"/>
      <c r="P541" s="442"/>
      <c r="Q541" s="270"/>
    </row>
    <row r="542" spans="1:17" ht="16.5" thickBot="1" x14ac:dyDescent="0.3">
      <c r="A542" s="50"/>
      <c r="B542" s="64" t="s">
        <v>38</v>
      </c>
      <c r="C542" s="83" t="s">
        <v>206</v>
      </c>
      <c r="D542" s="124"/>
      <c r="E542" s="149"/>
      <c r="F542" s="297"/>
      <c r="G542" s="114">
        <v>10124</v>
      </c>
      <c r="H542" s="462">
        <v>10124</v>
      </c>
      <c r="I542" s="463">
        <f t="shared" si="55"/>
        <v>100</v>
      </c>
      <c r="J542" s="304"/>
      <c r="K542" s="124"/>
      <c r="L542" s="124"/>
      <c r="M542" s="124"/>
      <c r="N542" s="127"/>
      <c r="O542" s="275"/>
      <c r="P542" s="442"/>
      <c r="Q542" s="270"/>
    </row>
    <row r="543" spans="1:17" ht="16.5" thickBot="1" x14ac:dyDescent="0.3">
      <c r="A543" s="50"/>
      <c r="B543" s="67"/>
      <c r="C543" s="631" t="s">
        <v>247</v>
      </c>
      <c r="D543" s="632"/>
      <c r="E543" s="632"/>
      <c r="F543" s="89"/>
      <c r="G543" s="94">
        <f>SUM(G538:G542)</f>
        <v>11720</v>
      </c>
      <c r="H543" s="94">
        <f>SUM(H538:H542)</f>
        <v>10729</v>
      </c>
      <c r="I543" s="463">
        <f t="shared" si="55"/>
        <v>91.544368600682589</v>
      </c>
      <c r="J543" s="304"/>
      <c r="K543" s="124"/>
      <c r="L543" s="124"/>
      <c r="M543" s="124"/>
      <c r="N543" s="127"/>
      <c r="O543" s="275"/>
      <c r="P543" s="442"/>
      <c r="Q543" s="270"/>
    </row>
    <row r="544" spans="1:17" x14ac:dyDescent="0.25">
      <c r="A544" s="42" t="s">
        <v>323</v>
      </c>
      <c r="B544" s="686" t="s">
        <v>331</v>
      </c>
      <c r="C544" s="687"/>
      <c r="D544" s="687"/>
      <c r="E544" s="687"/>
      <c r="F544" s="203"/>
      <c r="G544" s="99"/>
      <c r="H544" s="100"/>
      <c r="I544" s="100"/>
      <c r="J544" s="686" t="s">
        <v>331</v>
      </c>
      <c r="K544" s="687"/>
      <c r="L544" s="687"/>
      <c r="M544" s="687"/>
      <c r="N544" s="300"/>
      <c r="O544" s="164"/>
      <c r="P544" s="442"/>
      <c r="Q544" s="270"/>
    </row>
    <row r="545" spans="1:17" x14ac:dyDescent="0.25">
      <c r="A545" s="50"/>
      <c r="B545" s="328" t="s">
        <v>171</v>
      </c>
      <c r="C545" s="329"/>
      <c r="D545" s="329"/>
      <c r="E545" s="329"/>
      <c r="F545" s="59"/>
      <c r="G545" s="44"/>
      <c r="H545" s="331"/>
      <c r="I545" s="331"/>
      <c r="J545" s="332" t="s">
        <v>332</v>
      </c>
      <c r="K545" s="106"/>
      <c r="L545" s="108"/>
      <c r="M545" s="108"/>
      <c r="N545" s="81"/>
      <c r="O545" s="82"/>
      <c r="P545" s="442"/>
      <c r="Q545" s="270"/>
    </row>
    <row r="546" spans="1:17" x14ac:dyDescent="0.25">
      <c r="A546" s="50"/>
      <c r="B546" s="103" t="s">
        <v>192</v>
      </c>
      <c r="C546" s="325" t="s">
        <v>193</v>
      </c>
      <c r="D546" s="201"/>
      <c r="E546" s="76"/>
      <c r="F546" s="127"/>
      <c r="G546" s="78">
        <v>150</v>
      </c>
      <c r="H546" s="78">
        <v>150</v>
      </c>
      <c r="I546" s="128">
        <f>H546/G546*100</f>
        <v>100</v>
      </c>
      <c r="J546" s="103" t="s">
        <v>333</v>
      </c>
      <c r="K546" s="106" t="s">
        <v>334</v>
      </c>
      <c r="L546" s="140"/>
      <c r="M546" s="140"/>
      <c r="N546" s="68">
        <v>323146</v>
      </c>
      <c r="O546" s="61">
        <v>0</v>
      </c>
      <c r="P546" s="442"/>
      <c r="Q546" s="270"/>
    </row>
    <row r="547" spans="1:17" ht="16.5" thickBot="1" x14ac:dyDescent="0.3">
      <c r="A547" s="50"/>
      <c r="B547" s="351" t="s">
        <v>205</v>
      </c>
      <c r="C547" s="352"/>
      <c r="D547" s="77"/>
      <c r="E547" s="77"/>
      <c r="F547" s="68"/>
      <c r="G547" s="78"/>
      <c r="H547" s="78"/>
      <c r="I547" s="86"/>
      <c r="J547" s="138" t="s">
        <v>97</v>
      </c>
      <c r="K547" s="642" t="s">
        <v>98</v>
      </c>
      <c r="L547" s="643"/>
      <c r="M547" s="643"/>
      <c r="N547" s="101"/>
      <c r="O547" s="82"/>
      <c r="P547" s="442"/>
      <c r="Q547" s="270"/>
    </row>
    <row r="548" spans="1:17" x14ac:dyDescent="0.25">
      <c r="A548" s="50"/>
      <c r="B548" s="103" t="s">
        <v>219</v>
      </c>
      <c r="C548" s="325" t="s">
        <v>193</v>
      </c>
      <c r="D548" s="77"/>
      <c r="E548" s="77"/>
      <c r="F548" s="68"/>
      <c r="G548" s="78">
        <v>26318</v>
      </c>
      <c r="H548" s="79">
        <v>18784</v>
      </c>
      <c r="I548" s="296">
        <f t="shared" ref="I548:I551" si="56">H548/G548*100</f>
        <v>71.373204650809328</v>
      </c>
      <c r="J548" s="75" t="s">
        <v>101</v>
      </c>
      <c r="K548" s="83" t="s">
        <v>102</v>
      </c>
      <c r="L548" s="110"/>
      <c r="M548" s="110"/>
      <c r="N548" s="81"/>
      <c r="O548" s="82">
        <v>150</v>
      </c>
      <c r="P548" s="442">
        <v>350</v>
      </c>
      <c r="Q548" s="454">
        <f>P548/O548*100</f>
        <v>233.33333333333334</v>
      </c>
    </row>
    <row r="549" spans="1:17" ht="16.5" thickBot="1" x14ac:dyDescent="0.3">
      <c r="A549" s="50"/>
      <c r="B549" s="303"/>
      <c r="C549" s="330"/>
      <c r="D549" s="77"/>
      <c r="E549" s="77"/>
      <c r="F549" s="68"/>
      <c r="G549" s="78"/>
      <c r="H549" s="78"/>
      <c r="I549" s="86"/>
      <c r="J549" s="138" t="s">
        <v>105</v>
      </c>
      <c r="K549" s="139" t="s">
        <v>106</v>
      </c>
      <c r="L549" s="110"/>
      <c r="M549" s="110"/>
      <c r="N549" s="81"/>
      <c r="O549" s="82"/>
      <c r="P549" s="442"/>
      <c r="Q549" s="454"/>
    </row>
    <row r="550" spans="1:17" ht="16.5" thickBot="1" x14ac:dyDescent="0.3">
      <c r="A550" s="50"/>
      <c r="B550" s="303"/>
      <c r="C550" s="330"/>
      <c r="D550" s="77"/>
      <c r="E550" s="77"/>
      <c r="F550" s="89"/>
      <c r="G550" s="85"/>
      <c r="H550" s="85"/>
      <c r="I550" s="86"/>
      <c r="J550" s="103" t="s">
        <v>109</v>
      </c>
      <c r="K550" s="83" t="s">
        <v>110</v>
      </c>
      <c r="L550" s="110"/>
      <c r="M550" s="110"/>
      <c r="N550" s="89"/>
      <c r="O550" s="90">
        <v>26318</v>
      </c>
      <c r="P550" s="443">
        <v>15284</v>
      </c>
      <c r="Q550" s="453">
        <f t="shared" ref="Q550:Q551" si="57">P550/O550*100</f>
        <v>58.074321756972417</v>
      </c>
    </row>
    <row r="551" spans="1:17" ht="16.5" thickBot="1" x14ac:dyDescent="0.3">
      <c r="A551" s="50"/>
      <c r="B551" s="83" t="s">
        <v>247</v>
      </c>
      <c r="C551" s="124"/>
      <c r="D551" s="124"/>
      <c r="E551" s="149"/>
      <c r="F551" s="214"/>
      <c r="G551" s="52">
        <f>SUM(G548,G546)</f>
        <v>26468</v>
      </c>
      <c r="H551" s="53">
        <f>SUM(H546:H550)</f>
        <v>18934</v>
      </c>
      <c r="I551" s="66">
        <f t="shared" si="56"/>
        <v>71.535439020704246</v>
      </c>
      <c r="J551" s="221"/>
      <c r="K551" s="631" t="s">
        <v>248</v>
      </c>
      <c r="L551" s="632"/>
      <c r="M551" s="632"/>
      <c r="N551" s="95">
        <f>SUM(N546:N550)</f>
        <v>323146</v>
      </c>
      <c r="O551" s="121">
        <f>SUM(O546+O548+O550)</f>
        <v>26468</v>
      </c>
      <c r="P551" s="456">
        <f>SUM(P548:P550)</f>
        <v>15634</v>
      </c>
      <c r="Q551" s="453">
        <f t="shared" si="57"/>
        <v>59.067553271875475</v>
      </c>
    </row>
    <row r="552" spans="1:17" x14ac:dyDescent="0.25">
      <c r="A552" s="213" t="s">
        <v>325</v>
      </c>
      <c r="B552" s="464" t="s">
        <v>423</v>
      </c>
      <c r="C552" s="465"/>
      <c r="D552" s="465"/>
      <c r="E552" s="466"/>
      <c r="F552" s="300"/>
      <c r="G552" s="78"/>
      <c r="H552" s="78"/>
      <c r="I552" s="78"/>
      <c r="J552" s="467"/>
      <c r="K552" s="83"/>
      <c r="L552" s="124"/>
      <c r="M552" s="124"/>
      <c r="N552" s="111"/>
      <c r="O552" s="272"/>
      <c r="P552" s="440"/>
      <c r="Q552" s="441"/>
    </row>
    <row r="553" spans="1:17" x14ac:dyDescent="0.25">
      <c r="A553" s="50"/>
      <c r="B553" s="56" t="s">
        <v>171</v>
      </c>
      <c r="C553" s="57"/>
      <c r="D553" s="58"/>
      <c r="E553" s="58"/>
      <c r="F553" s="107"/>
      <c r="G553" s="78"/>
      <c r="H553" s="78"/>
      <c r="I553" s="78"/>
      <c r="J553" s="467"/>
      <c r="K553" s="83"/>
      <c r="L553" s="124"/>
      <c r="M553" s="124"/>
      <c r="N553" s="127"/>
      <c r="O553" s="275"/>
      <c r="P553" s="442"/>
      <c r="Q553" s="270"/>
    </row>
    <row r="554" spans="1:17" ht="16.5" thickBot="1" x14ac:dyDescent="0.3">
      <c r="A554" s="50"/>
      <c r="B554" s="64" t="s">
        <v>176</v>
      </c>
      <c r="C554" s="640" t="s">
        <v>177</v>
      </c>
      <c r="D554" s="640"/>
      <c r="E554" s="641"/>
      <c r="F554" s="84"/>
      <c r="G554" s="85">
        <v>60</v>
      </c>
      <c r="H554" s="468">
        <v>59</v>
      </c>
      <c r="I554" s="463">
        <f>H554/G554*100</f>
        <v>98.333333333333329</v>
      </c>
      <c r="J554" s="467"/>
      <c r="K554" s="83"/>
      <c r="L554" s="124"/>
      <c r="M554" s="124"/>
      <c r="N554" s="127"/>
      <c r="O554" s="275"/>
      <c r="P554" s="442"/>
      <c r="Q554" s="270"/>
    </row>
    <row r="555" spans="1:17" ht="16.5" thickBot="1" x14ac:dyDescent="0.3">
      <c r="A555" s="50"/>
      <c r="B555" s="67"/>
      <c r="C555" s="631" t="s">
        <v>247</v>
      </c>
      <c r="D555" s="632"/>
      <c r="E555" s="632"/>
      <c r="F555" s="89"/>
      <c r="G555" s="85">
        <f>SUM(G554)</f>
        <v>60</v>
      </c>
      <c r="H555" s="469">
        <f>SUM(H554)</f>
        <v>59</v>
      </c>
      <c r="I555" s="463">
        <f>H555/G555*100</f>
        <v>98.333333333333329</v>
      </c>
      <c r="J555" s="467"/>
      <c r="K555" s="83"/>
      <c r="L555" s="124"/>
      <c r="M555" s="124"/>
      <c r="N555" s="81"/>
      <c r="O555" s="272"/>
      <c r="P555" s="442"/>
      <c r="Q555" s="270"/>
    </row>
    <row r="556" spans="1:17" x14ac:dyDescent="0.25">
      <c r="A556" s="688" t="s">
        <v>404</v>
      </c>
      <c r="B556" s="689"/>
      <c r="C556" s="689"/>
      <c r="D556" s="689"/>
      <c r="E556" s="690"/>
      <c r="F556" s="342"/>
      <c r="G556" s="99"/>
      <c r="H556" s="436"/>
      <c r="I556" s="436"/>
      <c r="J556" s="470" t="s">
        <v>405</v>
      </c>
      <c r="K556" s="471"/>
      <c r="L556" s="471"/>
      <c r="M556" s="471"/>
      <c r="N556" s="107"/>
      <c r="O556" s="472"/>
      <c r="P556" s="442"/>
      <c r="Q556" s="270"/>
    </row>
    <row r="557" spans="1:17" x14ac:dyDescent="0.25">
      <c r="A557" s="328" t="s">
        <v>171</v>
      </c>
      <c r="B557" s="329"/>
      <c r="C557" s="329"/>
      <c r="D557" s="329"/>
      <c r="E557" s="329"/>
      <c r="F557" s="107"/>
      <c r="G557" s="78"/>
      <c r="H557" s="79"/>
      <c r="I557" s="79"/>
      <c r="J557" s="473" t="s">
        <v>8</v>
      </c>
      <c r="K557" s="346" t="s">
        <v>9</v>
      </c>
      <c r="L557" s="346"/>
      <c r="M557" s="474"/>
      <c r="N557" s="475"/>
      <c r="O557" s="314"/>
      <c r="P557" s="442"/>
      <c r="Q557" s="270"/>
    </row>
    <row r="558" spans="1:17" ht="12.75" customHeight="1" x14ac:dyDescent="0.25">
      <c r="A558" s="347"/>
      <c r="B558" s="103" t="s">
        <v>172</v>
      </c>
      <c r="C558" s="325" t="s">
        <v>173</v>
      </c>
      <c r="D558" s="330"/>
      <c r="E558" s="330"/>
      <c r="F558" s="127">
        <v>46763</v>
      </c>
      <c r="G558" s="78">
        <f>G420+G447+G477+G487+G503+G511+G453+G538</f>
        <v>55959</v>
      </c>
      <c r="H558" s="78">
        <f>H420+H447+H477+H487+H503+H511+H453+H538</f>
        <v>54220</v>
      </c>
      <c r="I558" s="128">
        <f>H558/G558*100</f>
        <v>96.892367626297826</v>
      </c>
      <c r="J558" s="67" t="s">
        <v>10</v>
      </c>
      <c r="K558" s="666" t="s">
        <v>11</v>
      </c>
      <c r="L558" s="667"/>
      <c r="M558" s="668"/>
      <c r="N558" s="476"/>
      <c r="O558" s="61"/>
      <c r="P558" s="61"/>
      <c r="Q558" s="270"/>
    </row>
    <row r="559" spans="1:17" ht="12.75" customHeight="1" x14ac:dyDescent="0.25">
      <c r="A559" s="347"/>
      <c r="B559" s="103" t="s">
        <v>174</v>
      </c>
      <c r="C559" s="63" t="s">
        <v>175</v>
      </c>
      <c r="D559" s="63"/>
      <c r="E559" s="106"/>
      <c r="F559" s="127">
        <v>12361</v>
      </c>
      <c r="G559" s="78">
        <f>G421+G448+G478+G488+G504+G512+G454+G539</f>
        <v>14828</v>
      </c>
      <c r="H559" s="78">
        <f>H421+H448+H478+H488+H504+H512+H454+H539</f>
        <v>13766</v>
      </c>
      <c r="I559" s="128">
        <f t="shared" ref="I559:I592" si="58">H559/G559*100</f>
        <v>92.837874291880226</v>
      </c>
      <c r="J559" s="64" t="s">
        <v>12</v>
      </c>
      <c r="K559" s="666" t="s">
        <v>13</v>
      </c>
      <c r="L559" s="667"/>
      <c r="M559" s="668"/>
      <c r="N559" s="476"/>
      <c r="O559" s="61"/>
      <c r="P559" s="61"/>
      <c r="Q559" s="270"/>
    </row>
    <row r="560" spans="1:17" ht="12.75" customHeight="1" x14ac:dyDescent="0.25">
      <c r="A560" s="347"/>
      <c r="B560" s="103" t="s">
        <v>176</v>
      </c>
      <c r="C560" s="325" t="s">
        <v>177</v>
      </c>
      <c r="D560" s="330"/>
      <c r="E560" s="330"/>
      <c r="F560" s="127">
        <v>124088</v>
      </c>
      <c r="G560" s="78">
        <f>G532+G513+G505+G494+G489+G479+G471+G464+G449+G424+G455+G540+G554</f>
        <v>453968</v>
      </c>
      <c r="H560" s="78">
        <f>H532+H513+H505+H494+H489+H479+H471+H464+H449+H424+H455+H540+H554</f>
        <v>309368</v>
      </c>
      <c r="I560" s="128">
        <f t="shared" si="58"/>
        <v>68.147534627991405</v>
      </c>
      <c r="J560" s="64" t="s">
        <v>14</v>
      </c>
      <c r="K560" s="666" t="s">
        <v>15</v>
      </c>
      <c r="L560" s="667"/>
      <c r="M560" s="668"/>
      <c r="N560" s="476"/>
      <c r="O560" s="61">
        <f>SUM(O433)</f>
        <v>11287</v>
      </c>
      <c r="P560" s="61">
        <f>SUM(P433)</f>
        <v>11287</v>
      </c>
      <c r="Q560" s="454">
        <f>P560/O560*100</f>
        <v>100</v>
      </c>
    </row>
    <row r="561" spans="1:21" ht="12.75" customHeight="1" x14ac:dyDescent="0.25">
      <c r="A561" s="347"/>
      <c r="B561" s="103" t="s">
        <v>178</v>
      </c>
      <c r="C561" s="63" t="s">
        <v>179</v>
      </c>
      <c r="D561" s="201"/>
      <c r="E561" s="76"/>
      <c r="F561" s="127"/>
      <c r="G561" s="78"/>
      <c r="H561" s="78"/>
      <c r="I561" s="128"/>
      <c r="J561" s="64" t="s">
        <v>16</v>
      </c>
      <c r="K561" s="666" t="s">
        <v>17</v>
      </c>
      <c r="L561" s="667"/>
      <c r="M561" s="668"/>
      <c r="N561" s="476"/>
      <c r="O561" s="61"/>
      <c r="P561" s="61"/>
      <c r="Q561" s="454"/>
    </row>
    <row r="562" spans="1:21" x14ac:dyDescent="0.25">
      <c r="A562" s="347"/>
      <c r="B562" s="103" t="s">
        <v>180</v>
      </c>
      <c r="C562" s="63" t="s">
        <v>181</v>
      </c>
      <c r="D562" s="201"/>
      <c r="E562" s="76"/>
      <c r="F562" s="127"/>
      <c r="G562" s="78"/>
      <c r="H562" s="78"/>
      <c r="I562" s="128"/>
      <c r="J562" s="348" t="s">
        <v>18</v>
      </c>
      <c r="K562" s="670" t="s">
        <v>19</v>
      </c>
      <c r="L562" s="671"/>
      <c r="M562" s="672"/>
      <c r="N562" s="477"/>
      <c r="O562" s="61">
        <f>SUM(O434)</f>
        <v>104</v>
      </c>
      <c r="P562" s="61">
        <f>SUM(P434)</f>
        <v>104</v>
      </c>
      <c r="Q562" s="454">
        <f t="shared" ref="Q562" si="59">P562/O562*100</f>
        <v>100</v>
      </c>
      <c r="R562" s="478"/>
      <c r="S562" s="21"/>
      <c r="T562" s="21"/>
      <c r="U562" s="186"/>
    </row>
    <row r="563" spans="1:21" x14ac:dyDescent="0.25">
      <c r="A563" s="347"/>
      <c r="B563" s="103" t="s">
        <v>182</v>
      </c>
      <c r="C563" s="63" t="s">
        <v>183</v>
      </c>
      <c r="D563" s="201"/>
      <c r="E563" s="76"/>
      <c r="F563" s="127"/>
      <c r="G563" s="78"/>
      <c r="H563" s="78"/>
      <c r="I563" s="128"/>
      <c r="J563" s="75" t="s">
        <v>20</v>
      </c>
      <c r="K563" s="83" t="s">
        <v>21</v>
      </c>
      <c r="L563" s="110"/>
      <c r="M563" s="479"/>
      <c r="N563" s="477"/>
      <c r="O563" s="61"/>
      <c r="P563" s="61"/>
      <c r="Q563" s="270"/>
      <c r="R563" s="186"/>
      <c r="S563" s="186"/>
      <c r="T563" s="186"/>
      <c r="U563" s="186"/>
    </row>
    <row r="564" spans="1:21" x14ac:dyDescent="0.25">
      <c r="A564" s="347"/>
      <c r="B564" s="103" t="s">
        <v>184</v>
      </c>
      <c r="C564" s="63" t="s">
        <v>185</v>
      </c>
      <c r="D564" s="330"/>
      <c r="E564" s="330"/>
      <c r="F564" s="127"/>
      <c r="G564" s="78"/>
      <c r="H564" s="78"/>
      <c r="I564" s="128"/>
      <c r="J564" s="138" t="s">
        <v>22</v>
      </c>
      <c r="K564" s="139" t="s">
        <v>23</v>
      </c>
      <c r="L564" s="140"/>
      <c r="M564" s="480"/>
      <c r="N564" s="475"/>
      <c r="O564" s="61"/>
      <c r="P564" s="61"/>
      <c r="Q564" s="270"/>
    </row>
    <row r="565" spans="1:21" x14ac:dyDescent="0.25">
      <c r="A565" s="347"/>
      <c r="B565" s="103" t="s">
        <v>186</v>
      </c>
      <c r="C565" s="325" t="s">
        <v>187</v>
      </c>
      <c r="D565" s="201"/>
      <c r="E565" s="76"/>
      <c r="F565" s="127"/>
      <c r="G565" s="78"/>
      <c r="H565" s="78"/>
      <c r="I565" s="128"/>
      <c r="J565" s="103" t="s">
        <v>24</v>
      </c>
      <c r="K565" s="106" t="s">
        <v>25</v>
      </c>
      <c r="L565" s="108"/>
      <c r="M565" s="481"/>
      <c r="N565" s="477"/>
      <c r="O565" s="61"/>
      <c r="P565" s="61"/>
      <c r="Q565" s="270"/>
    </row>
    <row r="566" spans="1:21" x14ac:dyDescent="0.25">
      <c r="A566" s="347"/>
      <c r="B566" s="103" t="s">
        <v>188</v>
      </c>
      <c r="C566" s="201" t="s">
        <v>189</v>
      </c>
      <c r="D566" s="201"/>
      <c r="E566" s="76"/>
      <c r="F566" s="127">
        <v>2000</v>
      </c>
      <c r="G566" s="78">
        <f>G425</f>
        <v>2000</v>
      </c>
      <c r="H566" s="78">
        <f>H425</f>
        <v>1922</v>
      </c>
      <c r="I566" s="128">
        <f t="shared" si="58"/>
        <v>96.1</v>
      </c>
      <c r="J566" s="290" t="s">
        <v>26</v>
      </c>
      <c r="K566" s="350" t="s">
        <v>27</v>
      </c>
      <c r="L566" s="186"/>
      <c r="M566" s="186"/>
      <c r="N566" s="482"/>
      <c r="O566" s="61"/>
      <c r="P566" s="61"/>
      <c r="Q566" s="270"/>
    </row>
    <row r="567" spans="1:21" x14ac:dyDescent="0.25">
      <c r="A567" s="347"/>
      <c r="B567" s="103" t="s">
        <v>190</v>
      </c>
      <c r="C567" s="201" t="s">
        <v>191</v>
      </c>
      <c r="D567" s="330"/>
      <c r="E567" s="330"/>
      <c r="F567" s="127"/>
      <c r="G567" s="78"/>
      <c r="H567" s="78"/>
      <c r="I567" s="128"/>
      <c r="J567" s="103" t="s">
        <v>28</v>
      </c>
      <c r="K567" s="76" t="s">
        <v>29</v>
      </c>
      <c r="L567" s="77"/>
      <c r="M567" s="483"/>
      <c r="N567" s="477"/>
      <c r="O567" s="61"/>
      <c r="P567" s="61"/>
      <c r="Q567" s="270"/>
    </row>
    <row r="568" spans="1:21" x14ac:dyDescent="0.25">
      <c r="A568" s="347"/>
      <c r="B568" s="103" t="s">
        <v>192</v>
      </c>
      <c r="C568" s="325" t="s">
        <v>193</v>
      </c>
      <c r="D568" s="201"/>
      <c r="E568" s="76"/>
      <c r="F568" s="127"/>
      <c r="G568" s="78">
        <f>SUM(G546)</f>
        <v>150</v>
      </c>
      <c r="H568" s="78">
        <f>SUM(H546)</f>
        <v>150</v>
      </c>
      <c r="I568" s="128">
        <f t="shared" si="58"/>
        <v>100</v>
      </c>
      <c r="J568" s="290" t="s">
        <v>30</v>
      </c>
      <c r="K568" s="106" t="s">
        <v>31</v>
      </c>
      <c r="L568" s="108"/>
      <c r="M568" s="481"/>
      <c r="N568" s="477"/>
      <c r="O568" s="61"/>
      <c r="P568" s="61"/>
      <c r="Q568" s="270"/>
    </row>
    <row r="569" spans="1:21" x14ac:dyDescent="0.25">
      <c r="A569" s="347"/>
      <c r="B569" s="103" t="s">
        <v>194</v>
      </c>
      <c r="C569" s="325" t="s">
        <v>195</v>
      </c>
      <c r="D569" s="201"/>
      <c r="E569" s="76"/>
      <c r="F569" s="127"/>
      <c r="G569" s="78"/>
      <c r="H569" s="78"/>
      <c r="I569" s="128"/>
      <c r="J569" s="103" t="s">
        <v>32</v>
      </c>
      <c r="K569" s="76" t="s">
        <v>33</v>
      </c>
      <c r="L569" s="77"/>
      <c r="M569" s="483"/>
      <c r="N569" s="477">
        <v>135949</v>
      </c>
      <c r="O569" s="61">
        <f>O503+O477+O420</f>
        <v>160851</v>
      </c>
      <c r="P569" s="61">
        <f>P503+P477+P420</f>
        <v>135996</v>
      </c>
      <c r="Q569" s="454">
        <f>P569/O569*100</f>
        <v>84.547811328496564</v>
      </c>
    </row>
    <row r="570" spans="1:21" x14ac:dyDescent="0.25">
      <c r="A570" s="347"/>
      <c r="B570" s="103" t="s">
        <v>196</v>
      </c>
      <c r="C570" s="325" t="s">
        <v>197</v>
      </c>
      <c r="D570" s="330"/>
      <c r="E570" s="330"/>
      <c r="F570" s="127"/>
      <c r="G570" s="78"/>
      <c r="H570" s="78"/>
      <c r="I570" s="128"/>
      <c r="J570" s="290" t="s">
        <v>34</v>
      </c>
      <c r="K570" s="106" t="s">
        <v>35</v>
      </c>
      <c r="L570" s="108"/>
      <c r="M570" s="481"/>
      <c r="N570" s="484">
        <v>135949</v>
      </c>
      <c r="O570" s="188">
        <f>O478+O421</f>
        <v>159451</v>
      </c>
      <c r="P570" s="188">
        <f>P478+P421</f>
        <v>130269</v>
      </c>
      <c r="Q570" s="454">
        <f>P570/O570*100</f>
        <v>81.698452816225682</v>
      </c>
    </row>
    <row r="571" spans="1:21" x14ac:dyDescent="0.25">
      <c r="A571" s="347"/>
      <c r="B571" s="103" t="s">
        <v>198</v>
      </c>
      <c r="C571" s="325" t="s">
        <v>199</v>
      </c>
      <c r="D571" s="330"/>
      <c r="E571" s="330"/>
      <c r="F571" s="127"/>
      <c r="G571" s="78"/>
      <c r="H571" s="78"/>
      <c r="I571" s="128"/>
      <c r="J571" s="138" t="s">
        <v>36</v>
      </c>
      <c r="K571" s="139" t="s">
        <v>37</v>
      </c>
      <c r="L571" s="140"/>
      <c r="M571" s="480"/>
      <c r="N571" s="475"/>
      <c r="O571" s="61"/>
      <c r="P571" s="61"/>
      <c r="Q571" s="270"/>
    </row>
    <row r="572" spans="1:21" x14ac:dyDescent="0.25">
      <c r="A572" s="347"/>
      <c r="B572" s="103" t="s">
        <v>200</v>
      </c>
      <c r="C572" s="325" t="s">
        <v>201</v>
      </c>
      <c r="D572" s="330"/>
      <c r="E572" s="330"/>
      <c r="F572" s="127">
        <v>10300</v>
      </c>
      <c r="G572" s="78">
        <f>G517+G490+G465+G521</f>
        <v>17439</v>
      </c>
      <c r="H572" s="78">
        <f>H517+H490+H465+H521</f>
        <v>15264</v>
      </c>
      <c r="I572" s="128">
        <f t="shared" si="58"/>
        <v>87.527954584551864</v>
      </c>
      <c r="J572" s="103" t="s">
        <v>38</v>
      </c>
      <c r="K572" s="106" t="s">
        <v>39</v>
      </c>
      <c r="L572" s="108"/>
      <c r="M572" s="481"/>
      <c r="N572" s="477"/>
      <c r="O572" s="61"/>
      <c r="P572" s="61"/>
      <c r="Q572" s="270"/>
    </row>
    <row r="573" spans="1:21" ht="12.75" customHeight="1" thickBot="1" x14ac:dyDescent="0.3">
      <c r="A573" s="347"/>
      <c r="B573" s="103" t="s">
        <v>202</v>
      </c>
      <c r="C573" s="325" t="s">
        <v>203</v>
      </c>
      <c r="D573" s="330"/>
      <c r="E573" s="330"/>
      <c r="F573" s="113"/>
      <c r="G573" s="114"/>
      <c r="H573" s="114"/>
      <c r="I573" s="86"/>
      <c r="J573" s="103" t="s">
        <v>40</v>
      </c>
      <c r="K573" s="350" t="s">
        <v>41</v>
      </c>
      <c r="L573" s="108"/>
      <c r="M573" s="481"/>
      <c r="N573" s="477"/>
      <c r="O573" s="226"/>
      <c r="P573" s="226"/>
      <c r="Q573" s="270"/>
    </row>
    <row r="574" spans="1:21" ht="12.75" customHeight="1" thickBot="1" x14ac:dyDescent="0.3">
      <c r="A574" s="347"/>
      <c r="B574" s="103"/>
      <c r="C574" s="328" t="s">
        <v>204</v>
      </c>
      <c r="D574" s="330"/>
      <c r="E574" s="330"/>
      <c r="F574" s="93">
        <f>SUM(F558:F572)</f>
        <v>195512</v>
      </c>
      <c r="G574" s="94">
        <f>SUM(G558:G573)</f>
        <v>544344</v>
      </c>
      <c r="H574" s="94">
        <f>SUM(H558:H573)</f>
        <v>394690</v>
      </c>
      <c r="I574" s="86">
        <f t="shared" si="58"/>
        <v>72.507458518877769</v>
      </c>
      <c r="J574" s="103" t="s">
        <v>42</v>
      </c>
      <c r="K574" s="76" t="s">
        <v>43</v>
      </c>
      <c r="L574" s="77"/>
      <c r="M574" s="483"/>
      <c r="N574" s="477"/>
      <c r="O574" s="61"/>
      <c r="P574" s="61"/>
      <c r="Q574" s="270"/>
    </row>
    <row r="575" spans="1:21" ht="12.75" customHeight="1" x14ac:dyDescent="0.25">
      <c r="A575" s="351" t="s">
        <v>205</v>
      </c>
      <c r="B575" s="352"/>
      <c r="C575" s="353"/>
      <c r="D575" s="354"/>
      <c r="E575" s="354"/>
      <c r="F575" s="342"/>
      <c r="G575" s="451"/>
      <c r="H575" s="451"/>
      <c r="I575" s="296"/>
      <c r="J575" s="103" t="s">
        <v>44</v>
      </c>
      <c r="K575" s="106" t="s">
        <v>45</v>
      </c>
      <c r="L575" s="108"/>
      <c r="M575" s="481"/>
      <c r="N575" s="477"/>
      <c r="O575" s="61"/>
      <c r="P575" s="61"/>
      <c r="Q575" s="270"/>
    </row>
    <row r="576" spans="1:21" ht="12.75" customHeight="1" x14ac:dyDescent="0.25">
      <c r="A576" s="347"/>
      <c r="B576" s="103" t="s">
        <v>38</v>
      </c>
      <c r="C576" s="325" t="s">
        <v>206</v>
      </c>
      <c r="D576" s="330"/>
      <c r="E576" s="330"/>
      <c r="F576" s="127">
        <v>1561501</v>
      </c>
      <c r="G576" s="78">
        <f>G525+G496+G481+G457+G428+G542+G467</f>
        <v>1338646</v>
      </c>
      <c r="H576" s="78">
        <f>H525+H496+H481+H457+H428+H542+H467</f>
        <v>1313181</v>
      </c>
      <c r="I576" s="128">
        <f t="shared" si="58"/>
        <v>98.097704695640218</v>
      </c>
      <c r="J576" s="103" t="s">
        <v>46</v>
      </c>
      <c r="K576" s="106" t="s">
        <v>47</v>
      </c>
      <c r="L576" s="108"/>
      <c r="M576" s="481"/>
      <c r="N576" s="477">
        <v>925507</v>
      </c>
      <c r="O576" s="61">
        <f>O525+O480+O459+O538+O464</f>
        <v>1303092</v>
      </c>
      <c r="P576" s="61">
        <f>P525+P480+P459+P538+P464</f>
        <v>1276003</v>
      </c>
      <c r="Q576" s="454">
        <f>P576/O576*100</f>
        <v>97.921175174124315</v>
      </c>
    </row>
    <row r="577" spans="1:17" ht="12.75" customHeight="1" x14ac:dyDescent="0.25">
      <c r="A577" s="347"/>
      <c r="B577" s="103" t="s">
        <v>207</v>
      </c>
      <c r="C577" s="76" t="s">
        <v>406</v>
      </c>
      <c r="D577" s="330"/>
      <c r="E577" s="330"/>
      <c r="F577" s="355">
        <v>294139</v>
      </c>
      <c r="G577" s="189">
        <f>G458</f>
        <v>305090</v>
      </c>
      <c r="H577" s="189">
        <f>H458</f>
        <v>10414</v>
      </c>
      <c r="I577" s="128">
        <f t="shared" si="58"/>
        <v>3.4134189911173749</v>
      </c>
      <c r="J577" s="103" t="s">
        <v>48</v>
      </c>
      <c r="K577" s="106" t="s">
        <v>35</v>
      </c>
      <c r="L577" s="108"/>
      <c r="M577" s="481"/>
      <c r="N577" s="484">
        <v>705326</v>
      </c>
      <c r="O577" s="188">
        <f>O526+O481+O460</f>
        <v>725051</v>
      </c>
      <c r="P577" s="188">
        <f>P526+P481+P460</f>
        <v>715637</v>
      </c>
      <c r="Q577" s="454">
        <f>P577/O577*100</f>
        <v>98.701608576500135</v>
      </c>
    </row>
    <row r="578" spans="1:17" x14ac:dyDescent="0.25">
      <c r="A578" s="347"/>
      <c r="B578" s="103"/>
      <c r="C578" s="325" t="s">
        <v>209</v>
      </c>
      <c r="D578" s="77"/>
      <c r="E578" s="77"/>
      <c r="F578" s="355">
        <v>1248653</v>
      </c>
      <c r="G578" s="189">
        <f>G526+G482+G459+G429</f>
        <v>1299804</v>
      </c>
      <c r="H578" s="189">
        <f>H526+H482+H459+H429</f>
        <v>1289370</v>
      </c>
      <c r="I578" s="128">
        <f t="shared" si="58"/>
        <v>99.197263587433184</v>
      </c>
      <c r="J578" s="138" t="s">
        <v>49</v>
      </c>
      <c r="K578" s="139" t="s">
        <v>50</v>
      </c>
      <c r="L578" s="140"/>
      <c r="M578" s="480"/>
      <c r="N578" s="475"/>
      <c r="O578" s="61"/>
      <c r="P578" s="61"/>
      <c r="Q578" s="270"/>
    </row>
    <row r="579" spans="1:17" x14ac:dyDescent="0.25">
      <c r="A579" s="347"/>
      <c r="B579" s="103" t="s">
        <v>210</v>
      </c>
      <c r="C579" s="325" t="s">
        <v>211</v>
      </c>
      <c r="D579" s="77"/>
      <c r="E579" s="77"/>
      <c r="F579" s="127">
        <v>2540</v>
      </c>
      <c r="G579" s="78">
        <f>G527</f>
        <v>1500</v>
      </c>
      <c r="H579" s="78">
        <f>H527</f>
        <v>961</v>
      </c>
      <c r="I579" s="128">
        <f t="shared" si="58"/>
        <v>64.066666666666677</v>
      </c>
      <c r="J579" s="103" t="s">
        <v>51</v>
      </c>
      <c r="K579" s="106" t="s">
        <v>52</v>
      </c>
      <c r="L579" s="108"/>
      <c r="M579" s="480"/>
      <c r="N579" s="475"/>
      <c r="O579" s="61"/>
      <c r="P579" s="61"/>
      <c r="Q579" s="270"/>
    </row>
    <row r="580" spans="1:17" x14ac:dyDescent="0.25">
      <c r="A580" s="347"/>
      <c r="B580" s="103"/>
      <c r="C580" s="325" t="s">
        <v>212</v>
      </c>
      <c r="D580" s="330"/>
      <c r="E580" s="330"/>
      <c r="F580" s="127"/>
      <c r="G580" s="78"/>
      <c r="H580" s="78"/>
      <c r="I580" s="128"/>
      <c r="J580" s="103" t="s">
        <v>53</v>
      </c>
      <c r="K580" s="106" t="s">
        <v>54</v>
      </c>
      <c r="L580" s="108"/>
      <c r="M580" s="480"/>
      <c r="N580" s="475"/>
      <c r="O580" s="61"/>
      <c r="P580" s="61"/>
      <c r="Q580" s="270"/>
    </row>
    <row r="581" spans="1:17" x14ac:dyDescent="0.25">
      <c r="A581" s="347"/>
      <c r="B581" s="103" t="s">
        <v>213</v>
      </c>
      <c r="C581" s="63" t="s">
        <v>183</v>
      </c>
      <c r="D581" s="330"/>
      <c r="E581" s="330"/>
      <c r="F581" s="127"/>
      <c r="G581" s="78"/>
      <c r="H581" s="78"/>
      <c r="I581" s="128"/>
      <c r="J581" s="103" t="s">
        <v>55</v>
      </c>
      <c r="K581" s="70" t="s">
        <v>56</v>
      </c>
      <c r="L581" s="149"/>
      <c r="M581" s="485"/>
      <c r="N581" s="475"/>
      <c r="O581" s="61"/>
      <c r="P581" s="61"/>
      <c r="Q581" s="270"/>
    </row>
    <row r="582" spans="1:17" ht="33.75" customHeight="1" x14ac:dyDescent="0.25">
      <c r="A582" s="347"/>
      <c r="B582" s="103" t="s">
        <v>214</v>
      </c>
      <c r="C582" s="63" t="s">
        <v>185</v>
      </c>
      <c r="D582" s="77"/>
      <c r="E582" s="77"/>
      <c r="F582" s="127"/>
      <c r="G582" s="78"/>
      <c r="H582" s="78"/>
      <c r="I582" s="128"/>
      <c r="J582" s="265" t="s">
        <v>57</v>
      </c>
      <c r="K582" s="629" t="s">
        <v>58</v>
      </c>
      <c r="L582" s="630"/>
      <c r="M582" s="633"/>
      <c r="N582" s="486"/>
      <c r="O582" s="61"/>
      <c r="P582" s="61"/>
      <c r="Q582" s="270"/>
    </row>
    <row r="583" spans="1:17" ht="45.75" customHeight="1" x14ac:dyDescent="0.25">
      <c r="A583" s="347"/>
      <c r="B583" s="103" t="s">
        <v>215</v>
      </c>
      <c r="C583" s="325" t="s">
        <v>187</v>
      </c>
      <c r="D583" s="77"/>
      <c r="E583" s="77"/>
      <c r="F583" s="127"/>
      <c r="G583" s="78"/>
      <c r="H583" s="78"/>
      <c r="I583" s="128"/>
      <c r="J583" s="265" t="s">
        <v>59</v>
      </c>
      <c r="K583" s="629" t="s">
        <v>60</v>
      </c>
      <c r="L583" s="630"/>
      <c r="M583" s="633"/>
      <c r="N583" s="486"/>
      <c r="O583" s="61"/>
      <c r="P583" s="61"/>
      <c r="Q583" s="270"/>
    </row>
    <row r="584" spans="1:17" x14ac:dyDescent="0.25">
      <c r="A584" s="347"/>
      <c r="B584" s="103"/>
      <c r="C584" s="325"/>
      <c r="D584" s="77"/>
      <c r="E584" s="77"/>
      <c r="F584" s="127"/>
      <c r="G584" s="78"/>
      <c r="H584" s="78"/>
      <c r="I584" s="128"/>
      <c r="J584" s="337" t="s">
        <v>439</v>
      </c>
      <c r="K584" s="629" t="s">
        <v>440</v>
      </c>
      <c r="L584" s="630"/>
      <c r="M584" s="633"/>
      <c r="N584" s="486"/>
      <c r="O584" s="61"/>
      <c r="P584" s="61"/>
      <c r="Q584" s="270"/>
    </row>
    <row r="585" spans="1:17" x14ac:dyDescent="0.25">
      <c r="A585" s="347"/>
      <c r="B585" s="103" t="s">
        <v>216</v>
      </c>
      <c r="C585" s="63" t="s">
        <v>217</v>
      </c>
      <c r="D585" s="77"/>
      <c r="E585" s="77"/>
      <c r="F585" s="127"/>
      <c r="G585" s="78">
        <f>SUM(G498)</f>
        <v>66602</v>
      </c>
      <c r="H585" s="78">
        <f>SUM(H498)</f>
        <v>61052</v>
      </c>
      <c r="I585" s="128">
        <f t="shared" si="58"/>
        <v>91.666916909402119</v>
      </c>
      <c r="J585" s="138" t="s">
        <v>61</v>
      </c>
      <c r="K585" s="139" t="s">
        <v>62</v>
      </c>
      <c r="L585" s="140"/>
      <c r="M585" s="480"/>
      <c r="N585" s="475"/>
      <c r="O585" s="61"/>
      <c r="P585" s="61"/>
      <c r="Q585" s="270"/>
    </row>
    <row r="586" spans="1:17" x14ac:dyDescent="0.25">
      <c r="A586" s="347"/>
      <c r="B586" s="103" t="s">
        <v>218</v>
      </c>
      <c r="C586" s="201" t="s">
        <v>191</v>
      </c>
      <c r="D586" s="330"/>
      <c r="E586" s="330"/>
      <c r="F586" s="127"/>
      <c r="G586" s="78"/>
      <c r="H586" s="78"/>
      <c r="I586" s="128"/>
      <c r="J586" s="103" t="s">
        <v>63</v>
      </c>
      <c r="K586" s="106" t="s">
        <v>64</v>
      </c>
      <c r="L586" s="108"/>
      <c r="M586" s="481"/>
      <c r="N586" s="477">
        <v>75</v>
      </c>
      <c r="O586" s="61">
        <f>SUM(O447)</f>
        <v>75</v>
      </c>
      <c r="P586" s="61">
        <f>SUM(P447)</f>
        <v>207</v>
      </c>
      <c r="Q586" s="454">
        <f>P586/O586*100</f>
        <v>276</v>
      </c>
    </row>
    <row r="587" spans="1:17" x14ac:dyDescent="0.25">
      <c r="A587" s="347"/>
      <c r="B587" s="103" t="s">
        <v>219</v>
      </c>
      <c r="C587" s="325" t="s">
        <v>193</v>
      </c>
      <c r="D587" s="77"/>
      <c r="E587" s="77"/>
      <c r="F587" s="127">
        <v>1000</v>
      </c>
      <c r="G587" s="78">
        <f>G443+G548</f>
        <v>27318</v>
      </c>
      <c r="H587" s="78">
        <f>H443+H548</f>
        <v>19184</v>
      </c>
      <c r="I587" s="128">
        <f t="shared" si="58"/>
        <v>70.224760231349293</v>
      </c>
      <c r="J587" s="103" t="s">
        <v>65</v>
      </c>
      <c r="K587" s="106" t="s">
        <v>66</v>
      </c>
      <c r="L587" s="108"/>
      <c r="M587" s="481"/>
      <c r="N587" s="477">
        <v>3772</v>
      </c>
      <c r="O587" s="61">
        <f>SUM(O505,O455)</f>
        <v>10882</v>
      </c>
      <c r="P587" s="61">
        <f>SUM(P505,P455,P511)</f>
        <v>3743</v>
      </c>
      <c r="Q587" s="454">
        <f t="shared" ref="Q587:Q592" si="60">P587/O587*100</f>
        <v>34.396250689211541</v>
      </c>
    </row>
    <row r="588" spans="1:17" x14ac:dyDescent="0.25">
      <c r="A588" s="347"/>
      <c r="B588" s="103" t="s">
        <v>220</v>
      </c>
      <c r="C588" s="76" t="s">
        <v>221</v>
      </c>
      <c r="D588" s="77"/>
      <c r="E588" s="77"/>
      <c r="F588" s="127"/>
      <c r="G588" s="78"/>
      <c r="H588" s="78"/>
      <c r="I588" s="128"/>
      <c r="J588" s="103" t="s">
        <v>67</v>
      </c>
      <c r="K588" s="106" t="s">
        <v>68</v>
      </c>
      <c r="L588" s="108"/>
      <c r="M588" s="481"/>
      <c r="N588" s="477">
        <v>150</v>
      </c>
      <c r="O588" s="61">
        <f>O471</f>
        <v>150</v>
      </c>
      <c r="P588" s="61">
        <f>P471</f>
        <v>0</v>
      </c>
      <c r="Q588" s="454">
        <f t="shared" si="60"/>
        <v>0</v>
      </c>
    </row>
    <row r="589" spans="1:17" x14ac:dyDescent="0.25">
      <c r="A589" s="347"/>
      <c r="B589" s="103" t="s">
        <v>222</v>
      </c>
      <c r="C589" s="325" t="s">
        <v>223</v>
      </c>
      <c r="D589" s="330"/>
      <c r="E589" s="330"/>
      <c r="F589" s="127">
        <v>66602</v>
      </c>
      <c r="G589" s="78">
        <f>G499</f>
        <v>0</v>
      </c>
      <c r="H589" s="78">
        <f>H499</f>
        <v>0</v>
      </c>
      <c r="I589" s="128"/>
      <c r="J589" s="103" t="s">
        <v>69</v>
      </c>
      <c r="K589" s="106" t="s">
        <v>70</v>
      </c>
      <c r="L589" s="108"/>
      <c r="M589" s="481"/>
      <c r="N589" s="477">
        <v>21000</v>
      </c>
      <c r="O589" s="229">
        <f>O494</f>
        <v>21000</v>
      </c>
      <c r="P589" s="229">
        <f>P494</f>
        <v>0</v>
      </c>
      <c r="Q589" s="454">
        <f t="shared" si="60"/>
        <v>0</v>
      </c>
    </row>
    <row r="590" spans="1:17" ht="16.5" thickBot="1" x14ac:dyDescent="0.3">
      <c r="A590" s="347"/>
      <c r="B590" s="103" t="s">
        <v>224</v>
      </c>
      <c r="C590" s="76" t="s">
        <v>225</v>
      </c>
      <c r="D590" s="77"/>
      <c r="E590" s="77"/>
      <c r="F590" s="113"/>
      <c r="G590" s="114"/>
      <c r="H590" s="114"/>
      <c r="I590" s="86"/>
      <c r="J590" s="103" t="s">
        <v>71</v>
      </c>
      <c r="K590" s="106" t="s">
        <v>72</v>
      </c>
      <c r="L590" s="108"/>
      <c r="M590" s="481"/>
      <c r="N590" s="477">
        <v>1695</v>
      </c>
      <c r="O590" s="229">
        <f>O532</f>
        <v>1695</v>
      </c>
      <c r="P590" s="229">
        <f>P532</f>
        <v>1505</v>
      </c>
      <c r="Q590" s="454">
        <f t="shared" si="60"/>
        <v>88.790560471976391</v>
      </c>
    </row>
    <row r="591" spans="1:17" ht="16.5" thickBot="1" x14ac:dyDescent="0.3">
      <c r="A591" s="347"/>
      <c r="B591" s="103"/>
      <c r="C591" s="357" t="s">
        <v>226</v>
      </c>
      <c r="D591" s="77"/>
      <c r="E591" s="77"/>
      <c r="F591" s="170">
        <f>SUM(F579:F590,F576)</f>
        <v>1631643</v>
      </c>
      <c r="G591" s="171">
        <f>SUM(G589:G590,G587,G585,G579,G576)</f>
        <v>1434066</v>
      </c>
      <c r="H591" s="171">
        <f>SUM(H589:H590,H587,H585,H579,H576)</f>
        <v>1394378</v>
      </c>
      <c r="I591" s="86">
        <f t="shared" si="58"/>
        <v>97.232484418429834</v>
      </c>
      <c r="J591" s="103" t="s">
        <v>73</v>
      </c>
      <c r="K591" s="106" t="s">
        <v>74</v>
      </c>
      <c r="L591" s="108"/>
      <c r="M591" s="481"/>
      <c r="N591" s="477">
        <v>7246</v>
      </c>
      <c r="O591" s="229">
        <f>SUM(O533,O506,O495,O472,O456,O448)</f>
        <v>9165</v>
      </c>
      <c r="P591" s="229">
        <f>SUM(P533,P506,P495,P472,P456,P448,P512)</f>
        <v>1234</v>
      </c>
      <c r="Q591" s="454">
        <f t="shared" si="60"/>
        <v>13.464266230223675</v>
      </c>
    </row>
    <row r="592" spans="1:17" ht="16.5" thickBot="1" x14ac:dyDescent="0.3">
      <c r="A592" s="358" t="s">
        <v>230</v>
      </c>
      <c r="B592" s="103"/>
      <c r="C592" s="76"/>
      <c r="D592" s="77"/>
      <c r="E592" s="77"/>
      <c r="F592" s="170">
        <f>SUM(F591,F574)</f>
        <v>1827155</v>
      </c>
      <c r="G592" s="171">
        <f>SUM(G591,G574)</f>
        <v>1978410</v>
      </c>
      <c r="H592" s="171">
        <f>SUM(H591,H574)</f>
        <v>1789068</v>
      </c>
      <c r="I592" s="86">
        <f t="shared" si="58"/>
        <v>90.429587395939166</v>
      </c>
      <c r="J592" s="103" t="s">
        <v>75</v>
      </c>
      <c r="K592" s="106" t="s">
        <v>76</v>
      </c>
      <c r="L592" s="108"/>
      <c r="M592" s="481"/>
      <c r="N592" s="477">
        <v>295845</v>
      </c>
      <c r="O592" s="229">
        <f>O534+O507+O457</f>
        <v>306796</v>
      </c>
      <c r="P592" s="229">
        <f>P534+P507+P457+P473+P449</f>
        <v>179758</v>
      </c>
      <c r="Q592" s="454">
        <f t="shared" si="60"/>
        <v>58.592028579251355</v>
      </c>
    </row>
    <row r="593" spans="1:17" x14ac:dyDescent="0.25">
      <c r="A593" s="133"/>
      <c r="B593" s="103"/>
      <c r="C593" s="357"/>
      <c r="D593" s="77"/>
      <c r="E593" s="77"/>
      <c r="F593" s="178"/>
      <c r="G593" s="451"/>
      <c r="H593" s="451"/>
      <c r="I593" s="451"/>
      <c r="J593" s="103" t="s">
        <v>77</v>
      </c>
      <c r="K593" s="106" t="s">
        <v>78</v>
      </c>
      <c r="L593" s="108"/>
      <c r="M593" s="481"/>
      <c r="N593" s="477"/>
      <c r="O593" s="61"/>
      <c r="P593" s="61">
        <f>SUM(P483+P423)</f>
        <v>115</v>
      </c>
      <c r="Q593" s="270"/>
    </row>
    <row r="594" spans="1:17" x14ac:dyDescent="0.25">
      <c r="A594" s="347"/>
      <c r="B594" s="103"/>
      <c r="C594" s="325"/>
      <c r="D594" s="330"/>
      <c r="E594" s="330"/>
      <c r="F594" s="127"/>
      <c r="G594" s="218"/>
      <c r="H594" s="218"/>
      <c r="I594" s="218"/>
      <c r="J594" s="103" t="s">
        <v>79</v>
      </c>
      <c r="K594" s="106" t="s">
        <v>80</v>
      </c>
      <c r="L594" s="108"/>
      <c r="M594" s="481"/>
      <c r="N594" s="477"/>
      <c r="O594" s="61"/>
      <c r="P594" s="61"/>
      <c r="Q594" s="270"/>
    </row>
    <row r="595" spans="1:17" x14ac:dyDescent="0.25">
      <c r="A595" s="347"/>
      <c r="B595" s="103"/>
      <c r="C595" s="76"/>
      <c r="D595" s="77"/>
      <c r="E595" s="77"/>
      <c r="F595" s="127"/>
      <c r="G595" s="78"/>
      <c r="H595" s="78"/>
      <c r="I595" s="78"/>
      <c r="J595" s="103" t="s">
        <v>81</v>
      </c>
      <c r="K595" s="106" t="s">
        <v>82</v>
      </c>
      <c r="L595" s="108"/>
      <c r="M595" s="481"/>
      <c r="N595" s="477"/>
      <c r="O595" s="61"/>
      <c r="P595" s="61"/>
      <c r="Q595" s="270"/>
    </row>
    <row r="596" spans="1:17" x14ac:dyDescent="0.25">
      <c r="A596" s="347"/>
      <c r="B596" s="103"/>
      <c r="C596" s="76"/>
      <c r="D596" s="77"/>
      <c r="E596" s="77"/>
      <c r="F596" s="127"/>
      <c r="G596" s="78"/>
      <c r="H596" s="78"/>
      <c r="I596" s="78"/>
      <c r="J596" s="103" t="s">
        <v>83</v>
      </c>
      <c r="K596" s="106" t="s">
        <v>84</v>
      </c>
      <c r="L596" s="108"/>
      <c r="M596" s="481"/>
      <c r="N596" s="477"/>
      <c r="O596" s="61"/>
      <c r="P596" s="61">
        <f t="shared" ref="P596" si="61">SUM(P486+P426)</f>
        <v>0</v>
      </c>
      <c r="Q596" s="270"/>
    </row>
    <row r="597" spans="1:17" x14ac:dyDescent="0.25">
      <c r="A597" s="347"/>
      <c r="B597" s="103"/>
      <c r="C597" s="76"/>
      <c r="D597" s="77"/>
      <c r="E597" s="77"/>
      <c r="F597" s="127"/>
      <c r="G597" s="78"/>
      <c r="H597" s="78"/>
      <c r="I597" s="78"/>
      <c r="J597" s="138" t="s">
        <v>85</v>
      </c>
      <c r="K597" s="139" t="s">
        <v>86</v>
      </c>
      <c r="L597" s="140"/>
      <c r="M597" s="481"/>
      <c r="N597" s="477"/>
      <c r="O597" s="61"/>
      <c r="P597" s="61"/>
      <c r="Q597" s="270"/>
    </row>
    <row r="598" spans="1:17" ht="12.75" customHeight="1" x14ac:dyDescent="0.25">
      <c r="A598" s="347"/>
      <c r="B598" s="103"/>
      <c r="C598" s="357"/>
      <c r="D598" s="77"/>
      <c r="E598" s="77"/>
      <c r="F598" s="127"/>
      <c r="G598" s="78"/>
      <c r="H598" s="78"/>
      <c r="I598" s="78"/>
      <c r="J598" s="103" t="s">
        <v>87</v>
      </c>
      <c r="K598" s="76" t="s">
        <v>88</v>
      </c>
      <c r="L598" s="77"/>
      <c r="M598" s="481"/>
      <c r="N598" s="477"/>
      <c r="O598" s="61"/>
      <c r="P598" s="61"/>
      <c r="Q598" s="270"/>
    </row>
    <row r="599" spans="1:17" ht="12.75" customHeight="1" x14ac:dyDescent="0.25">
      <c r="A599" s="358"/>
      <c r="B599" s="147"/>
      <c r="C599" s="346"/>
      <c r="D599" s="346"/>
      <c r="E599" s="346"/>
      <c r="F599" s="300"/>
      <c r="G599" s="78"/>
      <c r="H599" s="78"/>
      <c r="I599" s="78"/>
      <c r="J599" s="103" t="s">
        <v>89</v>
      </c>
      <c r="K599" s="106" t="s">
        <v>90</v>
      </c>
      <c r="L599" s="108"/>
      <c r="M599" s="481"/>
      <c r="N599" s="477"/>
      <c r="O599" s="61"/>
      <c r="P599" s="61"/>
      <c r="Q599" s="270"/>
    </row>
    <row r="600" spans="1:17" ht="12.75" customHeight="1" x14ac:dyDescent="0.25">
      <c r="A600" s="361"/>
      <c r="B600" s="487"/>
      <c r="C600" s="488"/>
      <c r="D600" s="364"/>
      <c r="E600" s="364"/>
      <c r="F600" s="300"/>
      <c r="G600" s="78"/>
      <c r="H600" s="78"/>
      <c r="I600" s="78"/>
      <c r="J600" s="103" t="s">
        <v>91</v>
      </c>
      <c r="K600" s="106" t="s">
        <v>92</v>
      </c>
      <c r="L600" s="140"/>
      <c r="M600" s="480"/>
      <c r="N600" s="475"/>
      <c r="O600" s="61"/>
      <c r="P600" s="61"/>
      <c r="Q600" s="270"/>
    </row>
    <row r="601" spans="1:17" ht="12.75" customHeight="1" x14ac:dyDescent="0.25">
      <c r="A601" s="347"/>
      <c r="B601" s="138"/>
      <c r="C601" s="365"/>
      <c r="D601" s="346"/>
      <c r="E601" s="346"/>
      <c r="F601" s="300"/>
      <c r="G601" s="78"/>
      <c r="H601" s="78"/>
      <c r="I601" s="78"/>
      <c r="J601" s="103" t="s">
        <v>93</v>
      </c>
      <c r="K601" s="76" t="s">
        <v>94</v>
      </c>
      <c r="L601" s="77"/>
      <c r="M601" s="483"/>
      <c r="N601" s="477"/>
      <c r="O601" s="61"/>
      <c r="P601" s="61"/>
      <c r="Q601" s="270"/>
    </row>
    <row r="602" spans="1:17" ht="12.75" customHeight="1" x14ac:dyDescent="0.25">
      <c r="A602" s="347"/>
      <c r="B602" s="103"/>
      <c r="C602" s="186"/>
      <c r="D602" s="186"/>
      <c r="E602" s="186"/>
      <c r="F602" s="228"/>
      <c r="G602" s="78"/>
      <c r="H602" s="78"/>
      <c r="I602" s="78"/>
      <c r="J602" s="103" t="s">
        <v>95</v>
      </c>
      <c r="K602" s="666" t="s">
        <v>96</v>
      </c>
      <c r="L602" s="667"/>
      <c r="M602" s="668"/>
      <c r="N602" s="476"/>
      <c r="O602" s="61"/>
      <c r="P602" s="61"/>
      <c r="Q602" s="270"/>
    </row>
    <row r="603" spans="1:17" ht="12.75" customHeight="1" x14ac:dyDescent="0.25">
      <c r="A603" s="366"/>
      <c r="B603" s="103"/>
      <c r="C603" s="325"/>
      <c r="D603" s="330"/>
      <c r="E603" s="77"/>
      <c r="F603" s="127"/>
      <c r="G603" s="78"/>
      <c r="H603" s="78"/>
      <c r="I603" s="78"/>
      <c r="J603" s="138" t="s">
        <v>97</v>
      </c>
      <c r="K603" s="642" t="s">
        <v>98</v>
      </c>
      <c r="L603" s="643"/>
      <c r="M603" s="669"/>
      <c r="N603" s="489"/>
      <c r="O603" s="61"/>
      <c r="P603" s="61"/>
      <c r="Q603" s="270"/>
    </row>
    <row r="604" spans="1:17" x14ac:dyDescent="0.25">
      <c r="A604" s="347"/>
      <c r="B604" s="367"/>
      <c r="C604" s="325"/>
      <c r="D604" s="77"/>
      <c r="E604" s="77"/>
      <c r="F604" s="127"/>
      <c r="G604" s="78"/>
      <c r="H604" s="331"/>
      <c r="I604" s="331"/>
      <c r="J604" s="348" t="s">
        <v>99</v>
      </c>
      <c r="K604" s="368" t="s">
        <v>100</v>
      </c>
      <c r="L604" s="369"/>
      <c r="M604" s="490"/>
      <c r="N604" s="477"/>
      <c r="O604" s="61"/>
      <c r="P604" s="61"/>
      <c r="Q604" s="270"/>
    </row>
    <row r="605" spans="1:17" x14ac:dyDescent="0.25">
      <c r="A605" s="347"/>
      <c r="B605" s="103"/>
      <c r="C605" s="76"/>
      <c r="D605" s="77"/>
      <c r="E605" s="77"/>
      <c r="F605" s="127"/>
      <c r="G605" s="78"/>
      <c r="H605" s="79"/>
      <c r="I605" s="79"/>
      <c r="J605" s="75" t="s">
        <v>101</v>
      </c>
      <c r="K605" s="83" t="s">
        <v>102</v>
      </c>
      <c r="L605" s="110"/>
      <c r="M605" s="479"/>
      <c r="N605" s="477"/>
      <c r="O605" s="61">
        <f>SUM(O548)</f>
        <v>150</v>
      </c>
      <c r="P605" s="61">
        <f>SUM(P548)</f>
        <v>350</v>
      </c>
      <c r="Q605" s="454">
        <f>P605/O605*100</f>
        <v>233.33333333333334</v>
      </c>
    </row>
    <row r="606" spans="1:17" x14ac:dyDescent="0.25">
      <c r="A606" s="347"/>
      <c r="B606" s="103"/>
      <c r="C606" s="193"/>
      <c r="D606" s="77"/>
      <c r="E606" s="77"/>
      <c r="F606" s="127"/>
      <c r="G606" s="78"/>
      <c r="H606" s="79"/>
      <c r="I606" s="79"/>
      <c r="J606" s="75" t="s">
        <v>103</v>
      </c>
      <c r="K606" s="83" t="s">
        <v>104</v>
      </c>
      <c r="L606" s="110"/>
      <c r="M606" s="479"/>
      <c r="N606" s="477"/>
      <c r="O606" s="61">
        <f>SUM(O425+O521)</f>
        <v>1940</v>
      </c>
      <c r="P606" s="61">
        <f>SUM(P425+P521)</f>
        <v>1940</v>
      </c>
      <c r="Q606" s="454">
        <f t="shared" ref="Q606:Q613" si="62">P606/O606*100</f>
        <v>100</v>
      </c>
    </row>
    <row r="607" spans="1:17" x14ac:dyDescent="0.25">
      <c r="A607" s="347"/>
      <c r="B607" s="103"/>
      <c r="C607" s="186"/>
      <c r="D607" s="77"/>
      <c r="E607" s="77"/>
      <c r="F607" s="127"/>
      <c r="G607" s="78"/>
      <c r="H607" s="78"/>
      <c r="I607" s="78"/>
      <c r="J607" s="103"/>
      <c r="K607" s="106" t="s">
        <v>35</v>
      </c>
      <c r="L607" s="108"/>
      <c r="M607" s="481"/>
      <c r="N607" s="477"/>
      <c r="O607" s="61"/>
      <c r="P607" s="61"/>
      <c r="Q607" s="454"/>
    </row>
    <row r="608" spans="1:17" x14ac:dyDescent="0.25">
      <c r="A608" s="347"/>
      <c r="B608" s="103"/>
      <c r="C608" s="325"/>
      <c r="D608" s="330"/>
      <c r="E608" s="77"/>
      <c r="F608" s="127"/>
      <c r="G608" s="78"/>
      <c r="H608" s="78"/>
      <c r="I608" s="78"/>
      <c r="J608" s="138" t="s">
        <v>105</v>
      </c>
      <c r="K608" s="139" t="s">
        <v>106</v>
      </c>
      <c r="L608" s="140"/>
      <c r="M608" s="480"/>
      <c r="N608" s="475"/>
      <c r="O608" s="61"/>
      <c r="P608" s="61"/>
      <c r="Q608" s="454"/>
    </row>
    <row r="609" spans="1:17" x14ac:dyDescent="0.25">
      <c r="A609" s="347"/>
      <c r="B609" s="103"/>
      <c r="C609" s="325"/>
      <c r="D609" s="77"/>
      <c r="E609" s="77"/>
      <c r="F609" s="127"/>
      <c r="G609" s="78"/>
      <c r="H609" s="78"/>
      <c r="I609" s="78"/>
      <c r="J609" s="103" t="s">
        <v>107</v>
      </c>
      <c r="K609" s="670" t="s">
        <v>108</v>
      </c>
      <c r="L609" s="671"/>
      <c r="M609" s="672"/>
      <c r="N609" s="477"/>
      <c r="O609" s="61"/>
      <c r="P609" s="61"/>
      <c r="Q609" s="454"/>
    </row>
    <row r="610" spans="1:17" x14ac:dyDescent="0.25">
      <c r="A610" s="347"/>
      <c r="B610" s="138"/>
      <c r="C610" s="139"/>
      <c r="D610" s="364"/>
      <c r="E610" s="364"/>
      <c r="F610" s="300"/>
      <c r="G610" s="78"/>
      <c r="H610" s="78"/>
      <c r="I610" s="78"/>
      <c r="J610" s="103" t="s">
        <v>109</v>
      </c>
      <c r="K610" s="83" t="s">
        <v>110</v>
      </c>
      <c r="L610" s="110"/>
      <c r="M610" s="479"/>
      <c r="N610" s="477">
        <v>500</v>
      </c>
      <c r="O610" s="61">
        <f>SUM(O443+O550)</f>
        <v>26818</v>
      </c>
      <c r="P610" s="61">
        <f>SUM(P443+P550)</f>
        <v>15981</v>
      </c>
      <c r="Q610" s="454">
        <f t="shared" si="62"/>
        <v>59.590573495413523</v>
      </c>
    </row>
    <row r="611" spans="1:17" x14ac:dyDescent="0.25">
      <c r="A611" s="347"/>
      <c r="B611" s="103"/>
      <c r="C611" s="106"/>
      <c r="D611" s="77"/>
      <c r="E611" s="77"/>
      <c r="F611" s="127"/>
      <c r="G611" s="78"/>
      <c r="H611" s="78"/>
      <c r="I611" s="78"/>
      <c r="J611" s="103" t="s">
        <v>111</v>
      </c>
      <c r="K611" s="83" t="s">
        <v>112</v>
      </c>
      <c r="L611" s="108"/>
      <c r="M611" s="481"/>
      <c r="N611" s="477"/>
      <c r="O611" s="61">
        <f>SUM(O528)</f>
        <v>1000</v>
      </c>
      <c r="P611" s="61">
        <f>SUM(P528)</f>
        <v>1000</v>
      </c>
      <c r="Q611" s="454">
        <f t="shared" si="62"/>
        <v>100</v>
      </c>
    </row>
    <row r="612" spans="1:17" ht="16.5" customHeight="1" thickBot="1" x14ac:dyDescent="0.3">
      <c r="A612" s="347"/>
      <c r="B612" s="103"/>
      <c r="C612" s="106"/>
      <c r="D612" s="77"/>
      <c r="E612" s="77"/>
      <c r="F612" s="127"/>
      <c r="G612" s="78"/>
      <c r="H612" s="78"/>
      <c r="I612" s="78"/>
      <c r="J612" s="103"/>
      <c r="K612" s="106" t="s">
        <v>35</v>
      </c>
      <c r="L612" s="108"/>
      <c r="M612" s="481"/>
      <c r="N612" s="116"/>
      <c r="O612" s="117">
        <v>0</v>
      </c>
      <c r="P612" s="117"/>
      <c r="Q612" s="453"/>
    </row>
    <row r="613" spans="1:17" ht="16.5" thickBot="1" x14ac:dyDescent="0.3">
      <c r="A613" s="347"/>
      <c r="B613" s="103"/>
      <c r="C613" s="325"/>
      <c r="D613" s="330"/>
      <c r="E613" s="330"/>
      <c r="F613" s="127"/>
      <c r="G613" s="78"/>
      <c r="H613" s="79"/>
      <c r="I613" s="79"/>
      <c r="J613" s="673" t="s">
        <v>113</v>
      </c>
      <c r="K613" s="674"/>
      <c r="L613" s="674"/>
      <c r="M613" s="675"/>
      <c r="N613" s="297">
        <f>SUM(N578:N612,N576,N569)</f>
        <v>1391739</v>
      </c>
      <c r="O613" s="338">
        <f>SUM(O557:O612)-O577-O570</f>
        <v>1855005</v>
      </c>
      <c r="P613" s="338">
        <f>SUM(P557:P612)-P577-P570</f>
        <v>1629223</v>
      </c>
      <c r="Q613" s="453">
        <f t="shared" si="62"/>
        <v>87.828496419147115</v>
      </c>
    </row>
    <row r="614" spans="1:17" x14ac:dyDescent="0.25">
      <c r="A614" s="347"/>
      <c r="B614" s="103"/>
      <c r="C614" s="325"/>
      <c r="D614" s="330"/>
      <c r="E614" s="330"/>
      <c r="F614" s="127"/>
      <c r="G614" s="78"/>
      <c r="H614" s="356"/>
      <c r="I614" s="356"/>
      <c r="J614" s="163" t="s">
        <v>114</v>
      </c>
      <c r="K614" s="649" t="s">
        <v>115</v>
      </c>
      <c r="L614" s="650"/>
      <c r="M614" s="657"/>
      <c r="N614" s="491"/>
      <c r="O614" s="82"/>
      <c r="P614" s="82"/>
      <c r="Q614" s="441"/>
    </row>
    <row r="615" spans="1:17" x14ac:dyDescent="0.25">
      <c r="A615" s="347"/>
      <c r="B615" s="138"/>
      <c r="C615" s="365"/>
      <c r="D615" s="346"/>
      <c r="E615" s="346"/>
      <c r="F615" s="300"/>
      <c r="G615" s="78"/>
      <c r="H615" s="331"/>
      <c r="I615" s="331"/>
      <c r="J615" s="370" t="s">
        <v>116</v>
      </c>
      <c r="K615" s="357" t="s">
        <v>117</v>
      </c>
      <c r="L615" s="364"/>
      <c r="M615" s="492"/>
      <c r="N615" s="475"/>
      <c r="O615" s="61"/>
      <c r="P615" s="61"/>
      <c r="Q615" s="270"/>
    </row>
    <row r="616" spans="1:17" x14ac:dyDescent="0.25">
      <c r="A616" s="347"/>
      <c r="B616" s="103"/>
      <c r="C616" s="325"/>
      <c r="D616" s="330"/>
      <c r="E616" s="330"/>
      <c r="F616" s="127"/>
      <c r="G616" s="78"/>
      <c r="H616" s="78"/>
      <c r="I616" s="78"/>
      <c r="J616" s="138" t="s">
        <v>118</v>
      </c>
      <c r="K616" s="649" t="s">
        <v>119</v>
      </c>
      <c r="L616" s="650"/>
      <c r="M616" s="657"/>
      <c r="N616" s="475"/>
      <c r="O616" s="61"/>
      <c r="P616" s="61"/>
      <c r="Q616" s="270"/>
    </row>
    <row r="617" spans="1:17" x14ac:dyDescent="0.25">
      <c r="A617" s="347"/>
      <c r="B617" s="103"/>
      <c r="C617" s="76"/>
      <c r="D617" s="77"/>
      <c r="E617" s="77"/>
      <c r="F617" s="127"/>
      <c r="G617" s="78"/>
      <c r="H617" s="78"/>
      <c r="I617" s="78"/>
      <c r="J617" s="103" t="s">
        <v>120</v>
      </c>
      <c r="K617" s="76" t="s">
        <v>121</v>
      </c>
      <c r="L617" s="77"/>
      <c r="M617" s="483"/>
      <c r="N617" s="477">
        <v>323146</v>
      </c>
      <c r="O617" s="61"/>
      <c r="P617" s="61"/>
      <c r="Q617" s="270"/>
    </row>
    <row r="618" spans="1:17" x14ac:dyDescent="0.25">
      <c r="A618" s="347"/>
      <c r="B618" s="103"/>
      <c r="C618" s="76"/>
      <c r="D618" s="77"/>
      <c r="E618" s="77"/>
      <c r="F618" s="127"/>
      <c r="G618" s="78"/>
      <c r="H618" s="78"/>
      <c r="I618" s="78"/>
      <c r="J618" s="103"/>
      <c r="K618" s="641" t="s">
        <v>122</v>
      </c>
      <c r="L618" s="651"/>
      <c r="M618" s="658"/>
      <c r="N618" s="477"/>
      <c r="O618" s="61"/>
      <c r="P618" s="61"/>
      <c r="Q618" s="270"/>
    </row>
    <row r="619" spans="1:17" x14ac:dyDescent="0.25">
      <c r="A619" s="347"/>
      <c r="B619" s="103"/>
      <c r="C619" s="76"/>
      <c r="D619" s="77"/>
      <c r="E619" s="77"/>
      <c r="F619" s="127"/>
      <c r="G619" s="78"/>
      <c r="H619" s="78"/>
      <c r="I619" s="78"/>
      <c r="J619" s="103"/>
      <c r="K619" s="641" t="s">
        <v>123</v>
      </c>
      <c r="L619" s="651"/>
      <c r="M619" s="658"/>
      <c r="N619" s="477">
        <v>323146</v>
      </c>
      <c r="O619" s="61"/>
      <c r="P619" s="61"/>
      <c r="Q619" s="270"/>
    </row>
    <row r="620" spans="1:17" x14ac:dyDescent="0.25">
      <c r="A620" s="347"/>
      <c r="B620" s="103"/>
      <c r="C620" s="76"/>
      <c r="D620" s="77"/>
      <c r="E620" s="77"/>
      <c r="F620" s="127"/>
      <c r="G620" s="78"/>
      <c r="H620" s="78"/>
      <c r="I620" s="78"/>
      <c r="J620" s="103" t="s">
        <v>124</v>
      </c>
      <c r="K620" s="641" t="s">
        <v>125</v>
      </c>
      <c r="L620" s="651"/>
      <c r="M620" s="658"/>
      <c r="N620" s="477"/>
      <c r="O620" s="61"/>
      <c r="P620" s="61"/>
      <c r="Q620" s="270"/>
    </row>
    <row r="621" spans="1:17" x14ac:dyDescent="0.25">
      <c r="A621" s="347"/>
      <c r="B621" s="103"/>
      <c r="C621" s="76"/>
      <c r="D621" s="77"/>
      <c r="E621" s="77"/>
      <c r="F621" s="127"/>
      <c r="G621" s="78"/>
      <c r="H621" s="78"/>
      <c r="I621" s="78"/>
      <c r="J621" s="103" t="s">
        <v>126</v>
      </c>
      <c r="K621" s="663" t="s">
        <v>127</v>
      </c>
      <c r="L621" s="664"/>
      <c r="M621" s="665"/>
      <c r="N621" s="493"/>
      <c r="O621" s="61"/>
      <c r="P621" s="61"/>
      <c r="Q621" s="270"/>
    </row>
    <row r="622" spans="1:17" x14ac:dyDescent="0.25">
      <c r="A622" s="347"/>
      <c r="B622" s="103"/>
      <c r="C622" s="76"/>
      <c r="D622" s="77"/>
      <c r="E622" s="77"/>
      <c r="F622" s="127"/>
      <c r="G622" s="78"/>
      <c r="H622" s="78"/>
      <c r="I622" s="78"/>
      <c r="J622" s="138" t="s">
        <v>128</v>
      </c>
      <c r="K622" s="649" t="s">
        <v>129</v>
      </c>
      <c r="L622" s="650"/>
      <c r="M622" s="657"/>
      <c r="N622" s="475"/>
      <c r="O622" s="61"/>
      <c r="P622" s="61"/>
      <c r="Q622" s="270"/>
    </row>
    <row r="623" spans="1:17" x14ac:dyDescent="0.25">
      <c r="A623" s="347"/>
      <c r="B623" s="103"/>
      <c r="C623" s="76"/>
      <c r="D623" s="77"/>
      <c r="E623" s="77"/>
      <c r="F623" s="127"/>
      <c r="G623" s="78"/>
      <c r="H623" s="78"/>
      <c r="I623" s="78"/>
      <c r="J623" s="103" t="s">
        <v>130</v>
      </c>
      <c r="K623" s="641" t="s">
        <v>131</v>
      </c>
      <c r="L623" s="651"/>
      <c r="M623" s="658"/>
      <c r="N623" s="477"/>
      <c r="O623" s="61"/>
      <c r="P623" s="61"/>
      <c r="Q623" s="270"/>
    </row>
    <row r="624" spans="1:17" x14ac:dyDescent="0.25">
      <c r="A624" s="347"/>
      <c r="B624" s="103"/>
      <c r="C624" s="76"/>
      <c r="D624" s="77"/>
      <c r="E624" s="77"/>
      <c r="F624" s="127"/>
      <c r="G624" s="78"/>
      <c r="H624" s="78"/>
      <c r="I624" s="78"/>
      <c r="J624" s="103" t="s">
        <v>132</v>
      </c>
      <c r="K624" s="641" t="s">
        <v>133</v>
      </c>
      <c r="L624" s="651"/>
      <c r="M624" s="658"/>
      <c r="N624" s="477"/>
      <c r="O624" s="61"/>
      <c r="P624" s="61"/>
      <c r="Q624" s="270"/>
    </row>
    <row r="625" spans="1:17" x14ac:dyDescent="0.25">
      <c r="A625" s="347"/>
      <c r="B625" s="103"/>
      <c r="C625" s="76"/>
      <c r="D625" s="77"/>
      <c r="E625" s="77"/>
      <c r="F625" s="127"/>
      <c r="G625" s="78"/>
      <c r="H625" s="78"/>
      <c r="I625" s="78"/>
      <c r="J625" s="103" t="s">
        <v>134</v>
      </c>
      <c r="K625" s="641" t="s">
        <v>135</v>
      </c>
      <c r="L625" s="651"/>
      <c r="M625" s="658"/>
      <c r="N625" s="477"/>
      <c r="O625" s="61"/>
      <c r="P625" s="61"/>
      <c r="Q625" s="270"/>
    </row>
    <row r="626" spans="1:17" x14ac:dyDescent="0.25">
      <c r="A626" s="347"/>
      <c r="B626" s="103"/>
      <c r="C626" s="76"/>
      <c r="D626" s="77"/>
      <c r="E626" s="77"/>
      <c r="F626" s="127"/>
      <c r="G626" s="218"/>
      <c r="H626" s="218"/>
      <c r="I626" s="218"/>
      <c r="J626" s="103" t="s">
        <v>136</v>
      </c>
      <c r="K626" s="641" t="s">
        <v>137</v>
      </c>
      <c r="L626" s="651"/>
      <c r="M626" s="658"/>
      <c r="N626" s="477"/>
      <c r="O626" s="61"/>
      <c r="P626" s="61"/>
      <c r="Q626" s="270"/>
    </row>
    <row r="627" spans="1:17" x14ac:dyDescent="0.25">
      <c r="A627" s="347"/>
      <c r="B627" s="103"/>
      <c r="C627" s="76"/>
      <c r="D627" s="77"/>
      <c r="E627" s="77"/>
      <c r="F627" s="127"/>
      <c r="G627" s="78"/>
      <c r="H627" s="78"/>
      <c r="I627" s="78"/>
      <c r="J627" s="138" t="s">
        <v>138</v>
      </c>
      <c r="K627" s="649" t="s">
        <v>139</v>
      </c>
      <c r="L627" s="650"/>
      <c r="M627" s="657"/>
      <c r="N627" s="475"/>
      <c r="O627" s="61"/>
      <c r="P627" s="61"/>
      <c r="Q627" s="270"/>
    </row>
    <row r="628" spans="1:17" x14ac:dyDescent="0.25">
      <c r="A628" s="347"/>
      <c r="B628" s="103"/>
      <c r="C628" s="76"/>
      <c r="D628" s="77"/>
      <c r="E628" s="77"/>
      <c r="F628" s="127"/>
      <c r="G628" s="36"/>
      <c r="H628" s="36"/>
      <c r="I628" s="36"/>
      <c r="J628" s="103" t="s">
        <v>140</v>
      </c>
      <c r="K628" s="641" t="s">
        <v>141</v>
      </c>
      <c r="L628" s="651"/>
      <c r="M628" s="658"/>
      <c r="N628" s="477">
        <v>10280</v>
      </c>
      <c r="O628" s="61">
        <f>SUM(O629)</f>
        <v>10280</v>
      </c>
      <c r="P628" s="61">
        <f>SUM(P629)</f>
        <v>10280</v>
      </c>
      <c r="Q628" s="454">
        <f>P628/O628*100</f>
        <v>100</v>
      </c>
    </row>
    <row r="629" spans="1:17" x14ac:dyDescent="0.25">
      <c r="A629" s="347"/>
      <c r="B629" s="103"/>
      <c r="C629" s="76"/>
      <c r="D629" s="77"/>
      <c r="E629" s="77"/>
      <c r="F629" s="127"/>
      <c r="G629" s="36"/>
      <c r="H629" s="494"/>
      <c r="I629" s="494"/>
      <c r="J629" s="371"/>
      <c r="K629" s="631" t="s">
        <v>444</v>
      </c>
      <c r="L629" s="632"/>
      <c r="M629" s="660"/>
      <c r="N629" s="477">
        <v>10280</v>
      </c>
      <c r="O629" s="61">
        <v>10280</v>
      </c>
      <c r="P629" s="61">
        <v>10280</v>
      </c>
      <c r="Q629" s="454">
        <f>P629/O629*100</f>
        <v>100</v>
      </c>
    </row>
    <row r="630" spans="1:17" x14ac:dyDescent="0.25">
      <c r="A630" s="347"/>
      <c r="B630" s="103"/>
      <c r="C630" s="76"/>
      <c r="D630" s="77"/>
      <c r="E630" s="77"/>
      <c r="F630" s="127"/>
      <c r="G630" s="36"/>
      <c r="H630" s="494"/>
      <c r="I630" s="494"/>
      <c r="J630" s="120"/>
      <c r="K630" s="631" t="s">
        <v>445</v>
      </c>
      <c r="L630" s="632"/>
      <c r="M630" s="660"/>
      <c r="N630" s="477"/>
      <c r="O630" s="61"/>
      <c r="P630" s="61"/>
      <c r="Q630" s="270"/>
    </row>
    <row r="631" spans="1:17" x14ac:dyDescent="0.25">
      <c r="A631" s="347"/>
      <c r="B631" s="103"/>
      <c r="C631" s="76"/>
      <c r="D631" s="77"/>
      <c r="E631" s="77"/>
      <c r="F631" s="127"/>
      <c r="G631" s="36"/>
      <c r="H631" s="36"/>
      <c r="I631" s="36"/>
      <c r="J631" s="103" t="s">
        <v>142</v>
      </c>
      <c r="K631" s="641" t="s">
        <v>143</v>
      </c>
      <c r="L631" s="651"/>
      <c r="M631" s="658"/>
      <c r="N631" s="477"/>
      <c r="O631" s="61"/>
      <c r="P631" s="61"/>
      <c r="Q631" s="270"/>
    </row>
    <row r="632" spans="1:17" x14ac:dyDescent="0.25">
      <c r="A632" s="347"/>
      <c r="B632" s="103"/>
      <c r="C632" s="325"/>
      <c r="D632" s="330"/>
      <c r="E632" s="330"/>
      <c r="F632" s="127"/>
      <c r="G632" s="36"/>
      <c r="H632" s="36"/>
      <c r="I632" s="36"/>
      <c r="J632" s="138" t="s">
        <v>144</v>
      </c>
      <c r="K632" s="649" t="s">
        <v>145</v>
      </c>
      <c r="L632" s="650"/>
      <c r="M632" s="657"/>
      <c r="N632" s="475"/>
      <c r="O632" s="61"/>
      <c r="P632" s="61"/>
      <c r="Q632" s="270"/>
    </row>
    <row r="633" spans="1:17" x14ac:dyDescent="0.25">
      <c r="A633" s="347"/>
      <c r="B633" s="103"/>
      <c r="C633" s="325"/>
      <c r="D633" s="330"/>
      <c r="E633" s="330"/>
      <c r="F633" s="127"/>
      <c r="G633" s="36"/>
      <c r="H633" s="36"/>
      <c r="I633" s="36"/>
      <c r="J633" s="103" t="s">
        <v>146</v>
      </c>
      <c r="K633" s="641" t="s">
        <v>147</v>
      </c>
      <c r="L633" s="651"/>
      <c r="M633" s="658"/>
      <c r="N633" s="477"/>
      <c r="O633" s="61"/>
      <c r="P633" s="61"/>
      <c r="Q633" s="270"/>
    </row>
    <row r="634" spans="1:17" x14ac:dyDescent="0.25">
      <c r="A634" s="347"/>
      <c r="B634" s="103"/>
      <c r="C634" s="325"/>
      <c r="D634" s="330"/>
      <c r="E634" s="330"/>
      <c r="F634" s="127"/>
      <c r="G634" s="36"/>
      <c r="H634" s="36"/>
      <c r="I634" s="36"/>
      <c r="J634" s="103" t="s">
        <v>148</v>
      </c>
      <c r="K634" s="641" t="s">
        <v>149</v>
      </c>
      <c r="L634" s="651"/>
      <c r="M634" s="658"/>
      <c r="N634" s="477"/>
      <c r="O634" s="61"/>
      <c r="P634" s="61"/>
      <c r="Q634" s="270"/>
    </row>
    <row r="635" spans="1:17" x14ac:dyDescent="0.25">
      <c r="A635" s="361"/>
      <c r="B635" s="103"/>
      <c r="C635" s="325"/>
      <c r="D635" s="330"/>
      <c r="E635" s="330"/>
      <c r="F635" s="127"/>
      <c r="G635" s="36"/>
      <c r="H635" s="36"/>
      <c r="I635" s="36"/>
      <c r="J635" s="103" t="s">
        <v>150</v>
      </c>
      <c r="K635" s="641" t="s">
        <v>151</v>
      </c>
      <c r="L635" s="651"/>
      <c r="M635" s="658"/>
      <c r="N635" s="477"/>
      <c r="O635" s="61"/>
      <c r="P635" s="61"/>
      <c r="Q635" s="270"/>
    </row>
    <row r="636" spans="1:17" x14ac:dyDescent="0.25">
      <c r="A636" s="133"/>
      <c r="B636" s="103"/>
      <c r="C636" s="325"/>
      <c r="D636" s="330"/>
      <c r="E636" s="330"/>
      <c r="F636" s="127"/>
      <c r="G636" s="36"/>
      <c r="H636" s="494"/>
      <c r="I636" s="494"/>
      <c r="J636" s="115" t="s">
        <v>152</v>
      </c>
      <c r="K636" s="76" t="s">
        <v>153</v>
      </c>
      <c r="L636" s="77"/>
      <c r="M636" s="483"/>
      <c r="N636" s="477"/>
      <c r="O636" s="61"/>
      <c r="P636" s="61"/>
      <c r="Q636" s="270"/>
    </row>
    <row r="637" spans="1:17" x14ac:dyDescent="0.25">
      <c r="A637" s="372"/>
      <c r="B637" s="115"/>
      <c r="C637" s="373"/>
      <c r="D637" s="374"/>
      <c r="E637" s="374"/>
      <c r="F637" s="73"/>
      <c r="G637" s="36"/>
      <c r="H637" s="494"/>
      <c r="I637" s="494"/>
      <c r="J637" s="115"/>
      <c r="K637" s="76" t="s">
        <v>154</v>
      </c>
      <c r="L637" s="77"/>
      <c r="M637" s="483"/>
      <c r="N637" s="477"/>
      <c r="O637" s="61"/>
      <c r="P637" s="61"/>
      <c r="Q637" s="270"/>
    </row>
    <row r="638" spans="1:17" x14ac:dyDescent="0.25">
      <c r="A638" s="372"/>
      <c r="B638" s="115"/>
      <c r="C638" s="373"/>
      <c r="D638" s="374"/>
      <c r="E638" s="374"/>
      <c r="F638" s="73"/>
      <c r="G638" s="36"/>
      <c r="H638" s="494"/>
      <c r="I638" s="494"/>
      <c r="J638" s="115"/>
      <c r="K638" s="76" t="s">
        <v>155</v>
      </c>
      <c r="L638" s="77"/>
      <c r="M638" s="483"/>
      <c r="N638" s="477"/>
      <c r="O638" s="61"/>
      <c r="P638" s="61"/>
      <c r="Q638" s="270"/>
    </row>
    <row r="639" spans="1:17" x14ac:dyDescent="0.25">
      <c r="A639" s="372"/>
      <c r="B639" s="115"/>
      <c r="C639" s="373"/>
      <c r="D639" s="374"/>
      <c r="E639" s="374"/>
      <c r="F639" s="73"/>
      <c r="G639" s="36"/>
      <c r="H639" s="494"/>
      <c r="I639" s="494"/>
      <c r="J639" s="376" t="s">
        <v>156</v>
      </c>
      <c r="K639" s="649" t="s">
        <v>157</v>
      </c>
      <c r="L639" s="650"/>
      <c r="M639" s="657"/>
      <c r="N639" s="475"/>
      <c r="O639" s="61"/>
      <c r="P639" s="61"/>
      <c r="Q639" s="270"/>
    </row>
    <row r="640" spans="1:17" x14ac:dyDescent="0.25">
      <c r="A640" s="372"/>
      <c r="B640" s="115"/>
      <c r="C640" s="373"/>
      <c r="D640" s="374"/>
      <c r="E640" s="374"/>
      <c r="F640" s="73"/>
      <c r="G640" s="36"/>
      <c r="H640" s="494"/>
      <c r="I640" s="494"/>
      <c r="J640" s="115" t="s">
        <v>158</v>
      </c>
      <c r="K640" s="641" t="s">
        <v>159</v>
      </c>
      <c r="L640" s="651"/>
      <c r="M640" s="658"/>
      <c r="N640" s="477"/>
      <c r="O640" s="274"/>
      <c r="P640" s="274"/>
      <c r="Q640" s="270"/>
    </row>
    <row r="641" spans="1:21" x14ac:dyDescent="0.25">
      <c r="A641" s="372"/>
      <c r="B641" s="115"/>
      <c r="C641" s="373"/>
      <c r="D641" s="374"/>
      <c r="E641" s="495"/>
      <c r="F641" s="73"/>
      <c r="G641" s="36"/>
      <c r="H641" s="494"/>
      <c r="I641" s="494"/>
      <c r="J641" s="115" t="s">
        <v>160</v>
      </c>
      <c r="K641" s="641" t="s">
        <v>161</v>
      </c>
      <c r="L641" s="651"/>
      <c r="M641" s="658"/>
      <c r="N641" s="477"/>
      <c r="O641" s="274"/>
      <c r="P641" s="274"/>
      <c r="Q641" s="270"/>
    </row>
    <row r="642" spans="1:21" x14ac:dyDescent="0.25">
      <c r="A642" s="372"/>
      <c r="B642" s="115"/>
      <c r="C642" s="373"/>
      <c r="D642" s="374"/>
      <c r="E642" s="374"/>
      <c r="F642" s="73"/>
      <c r="G642" s="375"/>
      <c r="H642" s="375"/>
      <c r="I642" s="375"/>
      <c r="J642" s="115" t="s">
        <v>162</v>
      </c>
      <c r="K642" s="641" t="s">
        <v>163</v>
      </c>
      <c r="L642" s="651"/>
      <c r="M642" s="658"/>
      <c r="N642" s="477"/>
      <c r="O642" s="274"/>
      <c r="P642" s="274"/>
      <c r="Q642" s="270"/>
    </row>
    <row r="643" spans="1:21" x14ac:dyDescent="0.25">
      <c r="A643" s="372"/>
      <c r="B643" s="115"/>
      <c r="C643" s="373"/>
      <c r="D643" s="374"/>
      <c r="E643" s="374"/>
      <c r="F643" s="73"/>
      <c r="G643" s="218"/>
      <c r="H643" s="496"/>
      <c r="I643" s="496"/>
      <c r="J643" s="497" t="s">
        <v>164</v>
      </c>
      <c r="K643" s="641" t="s">
        <v>165</v>
      </c>
      <c r="L643" s="651"/>
      <c r="M643" s="658"/>
      <c r="N643" s="477"/>
      <c r="O643" s="274"/>
      <c r="P643" s="274"/>
      <c r="Q643" s="270"/>
    </row>
    <row r="644" spans="1:21" ht="16.5" thickBot="1" x14ac:dyDescent="0.3">
      <c r="A644" s="372"/>
      <c r="B644" s="115"/>
      <c r="C644" s="373"/>
      <c r="D644" s="374"/>
      <c r="E644" s="374"/>
      <c r="F644" s="73"/>
      <c r="G644" s="218"/>
      <c r="H644" s="218"/>
      <c r="I644" s="218"/>
      <c r="J644" s="138" t="s">
        <v>166</v>
      </c>
      <c r="K644" s="649" t="s">
        <v>167</v>
      </c>
      <c r="L644" s="650"/>
      <c r="M644" s="657"/>
      <c r="N644" s="297"/>
      <c r="O644" s="338"/>
      <c r="P644" s="338"/>
      <c r="Q644" s="444"/>
    </row>
    <row r="645" spans="1:21" ht="16.5" thickBot="1" x14ac:dyDescent="0.3">
      <c r="A645" s="372"/>
      <c r="B645" s="115"/>
      <c r="C645" s="373"/>
      <c r="D645" s="374"/>
      <c r="E645" s="374"/>
      <c r="F645" s="113"/>
      <c r="G645" s="171"/>
      <c r="H645" s="498"/>
      <c r="I645" s="498"/>
      <c r="J645" s="362" t="s">
        <v>168</v>
      </c>
      <c r="K645" s="378"/>
      <c r="L645" s="379"/>
      <c r="M645" s="499"/>
      <c r="N645" s="95">
        <f>SUM(N628,N617)</f>
        <v>333426</v>
      </c>
      <c r="O645" s="121">
        <f>SUM(O617:O643)-O629</f>
        <v>10280</v>
      </c>
      <c r="P645" s="121">
        <f>SUM(P617:P643)-P629</f>
        <v>10280</v>
      </c>
      <c r="Q645" s="459">
        <f>P645/O645*100</f>
        <v>100</v>
      </c>
    </row>
    <row r="646" spans="1:21" ht="16.5" thickBot="1" x14ac:dyDescent="0.3">
      <c r="A646" s="680" t="s">
        <v>404</v>
      </c>
      <c r="B646" s="681"/>
      <c r="C646" s="681"/>
      <c r="D646" s="681"/>
      <c r="E646" s="682"/>
      <c r="F646" s="93">
        <f>SUM(F592)</f>
        <v>1827155</v>
      </c>
      <c r="G646" s="500">
        <f>SUM(G592)</f>
        <v>1978410</v>
      </c>
      <c r="H646" s="500">
        <f>SUM(H592)</f>
        <v>1789068</v>
      </c>
      <c r="I646" s="501">
        <f>H646/G646*100</f>
        <v>90.429587395939166</v>
      </c>
      <c r="J646" s="381" t="s">
        <v>405</v>
      </c>
      <c r="K646" s="381"/>
      <c r="L646" s="381"/>
      <c r="M646" s="381"/>
      <c r="N646" s="95">
        <f>SUM(N645,N613)</f>
        <v>1725165</v>
      </c>
      <c r="O646" s="121">
        <f>SUM(O645,O613)</f>
        <v>1865285</v>
      </c>
      <c r="P646" s="121">
        <f>SUM(P645,P613)</f>
        <v>1639503</v>
      </c>
      <c r="Q646" s="459">
        <f>P646/O646*100</f>
        <v>87.895576279228109</v>
      </c>
    </row>
    <row r="647" spans="1:21" s="509" customFormat="1" x14ac:dyDescent="0.25">
      <c r="A647" s="683" t="s">
        <v>231</v>
      </c>
      <c r="B647" s="684"/>
      <c r="C647" s="684"/>
      <c r="D647" s="684"/>
      <c r="E647" s="685"/>
      <c r="F647" s="502"/>
      <c r="G647" s="503"/>
      <c r="H647" s="503"/>
      <c r="I647" s="503"/>
      <c r="J647" s="504" t="s">
        <v>169</v>
      </c>
      <c r="K647" s="504"/>
      <c r="L647" s="504"/>
      <c r="M647" s="504"/>
      <c r="N647" s="505"/>
      <c r="O647" s="506"/>
      <c r="P647" s="507"/>
      <c r="Q647" s="508"/>
    </row>
    <row r="648" spans="1:21" x14ac:dyDescent="0.25">
      <c r="A648" s="328" t="s">
        <v>171</v>
      </c>
      <c r="B648" s="329"/>
      <c r="C648" s="329"/>
      <c r="D648" s="329"/>
      <c r="E648" s="329"/>
      <c r="F648" s="107"/>
      <c r="G648" s="78"/>
      <c r="H648" s="79"/>
      <c r="I648" s="79"/>
      <c r="J648" s="345" t="s">
        <v>8</v>
      </c>
      <c r="K648" s="346" t="s">
        <v>9</v>
      </c>
      <c r="L648" s="346"/>
      <c r="M648" s="474"/>
      <c r="N648" s="475"/>
      <c r="O648" s="314"/>
      <c r="P648" s="442"/>
      <c r="Q648" s="270"/>
    </row>
    <row r="649" spans="1:21" ht="12.75" customHeight="1" x14ac:dyDescent="0.25">
      <c r="A649" s="347"/>
      <c r="B649" s="103" t="s">
        <v>172</v>
      </c>
      <c r="C649" s="325" t="s">
        <v>173</v>
      </c>
      <c r="D649" s="330"/>
      <c r="E649" s="330"/>
      <c r="F649" s="127">
        <v>125486</v>
      </c>
      <c r="G649" s="78">
        <f t="shared" ref="G649:H653" si="63">G324+G558</f>
        <v>307344</v>
      </c>
      <c r="H649" s="78">
        <f t="shared" si="63"/>
        <v>297729</v>
      </c>
      <c r="I649" s="128">
        <f>H649/G649*100</f>
        <v>96.871583632672184</v>
      </c>
      <c r="J649" s="67" t="s">
        <v>10</v>
      </c>
      <c r="K649" s="666" t="s">
        <v>11</v>
      </c>
      <c r="L649" s="667"/>
      <c r="M649" s="668"/>
      <c r="N649" s="476">
        <v>156988</v>
      </c>
      <c r="O649" s="61">
        <f t="shared" ref="O649:P653" si="64">O324+O558</f>
        <v>158529</v>
      </c>
      <c r="P649" s="61">
        <f t="shared" si="64"/>
        <v>158529</v>
      </c>
      <c r="Q649" s="454">
        <f>P649/O649*100</f>
        <v>100</v>
      </c>
      <c r="R649" s="349"/>
    </row>
    <row r="650" spans="1:21" ht="12.75" customHeight="1" x14ac:dyDescent="0.25">
      <c r="A650" s="347"/>
      <c r="B650" s="103" t="s">
        <v>174</v>
      </c>
      <c r="C650" s="63" t="s">
        <v>175</v>
      </c>
      <c r="D650" s="63"/>
      <c r="E650" s="106"/>
      <c r="F650" s="127">
        <v>27634</v>
      </c>
      <c r="G650" s="78">
        <f t="shared" si="63"/>
        <v>55275</v>
      </c>
      <c r="H650" s="78">
        <f t="shared" si="63"/>
        <v>52767</v>
      </c>
      <c r="I650" s="128">
        <f t="shared" ref="I650:I686" si="65">H650/G650*100</f>
        <v>95.462686567164184</v>
      </c>
      <c r="J650" s="64" t="s">
        <v>12</v>
      </c>
      <c r="K650" s="666" t="s">
        <v>13</v>
      </c>
      <c r="L650" s="667"/>
      <c r="M650" s="668"/>
      <c r="N650" s="476">
        <v>136896</v>
      </c>
      <c r="O650" s="61">
        <f t="shared" si="64"/>
        <v>138988</v>
      </c>
      <c r="P650" s="61">
        <f t="shared" si="64"/>
        <v>138988</v>
      </c>
      <c r="Q650" s="454">
        <f t="shared" ref="Q650:Q710" si="66">P650/O650*100</f>
        <v>100</v>
      </c>
    </row>
    <row r="651" spans="1:21" ht="12.75" customHeight="1" x14ac:dyDescent="0.25">
      <c r="A651" s="347"/>
      <c r="B651" s="103" t="s">
        <v>176</v>
      </c>
      <c r="C651" s="325" t="s">
        <v>177</v>
      </c>
      <c r="D651" s="330"/>
      <c r="E651" s="330"/>
      <c r="F651" s="127">
        <v>471703</v>
      </c>
      <c r="G651" s="510">
        <f t="shared" si="63"/>
        <v>1024775</v>
      </c>
      <c r="H651" s="510">
        <f t="shared" si="63"/>
        <v>728576</v>
      </c>
      <c r="I651" s="128">
        <f t="shared" si="65"/>
        <v>71.096191846990806</v>
      </c>
      <c r="J651" s="64" t="s">
        <v>14</v>
      </c>
      <c r="K651" s="666" t="s">
        <v>15</v>
      </c>
      <c r="L651" s="667"/>
      <c r="M651" s="668"/>
      <c r="N651" s="476">
        <v>650936</v>
      </c>
      <c r="O651" s="61">
        <f t="shared" si="64"/>
        <v>704892</v>
      </c>
      <c r="P651" s="61">
        <f t="shared" si="64"/>
        <v>704892</v>
      </c>
      <c r="Q651" s="454">
        <f t="shared" si="66"/>
        <v>100</v>
      </c>
    </row>
    <row r="652" spans="1:21" ht="12.75" customHeight="1" x14ac:dyDescent="0.25">
      <c r="A652" s="347"/>
      <c r="B652" s="103" t="s">
        <v>178</v>
      </c>
      <c r="C652" s="63" t="s">
        <v>179</v>
      </c>
      <c r="D652" s="201"/>
      <c r="E652" s="76"/>
      <c r="F652" s="127">
        <v>9278</v>
      </c>
      <c r="G652" s="78">
        <f t="shared" si="63"/>
        <v>6136</v>
      </c>
      <c r="H652" s="78">
        <f t="shared" si="63"/>
        <v>5290</v>
      </c>
      <c r="I652" s="128">
        <f t="shared" si="65"/>
        <v>86.21251629726207</v>
      </c>
      <c r="J652" s="64" t="s">
        <v>16</v>
      </c>
      <c r="K652" s="666" t="s">
        <v>17</v>
      </c>
      <c r="L652" s="667"/>
      <c r="M652" s="668"/>
      <c r="N652" s="476">
        <v>9590</v>
      </c>
      <c r="O652" s="61">
        <f t="shared" si="64"/>
        <v>9987</v>
      </c>
      <c r="P652" s="61">
        <f t="shared" si="64"/>
        <v>9987</v>
      </c>
      <c r="Q652" s="454">
        <f t="shared" si="66"/>
        <v>100</v>
      </c>
      <c r="R652" s="511"/>
      <c r="S652" s="512"/>
      <c r="T652" s="511"/>
      <c r="U652" s="349"/>
    </row>
    <row r="653" spans="1:21" x14ac:dyDescent="0.25">
      <c r="A653" s="347"/>
      <c r="B653" s="103" t="s">
        <v>180</v>
      </c>
      <c r="C653" s="63" t="s">
        <v>181</v>
      </c>
      <c r="D653" s="201"/>
      <c r="E653" s="76"/>
      <c r="F653" s="127">
        <v>180737</v>
      </c>
      <c r="G653" s="78">
        <f t="shared" si="63"/>
        <v>187777</v>
      </c>
      <c r="H653" s="78">
        <f t="shared" si="63"/>
        <v>187775</v>
      </c>
      <c r="I653" s="128">
        <f t="shared" si="65"/>
        <v>99.998934906830968</v>
      </c>
      <c r="J653" s="348" t="s">
        <v>18</v>
      </c>
      <c r="K653" s="670" t="s">
        <v>19</v>
      </c>
      <c r="L653" s="671"/>
      <c r="M653" s="672"/>
      <c r="N653" s="477">
        <v>238742</v>
      </c>
      <c r="O653" s="61">
        <f t="shared" si="64"/>
        <v>94255</v>
      </c>
      <c r="P653" s="61">
        <f t="shared" si="64"/>
        <v>94255</v>
      </c>
      <c r="Q653" s="454">
        <f t="shared" si="66"/>
        <v>100</v>
      </c>
      <c r="R653" s="349"/>
      <c r="T653" s="349"/>
      <c r="U653" s="349"/>
    </row>
    <row r="654" spans="1:21" x14ac:dyDescent="0.25">
      <c r="A654" s="347"/>
      <c r="B654" s="103" t="s">
        <v>182</v>
      </c>
      <c r="C654" s="63" t="s">
        <v>183</v>
      </c>
      <c r="D654" s="201"/>
      <c r="E654" s="76"/>
      <c r="F654" s="127"/>
      <c r="G654" s="78"/>
      <c r="H654" s="78"/>
      <c r="I654" s="128"/>
      <c r="J654" s="75" t="s">
        <v>20</v>
      </c>
      <c r="K654" s="83" t="s">
        <v>21</v>
      </c>
      <c r="L654" s="110"/>
      <c r="M654" s="479"/>
      <c r="N654" s="477"/>
      <c r="O654" s="61">
        <f>SUM(O329)</f>
        <v>1384</v>
      </c>
      <c r="P654" s="61">
        <f>SUM(P329)</f>
        <v>1384</v>
      </c>
      <c r="Q654" s="454">
        <f t="shared" si="66"/>
        <v>100</v>
      </c>
    </row>
    <row r="655" spans="1:21" ht="12.75" customHeight="1" x14ac:dyDescent="0.25">
      <c r="A655" s="347"/>
      <c r="B655" s="103" t="s">
        <v>184</v>
      </c>
      <c r="C655" s="63" t="s">
        <v>185</v>
      </c>
      <c r="D655" s="330"/>
      <c r="E655" s="330"/>
      <c r="F655" s="127"/>
      <c r="G655" s="78">
        <f>SUM(G330)</f>
        <v>950</v>
      </c>
      <c r="H655" s="78">
        <f>SUM(H330)</f>
        <v>950</v>
      </c>
      <c r="I655" s="128">
        <f t="shared" si="65"/>
        <v>100</v>
      </c>
      <c r="J655" s="138" t="s">
        <v>22</v>
      </c>
      <c r="K655" s="139" t="s">
        <v>23</v>
      </c>
      <c r="L655" s="140"/>
      <c r="M655" s="480"/>
      <c r="N655" s="475"/>
      <c r="O655" s="61"/>
      <c r="P655" s="61"/>
      <c r="Q655" s="454"/>
    </row>
    <row r="656" spans="1:21" x14ac:dyDescent="0.25">
      <c r="A656" s="347"/>
      <c r="B656" s="103" t="s">
        <v>186</v>
      </c>
      <c r="C656" s="325" t="s">
        <v>187</v>
      </c>
      <c r="D656" s="201"/>
      <c r="E656" s="76"/>
      <c r="F656" s="127"/>
      <c r="G656" s="78"/>
      <c r="H656" s="78"/>
      <c r="I656" s="128"/>
      <c r="J656" s="103" t="s">
        <v>24</v>
      </c>
      <c r="K656" s="106" t="s">
        <v>25</v>
      </c>
      <c r="L656" s="108"/>
      <c r="M656" s="481"/>
      <c r="N656" s="477">
        <v>1384</v>
      </c>
      <c r="O656" s="61">
        <f>O331+O564</f>
        <v>0</v>
      </c>
      <c r="P656" s="61">
        <f>P331+P564</f>
        <v>0</v>
      </c>
      <c r="Q656" s="454"/>
      <c r="R656" s="349"/>
      <c r="T656" s="349"/>
    </row>
    <row r="657" spans="1:18" x14ac:dyDescent="0.25">
      <c r="A657" s="347"/>
      <c r="B657" s="103" t="s">
        <v>188</v>
      </c>
      <c r="C657" s="201" t="s">
        <v>189</v>
      </c>
      <c r="D657" s="201"/>
      <c r="E657" s="76"/>
      <c r="F657" s="127">
        <v>726904</v>
      </c>
      <c r="G657" s="510">
        <f>G566+G332</f>
        <v>763141</v>
      </c>
      <c r="H657" s="510">
        <f>H566+H332</f>
        <v>758790</v>
      </c>
      <c r="I657" s="128">
        <f t="shared" si="65"/>
        <v>99.429856343716295</v>
      </c>
      <c r="J657" s="290" t="s">
        <v>26</v>
      </c>
      <c r="K657" s="350" t="s">
        <v>27</v>
      </c>
      <c r="L657" s="186"/>
      <c r="M657" s="186"/>
      <c r="N657" s="482"/>
      <c r="O657" s="61"/>
      <c r="P657" s="61"/>
      <c r="Q657" s="454"/>
    </row>
    <row r="658" spans="1:18" x14ac:dyDescent="0.25">
      <c r="A658" s="347"/>
      <c r="B658" s="103" t="s">
        <v>190</v>
      </c>
      <c r="C658" s="201" t="s">
        <v>191</v>
      </c>
      <c r="D658" s="330"/>
      <c r="E658" s="330"/>
      <c r="F658" s="127"/>
      <c r="G658" s="78"/>
      <c r="H658" s="78"/>
      <c r="I658" s="128"/>
      <c r="J658" s="103" t="s">
        <v>28</v>
      </c>
      <c r="K658" s="76" t="s">
        <v>29</v>
      </c>
      <c r="L658" s="77"/>
      <c r="M658" s="483"/>
      <c r="N658" s="477"/>
      <c r="O658" s="61">
        <v>950</v>
      </c>
      <c r="P658" s="61">
        <v>1250</v>
      </c>
      <c r="Q658" s="454">
        <f t="shared" si="66"/>
        <v>131.57894736842107</v>
      </c>
      <c r="R658" s="349"/>
    </row>
    <row r="659" spans="1:18" x14ac:dyDescent="0.25">
      <c r="A659" s="347"/>
      <c r="B659" s="103" t="s">
        <v>192</v>
      </c>
      <c r="C659" s="325" t="s">
        <v>193</v>
      </c>
      <c r="D659" s="201"/>
      <c r="E659" s="76"/>
      <c r="F659" s="127"/>
      <c r="G659" s="78">
        <f>SUM(G568+G334)</f>
        <v>450</v>
      </c>
      <c r="H659" s="78">
        <f>SUM(H568+H334)</f>
        <v>371</v>
      </c>
      <c r="I659" s="128">
        <f t="shared" si="65"/>
        <v>82.444444444444443</v>
      </c>
      <c r="J659" s="290" t="s">
        <v>30</v>
      </c>
      <c r="K659" s="106" t="s">
        <v>31</v>
      </c>
      <c r="L659" s="108"/>
      <c r="M659" s="481"/>
      <c r="N659" s="477"/>
      <c r="O659" s="61"/>
      <c r="P659" s="61"/>
      <c r="Q659" s="454"/>
    </row>
    <row r="660" spans="1:18" x14ac:dyDescent="0.25">
      <c r="A660" s="347"/>
      <c r="B660" s="103" t="s">
        <v>194</v>
      </c>
      <c r="C660" s="325" t="s">
        <v>195</v>
      </c>
      <c r="D660" s="201"/>
      <c r="E660" s="76"/>
      <c r="F660" s="127">
        <v>300</v>
      </c>
      <c r="G660" s="78">
        <f>G335</f>
        <v>716</v>
      </c>
      <c r="H660" s="78">
        <f>H335</f>
        <v>582</v>
      </c>
      <c r="I660" s="128">
        <f t="shared" si="65"/>
        <v>81.284916201117312</v>
      </c>
      <c r="J660" s="103" t="s">
        <v>32</v>
      </c>
      <c r="K660" s="76" t="s">
        <v>33</v>
      </c>
      <c r="L660" s="77"/>
      <c r="M660" s="483"/>
      <c r="N660" s="477">
        <v>196854</v>
      </c>
      <c r="O660" s="61">
        <f>SUM(O569+O335)</f>
        <v>446851</v>
      </c>
      <c r="P660" s="61">
        <f>SUM(P569+P335)</f>
        <v>448886</v>
      </c>
      <c r="Q660" s="454">
        <f t="shared" si="66"/>
        <v>100.45540907371809</v>
      </c>
    </row>
    <row r="661" spans="1:18" x14ac:dyDescent="0.25">
      <c r="A661" s="347"/>
      <c r="B661" s="103" t="s">
        <v>196</v>
      </c>
      <c r="C661" s="325" t="s">
        <v>197</v>
      </c>
      <c r="D661" s="330"/>
      <c r="E661" s="330"/>
      <c r="F661" s="127"/>
      <c r="G661" s="78"/>
      <c r="H661" s="78"/>
      <c r="I661" s="128"/>
      <c r="J661" s="290" t="s">
        <v>34</v>
      </c>
      <c r="K661" s="106" t="s">
        <v>35</v>
      </c>
      <c r="L661" s="108"/>
      <c r="M661" s="481"/>
      <c r="N661" s="484">
        <v>134549</v>
      </c>
      <c r="O661" s="188">
        <f>SUM(O570+O336)</f>
        <v>159451</v>
      </c>
      <c r="P661" s="188">
        <f>SUM(P570+P336)</f>
        <v>130269</v>
      </c>
      <c r="Q661" s="454">
        <f t="shared" si="66"/>
        <v>81.698452816225682</v>
      </c>
    </row>
    <row r="662" spans="1:18" x14ac:dyDescent="0.25">
      <c r="A662" s="347"/>
      <c r="B662" s="103" t="s">
        <v>198</v>
      </c>
      <c r="C662" s="325" t="s">
        <v>199</v>
      </c>
      <c r="D662" s="330"/>
      <c r="E662" s="330"/>
      <c r="F662" s="127"/>
      <c r="G662" s="78"/>
      <c r="H662" s="78"/>
      <c r="I662" s="128"/>
      <c r="J662" s="138" t="s">
        <v>36</v>
      </c>
      <c r="K662" s="139" t="s">
        <v>37</v>
      </c>
      <c r="L662" s="140"/>
      <c r="M662" s="480"/>
      <c r="N662" s="475"/>
      <c r="O662" s="61"/>
      <c r="P662" s="61"/>
      <c r="Q662" s="454"/>
    </row>
    <row r="663" spans="1:18" x14ac:dyDescent="0.25">
      <c r="A663" s="347"/>
      <c r="B663" s="103" t="s">
        <v>200</v>
      </c>
      <c r="C663" s="325" t="s">
        <v>201</v>
      </c>
      <c r="D663" s="330"/>
      <c r="E663" s="330"/>
      <c r="F663" s="127">
        <v>14777</v>
      </c>
      <c r="G663" s="78">
        <f>G338+G572</f>
        <v>23213</v>
      </c>
      <c r="H663" s="78">
        <f>H338+H572</f>
        <v>18685</v>
      </c>
      <c r="I663" s="128">
        <f t="shared" si="65"/>
        <v>80.493688881230341</v>
      </c>
      <c r="J663" s="103" t="s">
        <v>38</v>
      </c>
      <c r="K663" s="106" t="s">
        <v>39</v>
      </c>
      <c r="L663" s="108"/>
      <c r="M663" s="481"/>
      <c r="N663" s="477">
        <v>26783</v>
      </c>
      <c r="O663" s="61">
        <f>SUM(O338)</f>
        <v>433590</v>
      </c>
      <c r="P663" s="61">
        <f>SUM(P338)</f>
        <v>433590</v>
      </c>
      <c r="Q663" s="454">
        <f t="shared" si="66"/>
        <v>100</v>
      </c>
    </row>
    <row r="664" spans="1:18" ht="16.5" thickBot="1" x14ac:dyDescent="0.3">
      <c r="A664" s="347"/>
      <c r="B664" s="103" t="s">
        <v>202</v>
      </c>
      <c r="C664" s="325" t="s">
        <v>203</v>
      </c>
      <c r="D664" s="330"/>
      <c r="E664" s="330"/>
      <c r="F664" s="113">
        <v>29220</v>
      </c>
      <c r="G664" s="114">
        <f>G339+G573</f>
        <v>0</v>
      </c>
      <c r="H664" s="114">
        <f>H339+H573</f>
        <v>0</v>
      </c>
      <c r="I664" s="86"/>
      <c r="J664" s="103" t="s">
        <v>40</v>
      </c>
      <c r="K664" s="350" t="s">
        <v>41</v>
      </c>
      <c r="L664" s="108"/>
      <c r="M664" s="481"/>
      <c r="N664" s="477"/>
      <c r="O664" s="61"/>
      <c r="P664" s="61"/>
      <c r="Q664" s="454"/>
    </row>
    <row r="665" spans="1:18" ht="12.75" customHeight="1" thickBot="1" x14ac:dyDescent="0.3">
      <c r="A665" s="347"/>
      <c r="B665" s="103"/>
      <c r="C665" s="328" t="s">
        <v>204</v>
      </c>
      <c r="D665" s="330"/>
      <c r="E665" s="330"/>
      <c r="F665" s="170">
        <f>SUM(F649:F664)</f>
        <v>1586039</v>
      </c>
      <c r="G665" s="171">
        <f>SUM(G649:G664)</f>
        <v>2369777</v>
      </c>
      <c r="H665" s="171">
        <f>SUM(H649:H664)</f>
        <v>2051515</v>
      </c>
      <c r="I665" s="86">
        <f t="shared" si="65"/>
        <v>86.569959958257684</v>
      </c>
      <c r="J665" s="103" t="s">
        <v>42</v>
      </c>
      <c r="K665" s="76" t="s">
        <v>43</v>
      </c>
      <c r="L665" s="77"/>
      <c r="M665" s="483"/>
      <c r="N665" s="477"/>
      <c r="O665" s="61"/>
      <c r="P665" s="61"/>
      <c r="Q665" s="454"/>
    </row>
    <row r="666" spans="1:18" ht="12.75" customHeight="1" x14ac:dyDescent="0.25">
      <c r="A666" s="351" t="s">
        <v>205</v>
      </c>
      <c r="B666" s="352"/>
      <c r="C666" s="353"/>
      <c r="D666" s="354"/>
      <c r="E666" s="354"/>
      <c r="F666" s="342"/>
      <c r="G666" s="99"/>
      <c r="H666" s="99"/>
      <c r="I666" s="296"/>
      <c r="J666" s="103" t="s">
        <v>44</v>
      </c>
      <c r="K666" s="106" t="s">
        <v>45</v>
      </c>
      <c r="L666" s="108"/>
      <c r="M666" s="481"/>
      <c r="N666" s="477"/>
      <c r="O666" s="61"/>
      <c r="P666" s="61"/>
      <c r="Q666" s="454"/>
    </row>
    <row r="667" spans="1:18" ht="12.75" customHeight="1" x14ac:dyDescent="0.25">
      <c r="A667" s="347"/>
      <c r="B667" s="103" t="s">
        <v>38</v>
      </c>
      <c r="C667" s="325" t="s">
        <v>206</v>
      </c>
      <c r="D667" s="330"/>
      <c r="E667" s="330"/>
      <c r="F667" s="127">
        <v>2517117</v>
      </c>
      <c r="G667" s="78">
        <f t="shared" ref="G667:H670" si="67">G576+G342</f>
        <v>2545477</v>
      </c>
      <c r="H667" s="78">
        <f t="shared" si="67"/>
        <v>2171281</v>
      </c>
      <c r="I667" s="128">
        <f t="shared" si="65"/>
        <v>85.299572535913697</v>
      </c>
      <c r="J667" s="103" t="s">
        <v>46</v>
      </c>
      <c r="K667" s="106" t="s">
        <v>47</v>
      </c>
      <c r="L667" s="108"/>
      <c r="M667" s="481"/>
      <c r="N667" s="477">
        <v>1684581</v>
      </c>
      <c r="O667" s="61">
        <f>O576+O342</f>
        <v>2052293</v>
      </c>
      <c r="P667" s="61">
        <f>P576+P342</f>
        <v>2014417</v>
      </c>
      <c r="Q667" s="454">
        <f t="shared" si="66"/>
        <v>98.154454554003749</v>
      </c>
    </row>
    <row r="668" spans="1:18" ht="12.75" customHeight="1" x14ac:dyDescent="0.25">
      <c r="A668" s="347"/>
      <c r="B668" s="103" t="s">
        <v>207</v>
      </c>
      <c r="C668" s="76" t="s">
        <v>208</v>
      </c>
      <c r="D668" s="330"/>
      <c r="E668" s="330"/>
      <c r="F668" s="355">
        <v>194139</v>
      </c>
      <c r="G668" s="189">
        <f t="shared" si="67"/>
        <v>454398</v>
      </c>
      <c r="H668" s="189">
        <f t="shared" si="67"/>
        <v>39768</v>
      </c>
      <c r="I668" s="128">
        <f t="shared" si="65"/>
        <v>8.7517990836227266</v>
      </c>
      <c r="J668" s="103" t="s">
        <v>48</v>
      </c>
      <c r="K668" s="106" t="s">
        <v>35</v>
      </c>
      <c r="L668" s="108"/>
      <c r="M668" s="481"/>
      <c r="N668" s="484">
        <v>1447613</v>
      </c>
      <c r="O668" s="188">
        <f>O577+O343</f>
        <v>1467338</v>
      </c>
      <c r="P668" s="188">
        <f>P577+P343</f>
        <v>1454051</v>
      </c>
      <c r="Q668" s="454">
        <f t="shared" si="66"/>
        <v>99.094482661799802</v>
      </c>
    </row>
    <row r="669" spans="1:18" ht="12.75" customHeight="1" x14ac:dyDescent="0.25">
      <c r="A669" s="347"/>
      <c r="B669" s="103"/>
      <c r="C669" s="325" t="s">
        <v>209</v>
      </c>
      <c r="D669" s="77"/>
      <c r="E669" s="77"/>
      <c r="F669" s="355">
        <v>2053720</v>
      </c>
      <c r="G669" s="189">
        <f t="shared" si="67"/>
        <v>2206779</v>
      </c>
      <c r="H669" s="189">
        <f t="shared" si="67"/>
        <v>2084772</v>
      </c>
      <c r="I669" s="128">
        <f t="shared" si="65"/>
        <v>94.471263320885328</v>
      </c>
      <c r="J669" s="138" t="s">
        <v>49</v>
      </c>
      <c r="K669" s="139" t="s">
        <v>50</v>
      </c>
      <c r="L669" s="140"/>
      <c r="M669" s="480"/>
      <c r="N669" s="475"/>
      <c r="O669" s="61"/>
      <c r="P669" s="61"/>
      <c r="Q669" s="454"/>
    </row>
    <row r="670" spans="1:18" ht="12.75" customHeight="1" x14ac:dyDescent="0.25">
      <c r="A670" s="347"/>
      <c r="B670" s="103" t="s">
        <v>210</v>
      </c>
      <c r="C670" s="325" t="s">
        <v>211</v>
      </c>
      <c r="D670" s="77"/>
      <c r="E670" s="77"/>
      <c r="F670" s="127">
        <v>27240</v>
      </c>
      <c r="G670" s="78">
        <f t="shared" si="67"/>
        <v>56244</v>
      </c>
      <c r="H670" s="78">
        <f t="shared" si="67"/>
        <v>35954</v>
      </c>
      <c r="I670" s="128">
        <f t="shared" si="65"/>
        <v>63.925040893250838</v>
      </c>
      <c r="J670" s="103" t="s">
        <v>51</v>
      </c>
      <c r="K670" s="106" t="s">
        <v>52</v>
      </c>
      <c r="L670" s="108"/>
      <c r="M670" s="480"/>
      <c r="N670" s="477">
        <v>6600</v>
      </c>
      <c r="O670" s="61">
        <f>SUM(O345)</f>
        <v>6600</v>
      </c>
      <c r="P670" s="61">
        <f>SUM(P579,P345)</f>
        <v>5996</v>
      </c>
      <c r="Q670" s="454">
        <f t="shared" si="66"/>
        <v>90.848484848484844</v>
      </c>
      <c r="R670" s="513"/>
    </row>
    <row r="671" spans="1:18" ht="12.75" customHeight="1" x14ac:dyDescent="0.25">
      <c r="A671" s="347"/>
      <c r="B671" s="103"/>
      <c r="C671" s="325" t="s">
        <v>212</v>
      </c>
      <c r="D671" s="330"/>
      <c r="E671" s="330"/>
      <c r="F671" s="127"/>
      <c r="G671" s="78"/>
      <c r="H671" s="78"/>
      <c r="I671" s="128"/>
      <c r="J671" s="103" t="s">
        <v>53</v>
      </c>
      <c r="K671" s="106" t="s">
        <v>54</v>
      </c>
      <c r="L671" s="108"/>
      <c r="M671" s="480"/>
      <c r="N671" s="477">
        <v>405000</v>
      </c>
      <c r="O671" s="61">
        <f>SUM(O346)</f>
        <v>555000</v>
      </c>
      <c r="P671" s="61">
        <f>SUM(P346)</f>
        <v>560205</v>
      </c>
      <c r="Q671" s="454">
        <f t="shared" si="66"/>
        <v>100.93783783783783</v>
      </c>
    </row>
    <row r="672" spans="1:18" x14ac:dyDescent="0.25">
      <c r="A672" s="347"/>
      <c r="B672" s="103" t="s">
        <v>213</v>
      </c>
      <c r="C672" s="63" t="s">
        <v>183</v>
      </c>
      <c r="D672" s="330"/>
      <c r="E672" s="330"/>
      <c r="F672" s="127"/>
      <c r="G672" s="510"/>
      <c r="H672" s="510"/>
      <c r="I672" s="128"/>
      <c r="J672" s="103" t="s">
        <v>55</v>
      </c>
      <c r="K672" s="70" t="s">
        <v>56</v>
      </c>
      <c r="L672" s="149"/>
      <c r="M672" s="485"/>
      <c r="N672" s="477">
        <v>28000</v>
      </c>
      <c r="O672" s="61">
        <f>SUM(O347)</f>
        <v>28000</v>
      </c>
      <c r="P672" s="61">
        <f>SUM(P347)</f>
        <v>25228</v>
      </c>
      <c r="Q672" s="454">
        <f t="shared" si="66"/>
        <v>90.100000000000009</v>
      </c>
    </row>
    <row r="673" spans="1:20" ht="29.25" customHeight="1" x14ac:dyDescent="0.25">
      <c r="A673" s="347"/>
      <c r="B673" s="103" t="s">
        <v>214</v>
      </c>
      <c r="C673" s="63" t="s">
        <v>185</v>
      </c>
      <c r="D673" s="77"/>
      <c r="E673" s="77"/>
      <c r="F673" s="127"/>
      <c r="G673" s="510"/>
      <c r="H673" s="510"/>
      <c r="I673" s="128"/>
      <c r="J673" s="337" t="s">
        <v>57</v>
      </c>
      <c r="K673" s="629" t="s">
        <v>58</v>
      </c>
      <c r="L673" s="630"/>
      <c r="M673" s="633"/>
      <c r="N673" s="486">
        <v>5600</v>
      </c>
      <c r="O673" s="61">
        <f>SUM(O348)</f>
        <v>5600</v>
      </c>
      <c r="P673" s="61">
        <f>SUM(P348)</f>
        <v>4138</v>
      </c>
      <c r="Q673" s="454">
        <f t="shared" si="66"/>
        <v>73.892857142857139</v>
      </c>
    </row>
    <row r="674" spans="1:20" ht="62.25" customHeight="1" x14ac:dyDescent="0.25">
      <c r="A674" s="347"/>
      <c r="B674" s="103" t="s">
        <v>215</v>
      </c>
      <c r="C674" s="325" t="s">
        <v>187</v>
      </c>
      <c r="D674" s="77"/>
      <c r="E674" s="77"/>
      <c r="F674" s="127"/>
      <c r="G674" s="78"/>
      <c r="H674" s="78"/>
      <c r="I674" s="128"/>
      <c r="J674" s="337" t="s">
        <v>59</v>
      </c>
      <c r="K674" s="629" t="s">
        <v>60</v>
      </c>
      <c r="L674" s="630"/>
      <c r="M674" s="633"/>
      <c r="N674" s="486">
        <v>3000</v>
      </c>
      <c r="O674" s="61">
        <f>SUM(O349)</f>
        <v>3000</v>
      </c>
      <c r="P674" s="61">
        <f>SUM(P349)</f>
        <v>1707</v>
      </c>
      <c r="Q674" s="454">
        <f t="shared" si="66"/>
        <v>56.899999999999991</v>
      </c>
    </row>
    <row r="675" spans="1:20" x14ac:dyDescent="0.25">
      <c r="A675" s="347"/>
      <c r="B675" s="103"/>
      <c r="C675" s="325"/>
      <c r="D675" s="77"/>
      <c r="E675" s="77"/>
      <c r="F675" s="127"/>
      <c r="G675" s="78"/>
      <c r="H675" s="78"/>
      <c r="I675" s="128"/>
      <c r="J675" s="337" t="s">
        <v>439</v>
      </c>
      <c r="K675" s="629" t="s">
        <v>440</v>
      </c>
      <c r="L675" s="630"/>
      <c r="M675" s="633"/>
      <c r="N675" s="486"/>
      <c r="O675" s="61"/>
      <c r="P675" s="61">
        <f>SUM(P584,P350)</f>
        <v>980</v>
      </c>
      <c r="Q675" s="454"/>
    </row>
    <row r="676" spans="1:20" x14ac:dyDescent="0.25">
      <c r="A676" s="347"/>
      <c r="B676" s="103" t="s">
        <v>216</v>
      </c>
      <c r="C676" s="63" t="s">
        <v>217</v>
      </c>
      <c r="D676" s="77"/>
      <c r="E676" s="77"/>
      <c r="F676" s="127">
        <v>25597</v>
      </c>
      <c r="G676" s="78">
        <f>SUM(G351+G585)</f>
        <v>459541</v>
      </c>
      <c r="H676" s="78">
        <f>SUM(H351+H585)</f>
        <v>453991</v>
      </c>
      <c r="I676" s="128">
        <f t="shared" si="65"/>
        <v>98.79227315952221</v>
      </c>
      <c r="J676" s="138" t="s">
        <v>61</v>
      </c>
      <c r="K676" s="139" t="s">
        <v>62</v>
      </c>
      <c r="L676" s="140"/>
      <c r="M676" s="480"/>
      <c r="N676" s="475"/>
      <c r="O676" s="61"/>
      <c r="P676" s="61"/>
      <c r="Q676" s="454"/>
    </row>
    <row r="677" spans="1:20" x14ac:dyDescent="0.25">
      <c r="A677" s="347"/>
      <c r="B677" s="103" t="s">
        <v>218</v>
      </c>
      <c r="C677" s="201" t="s">
        <v>191</v>
      </c>
      <c r="D677" s="330"/>
      <c r="E677" s="330"/>
      <c r="F677" s="127"/>
      <c r="G677" s="78"/>
      <c r="H677" s="78"/>
      <c r="I677" s="128"/>
      <c r="J677" s="103" t="s">
        <v>63</v>
      </c>
      <c r="K677" s="106" t="s">
        <v>64</v>
      </c>
      <c r="L677" s="108"/>
      <c r="M677" s="481"/>
      <c r="N677" s="477">
        <v>75</v>
      </c>
      <c r="O677" s="61">
        <f t="shared" ref="O677:P682" si="68">SUM(O586+O352)</f>
        <v>10725</v>
      </c>
      <c r="P677" s="61">
        <f t="shared" si="68"/>
        <v>17067</v>
      </c>
      <c r="Q677" s="454">
        <f t="shared" si="66"/>
        <v>159.13286713286715</v>
      </c>
    </row>
    <row r="678" spans="1:20" x14ac:dyDescent="0.25">
      <c r="A678" s="347"/>
      <c r="B678" s="103" t="s">
        <v>219</v>
      </c>
      <c r="C678" s="325" t="s">
        <v>193</v>
      </c>
      <c r="D678" s="77"/>
      <c r="E678" s="77"/>
      <c r="F678" s="127">
        <v>1000</v>
      </c>
      <c r="G678" s="78">
        <f>G587</f>
        <v>27318</v>
      </c>
      <c r="H678" s="78">
        <f>H587</f>
        <v>19184</v>
      </c>
      <c r="I678" s="128">
        <f t="shared" si="65"/>
        <v>70.224760231349293</v>
      </c>
      <c r="J678" s="103" t="s">
        <v>65</v>
      </c>
      <c r="K678" s="106" t="s">
        <v>66</v>
      </c>
      <c r="L678" s="108"/>
      <c r="M678" s="481"/>
      <c r="N678" s="477">
        <v>11421</v>
      </c>
      <c r="O678" s="61">
        <f t="shared" si="68"/>
        <v>18531</v>
      </c>
      <c r="P678" s="61">
        <f t="shared" si="68"/>
        <v>13506</v>
      </c>
      <c r="Q678" s="454">
        <f t="shared" si="66"/>
        <v>72.88327667152339</v>
      </c>
    </row>
    <row r="679" spans="1:20" x14ac:dyDescent="0.25">
      <c r="A679" s="347"/>
      <c r="B679" s="103" t="s">
        <v>220</v>
      </c>
      <c r="C679" s="76" t="s">
        <v>221</v>
      </c>
      <c r="D679" s="77"/>
      <c r="E679" s="77"/>
      <c r="F679" s="127"/>
      <c r="G679" s="78"/>
      <c r="H679" s="78"/>
      <c r="I679" s="128"/>
      <c r="J679" s="103" t="s">
        <v>67</v>
      </c>
      <c r="K679" s="106" t="s">
        <v>68</v>
      </c>
      <c r="L679" s="108"/>
      <c r="M679" s="481"/>
      <c r="N679" s="477">
        <v>150</v>
      </c>
      <c r="O679" s="61">
        <f t="shared" si="68"/>
        <v>150</v>
      </c>
      <c r="P679" s="61">
        <f t="shared" si="68"/>
        <v>3445</v>
      </c>
      <c r="Q679" s="454">
        <f t="shared" si="66"/>
        <v>2296.6666666666665</v>
      </c>
    </row>
    <row r="680" spans="1:20" x14ac:dyDescent="0.25">
      <c r="A680" s="347"/>
      <c r="B680" s="103" t="s">
        <v>222</v>
      </c>
      <c r="C680" s="325" t="s">
        <v>223</v>
      </c>
      <c r="D680" s="330"/>
      <c r="E680" s="330"/>
      <c r="F680" s="127">
        <v>66602</v>
      </c>
      <c r="G680" s="78"/>
      <c r="H680" s="78"/>
      <c r="I680" s="128"/>
      <c r="J680" s="103" t="s">
        <v>69</v>
      </c>
      <c r="K680" s="106" t="s">
        <v>70</v>
      </c>
      <c r="L680" s="108"/>
      <c r="M680" s="481"/>
      <c r="N680" s="477">
        <v>41187</v>
      </c>
      <c r="O680" s="61">
        <f t="shared" si="68"/>
        <v>60917</v>
      </c>
      <c r="P680" s="61">
        <f t="shared" si="68"/>
        <v>23339</v>
      </c>
      <c r="Q680" s="454">
        <f t="shared" si="66"/>
        <v>38.312786250143638</v>
      </c>
    </row>
    <row r="681" spans="1:20" ht="16.5" thickBot="1" x14ac:dyDescent="0.3">
      <c r="A681" s="347"/>
      <c r="B681" s="103" t="s">
        <v>224</v>
      </c>
      <c r="C681" s="76" t="s">
        <v>225</v>
      </c>
      <c r="D681" s="77"/>
      <c r="E681" s="77"/>
      <c r="F681" s="113">
        <v>1000</v>
      </c>
      <c r="G681" s="114">
        <f>G356</f>
        <v>20575</v>
      </c>
      <c r="H681" s="114">
        <f>H356</f>
        <v>19575</v>
      </c>
      <c r="I681" s="86">
        <f t="shared" si="65"/>
        <v>95.139732685297702</v>
      </c>
      <c r="J681" s="103" t="s">
        <v>71</v>
      </c>
      <c r="K681" s="106" t="s">
        <v>72</v>
      </c>
      <c r="L681" s="108"/>
      <c r="M681" s="481"/>
      <c r="N681" s="477">
        <v>34874</v>
      </c>
      <c r="O681" s="61">
        <f t="shared" si="68"/>
        <v>34874</v>
      </c>
      <c r="P681" s="61">
        <f t="shared" si="68"/>
        <v>27880</v>
      </c>
      <c r="Q681" s="454">
        <f t="shared" si="66"/>
        <v>79.94494465791135</v>
      </c>
    </row>
    <row r="682" spans="1:20" ht="16.5" thickBot="1" x14ac:dyDescent="0.3">
      <c r="A682" s="347"/>
      <c r="B682" s="103"/>
      <c r="C682" s="357" t="s">
        <v>226</v>
      </c>
      <c r="D682" s="77"/>
      <c r="E682" s="77"/>
      <c r="F682" s="170">
        <f>SUM(F670:F681,F667)</f>
        <v>2638556</v>
      </c>
      <c r="G682" s="170">
        <f t="shared" ref="G682" si="69">SUM(G670:G681,G667)</f>
        <v>3109155</v>
      </c>
      <c r="H682" s="170">
        <f t="shared" ref="H682" si="70">SUM(H670:H681,H667)</f>
        <v>2699985</v>
      </c>
      <c r="I682" s="86">
        <f t="shared" si="65"/>
        <v>86.839832687659509</v>
      </c>
      <c r="J682" s="103" t="s">
        <v>73</v>
      </c>
      <c r="K682" s="106" t="s">
        <v>74</v>
      </c>
      <c r="L682" s="108"/>
      <c r="M682" s="481"/>
      <c r="N682" s="477">
        <v>64820</v>
      </c>
      <c r="O682" s="61">
        <f t="shared" si="68"/>
        <v>69614</v>
      </c>
      <c r="P682" s="61">
        <f t="shared" si="68"/>
        <v>13762</v>
      </c>
      <c r="Q682" s="454">
        <f t="shared" si="66"/>
        <v>19.769011980348779</v>
      </c>
      <c r="T682" s="349"/>
    </row>
    <row r="683" spans="1:20" ht="16.5" thickBot="1" x14ac:dyDescent="0.3">
      <c r="A683" s="358" t="s">
        <v>230</v>
      </c>
      <c r="B683" s="103"/>
      <c r="C683" s="76"/>
      <c r="D683" s="77"/>
      <c r="E683" s="77"/>
      <c r="F683" s="271">
        <f>SUM(F682,F665)</f>
        <v>4224595</v>
      </c>
      <c r="G683" s="119">
        <f>SUM(G682,G665)</f>
        <v>5478932</v>
      </c>
      <c r="H683" s="119">
        <f>SUM(H682,H665)</f>
        <v>4751500</v>
      </c>
      <c r="I683" s="86">
        <f t="shared" si="65"/>
        <v>86.723105889980019</v>
      </c>
      <c r="J683" s="103" t="s">
        <v>75</v>
      </c>
      <c r="K683" s="106" t="s">
        <v>76</v>
      </c>
      <c r="L683" s="108"/>
      <c r="M683" s="481"/>
      <c r="N683" s="477">
        <v>432693</v>
      </c>
      <c r="O683" s="61">
        <f>O592+O358</f>
        <v>527645</v>
      </c>
      <c r="P683" s="61">
        <f>P592+P358</f>
        <v>294929</v>
      </c>
      <c r="Q683" s="454">
        <f t="shared" si="66"/>
        <v>55.895346302911996</v>
      </c>
    </row>
    <row r="684" spans="1:20" x14ac:dyDescent="0.25">
      <c r="A684" s="133" t="s">
        <v>262</v>
      </c>
      <c r="B684" s="103"/>
      <c r="C684" s="357"/>
      <c r="D684" s="77"/>
      <c r="E684" s="77"/>
      <c r="F684" s="178"/>
      <c r="G684" s="451"/>
      <c r="H684" s="451"/>
      <c r="I684" s="296"/>
      <c r="J684" s="103" t="s">
        <v>77</v>
      </c>
      <c r="K684" s="106" t="s">
        <v>78</v>
      </c>
      <c r="L684" s="108"/>
      <c r="M684" s="481"/>
      <c r="N684" s="477"/>
      <c r="O684" s="61"/>
      <c r="P684" s="61">
        <f>SUM(P593+P359)</f>
        <v>1275</v>
      </c>
      <c r="Q684" s="454"/>
      <c r="R684" s="349"/>
    </row>
    <row r="685" spans="1:20" x14ac:dyDescent="0.25">
      <c r="A685" s="676" t="s">
        <v>407</v>
      </c>
      <c r="B685" s="677"/>
      <c r="C685" s="677"/>
      <c r="D685" s="677"/>
      <c r="E685" s="677"/>
      <c r="F685" s="514">
        <v>453148</v>
      </c>
      <c r="G685" s="218">
        <v>466563</v>
      </c>
      <c r="H685" s="218">
        <f>SUM(H360)</f>
        <v>416150</v>
      </c>
      <c r="I685" s="128">
        <f t="shared" si="65"/>
        <v>89.19481399082224</v>
      </c>
      <c r="J685" s="103" t="s">
        <v>79</v>
      </c>
      <c r="K685" s="106" t="s">
        <v>80</v>
      </c>
      <c r="L685" s="108"/>
      <c r="M685" s="481"/>
      <c r="N685" s="477"/>
      <c r="O685" s="61"/>
      <c r="P685" s="61"/>
      <c r="Q685" s="454"/>
    </row>
    <row r="686" spans="1:20" x14ac:dyDescent="0.25">
      <c r="A686" s="133" t="s">
        <v>36</v>
      </c>
      <c r="B686" s="678" t="s">
        <v>229</v>
      </c>
      <c r="C686" s="679"/>
      <c r="D686" s="679"/>
      <c r="E686" s="679"/>
      <c r="F686" s="107"/>
      <c r="G686" s="218">
        <f>SUM(G361)</f>
        <v>28968</v>
      </c>
      <c r="H686" s="218">
        <f>SUM(H361)</f>
        <v>28968</v>
      </c>
      <c r="I686" s="128">
        <f t="shared" si="65"/>
        <v>100</v>
      </c>
      <c r="J686" s="103" t="s">
        <v>81</v>
      </c>
      <c r="K686" s="106" t="s">
        <v>82</v>
      </c>
      <c r="L686" s="108"/>
      <c r="M686" s="481"/>
      <c r="N686" s="477"/>
      <c r="O686" s="61"/>
      <c r="P686" s="61">
        <f t="shared" ref="P686:P687" si="71">SUM(P595+P361)</f>
        <v>1028</v>
      </c>
      <c r="Q686" s="454"/>
    </row>
    <row r="687" spans="1:20" x14ac:dyDescent="0.25">
      <c r="A687" s="347"/>
      <c r="B687" s="103"/>
      <c r="C687" s="76"/>
      <c r="D687" s="77"/>
      <c r="E687" s="77"/>
      <c r="F687" s="127"/>
      <c r="G687" s="78"/>
      <c r="H687" s="78"/>
      <c r="I687" s="128"/>
      <c r="J687" s="103" t="s">
        <v>83</v>
      </c>
      <c r="K687" s="106" t="s">
        <v>84</v>
      </c>
      <c r="L687" s="108"/>
      <c r="M687" s="481"/>
      <c r="N687" s="477"/>
      <c r="O687" s="61"/>
      <c r="P687" s="61">
        <f t="shared" si="71"/>
        <v>198</v>
      </c>
      <c r="Q687" s="454"/>
    </row>
    <row r="688" spans="1:20" x14ac:dyDescent="0.25">
      <c r="A688" s="347"/>
      <c r="B688" s="103"/>
      <c r="C688" s="76"/>
      <c r="D688" s="77"/>
      <c r="E688" s="77"/>
      <c r="F688" s="127"/>
      <c r="G688" s="218"/>
      <c r="H688" s="218"/>
      <c r="I688" s="128"/>
      <c r="J688" s="138" t="s">
        <v>85</v>
      </c>
      <c r="K688" s="139" t="s">
        <v>86</v>
      </c>
      <c r="L688" s="140"/>
      <c r="M688" s="481"/>
      <c r="N688" s="477"/>
      <c r="O688" s="61"/>
      <c r="P688" s="61"/>
      <c r="Q688" s="454"/>
      <c r="R688" s="349"/>
    </row>
    <row r="689" spans="1:19" x14ac:dyDescent="0.25">
      <c r="A689" s="347"/>
      <c r="B689" s="103"/>
      <c r="C689" s="357"/>
      <c r="D689" s="77"/>
      <c r="E689" s="77"/>
      <c r="F689" s="127"/>
      <c r="G689" s="218"/>
      <c r="H689" s="218"/>
      <c r="I689" s="128"/>
      <c r="J689" s="103" t="s">
        <v>87</v>
      </c>
      <c r="K689" s="76" t="s">
        <v>88</v>
      </c>
      <c r="L689" s="77"/>
      <c r="M689" s="481"/>
      <c r="N689" s="477"/>
      <c r="O689" s="61"/>
      <c r="P689" s="61"/>
      <c r="Q689" s="454"/>
      <c r="R689" s="349"/>
      <c r="S689" s="349"/>
    </row>
    <row r="690" spans="1:19" x14ac:dyDescent="0.25">
      <c r="A690" s="358"/>
      <c r="B690" s="346"/>
      <c r="C690" s="346"/>
      <c r="D690" s="346"/>
      <c r="E690" s="346"/>
      <c r="F690" s="300"/>
      <c r="G690" s="78"/>
      <c r="H690" s="78"/>
      <c r="I690" s="128"/>
      <c r="J690" s="103" t="s">
        <v>89</v>
      </c>
      <c r="K690" s="106" t="s">
        <v>90</v>
      </c>
      <c r="L690" s="108"/>
      <c r="M690" s="481"/>
      <c r="N690" s="477">
        <v>160225</v>
      </c>
      <c r="O690" s="61">
        <f>SUM(O365)</f>
        <v>181260</v>
      </c>
      <c r="P690" s="61">
        <f>SUM(P365)</f>
        <v>267</v>
      </c>
      <c r="Q690" s="454">
        <f t="shared" si="66"/>
        <v>0.14730221780867261</v>
      </c>
    </row>
    <row r="691" spans="1:19" x14ac:dyDescent="0.25">
      <c r="A691" s="361"/>
      <c r="B691" s="362"/>
      <c r="C691" s="363"/>
      <c r="D691" s="364"/>
      <c r="E691" s="364"/>
      <c r="F691" s="300"/>
      <c r="G691" s="78"/>
      <c r="H691" s="78"/>
      <c r="I691" s="128"/>
      <c r="J691" s="103" t="s">
        <v>91</v>
      </c>
      <c r="K691" s="106" t="s">
        <v>92</v>
      </c>
      <c r="L691" s="140"/>
      <c r="M691" s="480"/>
      <c r="N691" s="475"/>
      <c r="O691" s="61"/>
      <c r="P691" s="61"/>
      <c r="Q691" s="454"/>
    </row>
    <row r="692" spans="1:19" x14ac:dyDescent="0.25">
      <c r="A692" s="347"/>
      <c r="B692" s="138"/>
      <c r="C692" s="365"/>
      <c r="D692" s="346"/>
      <c r="E692" s="346"/>
      <c r="F692" s="300"/>
      <c r="G692" s="78"/>
      <c r="H692" s="78"/>
      <c r="I692" s="128"/>
      <c r="J692" s="103" t="s">
        <v>93</v>
      </c>
      <c r="K692" s="76" t="s">
        <v>94</v>
      </c>
      <c r="L692" s="77"/>
      <c r="M692" s="483"/>
      <c r="N692" s="477"/>
      <c r="O692" s="61"/>
      <c r="P692" s="61"/>
      <c r="Q692" s="454"/>
      <c r="R692" s="349"/>
    </row>
    <row r="693" spans="1:19" ht="12.75" customHeight="1" x14ac:dyDescent="0.25">
      <c r="A693" s="347"/>
      <c r="B693" s="103"/>
      <c r="C693" s="186"/>
      <c r="D693" s="186"/>
      <c r="E693" s="186"/>
      <c r="F693" s="228"/>
      <c r="G693" s="78"/>
      <c r="H693" s="78"/>
      <c r="I693" s="128"/>
      <c r="J693" s="103" t="s">
        <v>95</v>
      </c>
      <c r="K693" s="666" t="s">
        <v>96</v>
      </c>
      <c r="L693" s="667"/>
      <c r="M693" s="668"/>
      <c r="N693" s="476"/>
      <c r="O693" s="61"/>
      <c r="P693" s="61"/>
      <c r="Q693" s="454"/>
    </row>
    <row r="694" spans="1:19" ht="12.75" customHeight="1" x14ac:dyDescent="0.25">
      <c r="A694" s="366"/>
      <c r="B694" s="103"/>
      <c r="C694" s="325"/>
      <c r="D694" s="330"/>
      <c r="E694" s="77"/>
      <c r="F694" s="127"/>
      <c r="G694" s="78"/>
      <c r="H694" s="78"/>
      <c r="I694" s="128"/>
      <c r="J694" s="138" t="s">
        <v>97</v>
      </c>
      <c r="K694" s="642" t="s">
        <v>98</v>
      </c>
      <c r="L694" s="643"/>
      <c r="M694" s="669"/>
      <c r="N694" s="489"/>
      <c r="O694" s="61"/>
      <c r="P694" s="61"/>
      <c r="Q694" s="454"/>
    </row>
    <row r="695" spans="1:19" ht="12.75" customHeight="1" x14ac:dyDescent="0.25">
      <c r="A695" s="347"/>
      <c r="B695" s="367"/>
      <c r="C695" s="325"/>
      <c r="D695" s="77"/>
      <c r="E695" s="77"/>
      <c r="F695" s="127"/>
      <c r="G695" s="78"/>
      <c r="H695" s="78"/>
      <c r="I695" s="128"/>
      <c r="J695" s="348" t="s">
        <v>99</v>
      </c>
      <c r="K695" s="368" t="s">
        <v>100</v>
      </c>
      <c r="L695" s="369"/>
      <c r="M695" s="490"/>
      <c r="N695" s="477">
        <v>1800</v>
      </c>
      <c r="O695" s="61">
        <f>SUM(O370)</f>
        <v>1800</v>
      </c>
      <c r="P695" s="61">
        <f>SUM(P370)</f>
        <v>1800</v>
      </c>
      <c r="Q695" s="454">
        <f t="shared" si="66"/>
        <v>100</v>
      </c>
      <c r="S695" s="349"/>
    </row>
    <row r="696" spans="1:19" ht="12.75" customHeight="1" x14ac:dyDescent="0.25">
      <c r="A696" s="347"/>
      <c r="B696" s="103"/>
      <c r="C696" s="76"/>
      <c r="D696" s="77"/>
      <c r="E696" s="77"/>
      <c r="F696" s="127"/>
      <c r="G696" s="78"/>
      <c r="H696" s="78"/>
      <c r="I696" s="128"/>
      <c r="J696" s="75" t="s">
        <v>101</v>
      </c>
      <c r="K696" s="83" t="s">
        <v>102</v>
      </c>
      <c r="L696" s="110"/>
      <c r="M696" s="479"/>
      <c r="N696" s="477"/>
      <c r="O696" s="61">
        <f>SUM(O605+O371)</f>
        <v>450</v>
      </c>
      <c r="P696" s="61">
        <f>SUM(P605+P371)</f>
        <v>513</v>
      </c>
      <c r="Q696" s="454">
        <f t="shared" si="66"/>
        <v>113.99999999999999</v>
      </c>
    </row>
    <row r="697" spans="1:19" ht="12.75" customHeight="1" x14ac:dyDescent="0.25">
      <c r="A697" s="347"/>
      <c r="B697" s="103"/>
      <c r="C697" s="186"/>
      <c r="D697" s="77"/>
      <c r="E697" s="77"/>
      <c r="F697" s="127"/>
      <c r="G697" s="78"/>
      <c r="H697" s="78"/>
      <c r="I697" s="128"/>
      <c r="J697" s="75" t="s">
        <v>103</v>
      </c>
      <c r="K697" s="83" t="s">
        <v>104</v>
      </c>
      <c r="L697" s="110"/>
      <c r="M697" s="479"/>
      <c r="N697" s="477"/>
      <c r="O697" s="61">
        <f>SUM(O606)</f>
        <v>1940</v>
      </c>
      <c r="P697" s="61">
        <f>SUM(P606)</f>
        <v>1940</v>
      </c>
      <c r="Q697" s="454">
        <f t="shared" si="66"/>
        <v>100</v>
      </c>
    </row>
    <row r="698" spans="1:19" ht="12.75" customHeight="1" x14ac:dyDescent="0.25">
      <c r="A698" s="347"/>
      <c r="B698" s="103"/>
      <c r="C698" s="186"/>
      <c r="D698" s="77"/>
      <c r="E698" s="77"/>
      <c r="F698" s="127"/>
      <c r="G698" s="78"/>
      <c r="H698" s="78"/>
      <c r="I698" s="128"/>
      <c r="J698" s="103"/>
      <c r="K698" s="106" t="s">
        <v>35</v>
      </c>
      <c r="L698" s="108"/>
      <c r="M698" s="481"/>
      <c r="N698" s="477"/>
      <c r="O698" s="61"/>
      <c r="P698" s="61"/>
      <c r="Q698" s="454"/>
    </row>
    <row r="699" spans="1:19" ht="12.75" customHeight="1" x14ac:dyDescent="0.25">
      <c r="A699" s="347"/>
      <c r="B699" s="103"/>
      <c r="C699" s="325"/>
      <c r="D699" s="330"/>
      <c r="E699" s="77"/>
      <c r="F699" s="127"/>
      <c r="G699" s="78"/>
      <c r="H699" s="78"/>
      <c r="I699" s="128"/>
      <c r="J699" s="138" t="s">
        <v>105</v>
      </c>
      <c r="K699" s="139" t="s">
        <v>106</v>
      </c>
      <c r="L699" s="140"/>
      <c r="M699" s="480"/>
      <c r="N699" s="475"/>
      <c r="O699" s="61"/>
      <c r="P699" s="61"/>
      <c r="Q699" s="454"/>
      <c r="R699" s="349"/>
    </row>
    <row r="700" spans="1:19" x14ac:dyDescent="0.25">
      <c r="A700" s="347"/>
      <c r="B700" s="103"/>
      <c r="C700" s="325"/>
      <c r="D700" s="77"/>
      <c r="E700" s="77"/>
      <c r="F700" s="127"/>
      <c r="G700" s="78"/>
      <c r="H700" s="78"/>
      <c r="I700" s="128"/>
      <c r="J700" s="103" t="s">
        <v>107</v>
      </c>
      <c r="K700" s="670" t="s">
        <v>108</v>
      </c>
      <c r="L700" s="671"/>
      <c r="M700" s="672"/>
      <c r="N700" s="477"/>
      <c r="O700" s="61"/>
      <c r="P700" s="61"/>
      <c r="Q700" s="454"/>
    </row>
    <row r="701" spans="1:19" x14ac:dyDescent="0.25">
      <c r="A701" s="347"/>
      <c r="B701" s="138"/>
      <c r="C701" s="139"/>
      <c r="D701" s="364"/>
      <c r="E701" s="364"/>
      <c r="F701" s="300"/>
      <c r="G701" s="78"/>
      <c r="H701" s="78"/>
      <c r="I701" s="128"/>
      <c r="J701" s="103" t="s">
        <v>109</v>
      </c>
      <c r="K701" s="83" t="s">
        <v>110</v>
      </c>
      <c r="L701" s="110"/>
      <c r="M701" s="479"/>
      <c r="N701" s="477">
        <v>500</v>
      </c>
      <c r="O701" s="61">
        <f>SUM(O610,O376)</f>
        <v>26818</v>
      </c>
      <c r="P701" s="61">
        <f>SUM(P610,P376)</f>
        <v>15981</v>
      </c>
      <c r="Q701" s="454">
        <f t="shared" si="66"/>
        <v>59.590573495413523</v>
      </c>
    </row>
    <row r="702" spans="1:19" x14ac:dyDescent="0.25">
      <c r="A702" s="347"/>
      <c r="B702" s="103"/>
      <c r="C702" s="106"/>
      <c r="D702" s="77"/>
      <c r="E702" s="77"/>
      <c r="F702" s="127"/>
      <c r="G702" s="78"/>
      <c r="H702" s="78"/>
      <c r="I702" s="128"/>
      <c r="J702" s="103" t="s">
        <v>111</v>
      </c>
      <c r="K702" s="83" t="s">
        <v>112</v>
      </c>
      <c r="L702" s="108"/>
      <c r="M702" s="481"/>
      <c r="N702" s="477"/>
      <c r="O702" s="61">
        <f>SUM(O611,O377)</f>
        <v>1000</v>
      </c>
      <c r="P702" s="61">
        <f>SUM(P611,P377)</f>
        <v>1016</v>
      </c>
      <c r="Q702" s="454">
        <f t="shared" si="66"/>
        <v>101.6</v>
      </c>
    </row>
    <row r="703" spans="1:19" ht="16.5" thickBot="1" x14ac:dyDescent="0.3">
      <c r="A703" s="347"/>
      <c r="B703" s="103"/>
      <c r="C703" s="106"/>
      <c r="D703" s="77"/>
      <c r="E703" s="77"/>
      <c r="F703" s="127"/>
      <c r="G703" s="78"/>
      <c r="H703" s="78"/>
      <c r="I703" s="128"/>
      <c r="J703" s="103"/>
      <c r="K703" s="106" t="s">
        <v>35</v>
      </c>
      <c r="L703" s="108"/>
      <c r="M703" s="481"/>
      <c r="N703" s="116"/>
      <c r="O703" s="117"/>
      <c r="P703" s="117"/>
      <c r="Q703" s="453"/>
    </row>
    <row r="704" spans="1:19" ht="16.5" thickBot="1" x14ac:dyDescent="0.3">
      <c r="A704" s="347"/>
      <c r="B704" s="103"/>
      <c r="C704" s="325"/>
      <c r="D704" s="330"/>
      <c r="E704" s="330"/>
      <c r="F704" s="127"/>
      <c r="G704" s="78"/>
      <c r="H704" s="78"/>
      <c r="I704" s="128"/>
      <c r="J704" s="673" t="s">
        <v>113</v>
      </c>
      <c r="K704" s="674"/>
      <c r="L704" s="674"/>
      <c r="M704" s="675"/>
      <c r="N704" s="297">
        <f>SUM(N669:N703,N662:N667,N649:N660)</f>
        <v>4298699</v>
      </c>
      <c r="O704" s="338">
        <f>SUM(O649:O703)-O668-O661</f>
        <v>5575643</v>
      </c>
      <c r="P704" s="338">
        <f>SUM(P649:P703)-P668-P661</f>
        <v>5022378</v>
      </c>
      <c r="Q704" s="453">
        <f t="shared" si="66"/>
        <v>90.077108595367378</v>
      </c>
      <c r="S704" s="349"/>
    </row>
    <row r="705" spans="1:17" x14ac:dyDescent="0.25">
      <c r="A705" s="347"/>
      <c r="B705" s="103"/>
      <c r="C705" s="325"/>
      <c r="D705" s="330"/>
      <c r="E705" s="330"/>
      <c r="F705" s="127"/>
      <c r="G705" s="78"/>
      <c r="H705" s="78"/>
      <c r="I705" s="128"/>
      <c r="J705" s="163" t="s">
        <v>114</v>
      </c>
      <c r="K705" s="649" t="s">
        <v>115</v>
      </c>
      <c r="L705" s="650"/>
      <c r="M705" s="657"/>
      <c r="N705" s="491"/>
      <c r="O705" s="82"/>
      <c r="P705" s="82"/>
      <c r="Q705" s="515"/>
    </row>
    <row r="706" spans="1:17" x14ac:dyDescent="0.25">
      <c r="A706" s="347"/>
      <c r="B706" s="138"/>
      <c r="C706" s="365"/>
      <c r="D706" s="346"/>
      <c r="E706" s="346"/>
      <c r="F706" s="300"/>
      <c r="G706" s="78"/>
      <c r="H706" s="78"/>
      <c r="I706" s="128"/>
      <c r="J706" s="370" t="s">
        <v>116</v>
      </c>
      <c r="K706" s="357" t="s">
        <v>117</v>
      </c>
      <c r="L706" s="364"/>
      <c r="M706" s="492"/>
      <c r="N706" s="475"/>
      <c r="O706" s="61"/>
      <c r="P706" s="61"/>
      <c r="Q706" s="454"/>
    </row>
    <row r="707" spans="1:17" x14ac:dyDescent="0.25">
      <c r="A707" s="347"/>
      <c r="B707" s="103"/>
      <c r="C707" s="325"/>
      <c r="D707" s="330"/>
      <c r="E707" s="330"/>
      <c r="F707" s="127"/>
      <c r="G707" s="78"/>
      <c r="H707" s="78"/>
      <c r="I707" s="128"/>
      <c r="J707" s="138" t="s">
        <v>118</v>
      </c>
      <c r="K707" s="649" t="s">
        <v>119</v>
      </c>
      <c r="L707" s="650"/>
      <c r="M707" s="657"/>
      <c r="N707" s="475"/>
      <c r="O707" s="61"/>
      <c r="P707" s="61"/>
      <c r="Q707" s="454"/>
    </row>
    <row r="708" spans="1:17" x14ac:dyDescent="0.25">
      <c r="A708" s="347"/>
      <c r="B708" s="103"/>
      <c r="C708" s="76"/>
      <c r="D708" s="77"/>
      <c r="E708" s="77"/>
      <c r="F708" s="127"/>
      <c r="G708" s="78"/>
      <c r="H708" s="78"/>
      <c r="I708" s="128"/>
      <c r="J708" s="103" t="s">
        <v>120</v>
      </c>
      <c r="K708" s="76" t="s">
        <v>121</v>
      </c>
      <c r="L708" s="77"/>
      <c r="M708" s="483"/>
      <c r="N708" s="477">
        <v>323146</v>
      </c>
      <c r="O708" s="61">
        <f>SUM(O617+O383)</f>
        <v>125000</v>
      </c>
      <c r="P708" s="61">
        <f>SUM(P617+P383)</f>
        <v>0</v>
      </c>
      <c r="Q708" s="454">
        <f t="shared" si="66"/>
        <v>0</v>
      </c>
    </row>
    <row r="709" spans="1:17" x14ac:dyDescent="0.25">
      <c r="A709" s="347"/>
      <c r="B709" s="103"/>
      <c r="C709" s="76"/>
      <c r="D709" s="77"/>
      <c r="E709" s="77"/>
      <c r="F709" s="127"/>
      <c r="G709" s="78"/>
      <c r="H709" s="78"/>
      <c r="I709" s="128"/>
      <c r="J709" s="103"/>
      <c r="K709" s="641" t="s">
        <v>122</v>
      </c>
      <c r="L709" s="651"/>
      <c r="M709" s="658"/>
      <c r="N709" s="477"/>
      <c r="O709" s="61"/>
      <c r="P709" s="61"/>
      <c r="Q709" s="454"/>
    </row>
    <row r="710" spans="1:17" x14ac:dyDescent="0.25">
      <c r="A710" s="347"/>
      <c r="B710" s="103"/>
      <c r="C710" s="76"/>
      <c r="D710" s="77"/>
      <c r="E710" s="77"/>
      <c r="F710" s="127"/>
      <c r="G710" s="78"/>
      <c r="H710" s="78"/>
      <c r="I710" s="128"/>
      <c r="J710" s="103"/>
      <c r="K710" s="641" t="s">
        <v>123</v>
      </c>
      <c r="L710" s="651"/>
      <c r="M710" s="658"/>
      <c r="N710" s="477">
        <v>323146</v>
      </c>
      <c r="O710" s="61">
        <f>SUM(O619+O385)</f>
        <v>125000</v>
      </c>
      <c r="P710" s="61">
        <f>SUM(P619+P385)</f>
        <v>0</v>
      </c>
      <c r="Q710" s="454">
        <f t="shared" si="66"/>
        <v>0</v>
      </c>
    </row>
    <row r="711" spans="1:17" x14ac:dyDescent="0.25">
      <c r="A711" s="347"/>
      <c r="B711" s="103"/>
      <c r="C711" s="76"/>
      <c r="D711" s="77"/>
      <c r="E711" s="77"/>
      <c r="F711" s="127"/>
      <c r="G711" s="78"/>
      <c r="H711" s="78"/>
      <c r="I711" s="128"/>
      <c r="J711" s="103" t="s">
        <v>124</v>
      </c>
      <c r="K711" s="641" t="s">
        <v>125</v>
      </c>
      <c r="L711" s="651"/>
      <c r="M711" s="658"/>
      <c r="N711" s="477"/>
      <c r="O711" s="274"/>
      <c r="P711" s="274"/>
      <c r="Q711" s="454"/>
    </row>
    <row r="712" spans="1:17" x14ac:dyDescent="0.25">
      <c r="A712" s="347"/>
      <c r="B712" s="103"/>
      <c r="C712" s="76"/>
      <c r="D712" s="77"/>
      <c r="E712" s="77"/>
      <c r="F712" s="127"/>
      <c r="G712" s="78"/>
      <c r="H712" s="78"/>
      <c r="I712" s="128"/>
      <c r="J712" s="103" t="s">
        <v>126</v>
      </c>
      <c r="K712" s="663" t="s">
        <v>127</v>
      </c>
      <c r="L712" s="664"/>
      <c r="M712" s="665"/>
      <c r="N712" s="493"/>
      <c r="O712" s="61"/>
      <c r="P712" s="61"/>
      <c r="Q712" s="454"/>
    </row>
    <row r="713" spans="1:17" x14ac:dyDescent="0.25">
      <c r="A713" s="347"/>
      <c r="B713" s="103"/>
      <c r="C713" s="76"/>
      <c r="D713" s="77"/>
      <c r="E713" s="77"/>
      <c r="F713" s="127"/>
      <c r="G713" s="78"/>
      <c r="H713" s="78"/>
      <c r="I713" s="128"/>
      <c r="J713" s="138" t="s">
        <v>128</v>
      </c>
      <c r="K713" s="649" t="s">
        <v>129</v>
      </c>
      <c r="L713" s="650"/>
      <c r="M713" s="657"/>
      <c r="N713" s="475"/>
      <c r="O713" s="61"/>
      <c r="P713" s="61"/>
      <c r="Q713" s="454"/>
    </row>
    <row r="714" spans="1:17" x14ac:dyDescent="0.25">
      <c r="A714" s="347"/>
      <c r="B714" s="103"/>
      <c r="C714" s="76"/>
      <c r="D714" s="77"/>
      <c r="E714" s="77"/>
      <c r="F714" s="127"/>
      <c r="G714" s="78"/>
      <c r="H714" s="78"/>
      <c r="I714" s="128"/>
      <c r="J714" s="103" t="s">
        <v>130</v>
      </c>
      <c r="K714" s="641" t="s">
        <v>131</v>
      </c>
      <c r="L714" s="651"/>
      <c r="M714" s="658"/>
      <c r="N714" s="477"/>
      <c r="O714" s="61"/>
      <c r="P714" s="61"/>
      <c r="Q714" s="454"/>
    </row>
    <row r="715" spans="1:17" x14ac:dyDescent="0.25">
      <c r="A715" s="347"/>
      <c r="B715" s="103"/>
      <c r="C715" s="76"/>
      <c r="D715" s="77"/>
      <c r="E715" s="77"/>
      <c r="F715" s="127"/>
      <c r="G715" s="78"/>
      <c r="H715" s="78"/>
      <c r="I715" s="128"/>
      <c r="J715" s="103" t="s">
        <v>132</v>
      </c>
      <c r="K715" s="641" t="s">
        <v>133</v>
      </c>
      <c r="L715" s="651"/>
      <c r="M715" s="658"/>
      <c r="N715" s="477"/>
      <c r="O715" s="61"/>
      <c r="P715" s="61"/>
      <c r="Q715" s="454"/>
    </row>
    <row r="716" spans="1:17" x14ac:dyDescent="0.25">
      <c r="A716" s="347"/>
      <c r="B716" s="103"/>
      <c r="C716" s="76"/>
      <c r="D716" s="77"/>
      <c r="E716" s="77"/>
      <c r="F716" s="127"/>
      <c r="G716" s="78"/>
      <c r="H716" s="78"/>
      <c r="I716" s="128"/>
      <c r="J716" s="103" t="s">
        <v>134</v>
      </c>
      <c r="K716" s="641" t="s">
        <v>135</v>
      </c>
      <c r="L716" s="651"/>
      <c r="M716" s="658"/>
      <c r="N716" s="477"/>
      <c r="O716" s="61"/>
      <c r="P716" s="61"/>
      <c r="Q716" s="454"/>
    </row>
    <row r="717" spans="1:17" x14ac:dyDescent="0.25">
      <c r="A717" s="347"/>
      <c r="B717" s="103"/>
      <c r="C717" s="76"/>
      <c r="D717" s="77"/>
      <c r="E717" s="77"/>
      <c r="F717" s="127"/>
      <c r="G717" s="78"/>
      <c r="H717" s="78"/>
      <c r="I717" s="128"/>
      <c r="J717" s="103" t="s">
        <v>136</v>
      </c>
      <c r="K717" s="641" t="s">
        <v>137</v>
      </c>
      <c r="L717" s="651"/>
      <c r="M717" s="658"/>
      <c r="N717" s="477"/>
      <c r="O717" s="61"/>
      <c r="P717" s="61"/>
      <c r="Q717" s="454"/>
    </row>
    <row r="718" spans="1:17" x14ac:dyDescent="0.25">
      <c r="A718" s="347"/>
      <c r="B718" s="103"/>
      <c r="C718" s="76"/>
      <c r="D718" s="77"/>
      <c r="E718" s="77"/>
      <c r="F718" s="127"/>
      <c r="G718" s="218"/>
      <c r="H718" s="218"/>
      <c r="I718" s="128"/>
      <c r="J718" s="138" t="s">
        <v>138</v>
      </c>
      <c r="K718" s="649" t="s">
        <v>139</v>
      </c>
      <c r="L718" s="650"/>
      <c r="M718" s="657"/>
      <c r="N718" s="475"/>
      <c r="O718" s="61"/>
      <c r="P718" s="61"/>
      <c r="Q718" s="454"/>
    </row>
    <row r="719" spans="1:17" x14ac:dyDescent="0.25">
      <c r="A719" s="347"/>
      <c r="B719" s="103"/>
      <c r="C719" s="76"/>
      <c r="D719" s="77"/>
      <c r="E719" s="77"/>
      <c r="F719" s="127"/>
      <c r="G719" s="218"/>
      <c r="H719" s="218"/>
      <c r="I719" s="128"/>
      <c r="J719" s="103" t="s">
        <v>140</v>
      </c>
      <c r="K719" s="641" t="s">
        <v>141</v>
      </c>
      <c r="L719" s="651"/>
      <c r="M719" s="658"/>
      <c r="N719" s="477">
        <v>55898</v>
      </c>
      <c r="O719" s="61">
        <f t="shared" ref="O719:P721" si="72">SUM(O394+O628)</f>
        <v>273820</v>
      </c>
      <c r="P719" s="61">
        <f t="shared" si="72"/>
        <v>273820</v>
      </c>
      <c r="Q719" s="454">
        <f t="shared" ref="Q719:Q737" si="73">P719/O719*100</f>
        <v>100</v>
      </c>
    </row>
    <row r="720" spans="1:17" x14ac:dyDescent="0.25">
      <c r="A720" s="347"/>
      <c r="B720" s="103"/>
      <c r="C720" s="76"/>
      <c r="D720" s="77"/>
      <c r="E720" s="77"/>
      <c r="F720" s="127"/>
      <c r="G720" s="78"/>
      <c r="H720" s="78"/>
      <c r="I720" s="128"/>
      <c r="J720" s="371"/>
      <c r="K720" s="631" t="s">
        <v>444</v>
      </c>
      <c r="L720" s="632"/>
      <c r="M720" s="660"/>
      <c r="N720" s="477">
        <v>29551</v>
      </c>
      <c r="O720" s="61">
        <f t="shared" si="72"/>
        <v>247473</v>
      </c>
      <c r="P720" s="61">
        <f t="shared" si="72"/>
        <v>247473</v>
      </c>
      <c r="Q720" s="454">
        <f t="shared" si="73"/>
        <v>100</v>
      </c>
    </row>
    <row r="721" spans="1:17" x14ac:dyDescent="0.25">
      <c r="A721" s="347"/>
      <c r="B721" s="103"/>
      <c r="C721" s="76"/>
      <c r="D721" s="77"/>
      <c r="E721" s="77"/>
      <c r="F721" s="127"/>
      <c r="G721" s="78"/>
      <c r="H721" s="78"/>
      <c r="I721" s="128"/>
      <c r="J721" s="120"/>
      <c r="K721" s="631" t="s">
        <v>445</v>
      </c>
      <c r="L721" s="632"/>
      <c r="M721" s="660"/>
      <c r="N721" s="477">
        <v>26347</v>
      </c>
      <c r="O721" s="61">
        <f t="shared" si="72"/>
        <v>26347</v>
      </c>
      <c r="P721" s="61">
        <f t="shared" si="72"/>
        <v>26347</v>
      </c>
      <c r="Q721" s="454">
        <f t="shared" si="73"/>
        <v>100</v>
      </c>
    </row>
    <row r="722" spans="1:17" x14ac:dyDescent="0.25">
      <c r="A722" s="347"/>
      <c r="B722" s="103"/>
      <c r="C722" s="76"/>
      <c r="D722" s="77"/>
      <c r="E722" s="77"/>
      <c r="F722" s="127"/>
      <c r="G722" s="78"/>
      <c r="H722" s="78"/>
      <c r="I722" s="128"/>
      <c r="J722" s="103" t="s">
        <v>142</v>
      </c>
      <c r="K722" s="641" t="s">
        <v>143</v>
      </c>
      <c r="L722" s="651"/>
      <c r="M722" s="658"/>
      <c r="N722" s="477"/>
      <c r="O722" s="61"/>
      <c r="P722" s="61"/>
      <c r="Q722" s="454"/>
    </row>
    <row r="723" spans="1:17" x14ac:dyDescent="0.25">
      <c r="A723" s="347"/>
      <c r="B723" s="103"/>
      <c r="C723" s="325"/>
      <c r="D723" s="330"/>
      <c r="E723" s="330"/>
      <c r="F723" s="127"/>
      <c r="G723" s="78"/>
      <c r="H723" s="78"/>
      <c r="I723" s="128"/>
      <c r="J723" s="138" t="s">
        <v>144</v>
      </c>
      <c r="K723" s="649" t="s">
        <v>145</v>
      </c>
      <c r="L723" s="650"/>
      <c r="M723" s="657"/>
      <c r="N723" s="475"/>
      <c r="O723" s="61"/>
      <c r="P723" s="61"/>
      <c r="Q723" s="454"/>
    </row>
    <row r="724" spans="1:17" x14ac:dyDescent="0.25">
      <c r="A724" s="347"/>
      <c r="B724" s="103"/>
      <c r="C724" s="325"/>
      <c r="D724" s="330"/>
      <c r="E724" s="330"/>
      <c r="F724" s="127"/>
      <c r="G724" s="78"/>
      <c r="H724" s="78"/>
      <c r="I724" s="128"/>
      <c r="J724" s="103" t="s">
        <v>146</v>
      </c>
      <c r="K724" s="641" t="s">
        <v>147</v>
      </c>
      <c r="L724" s="651"/>
      <c r="M724" s="658"/>
      <c r="N724" s="477"/>
      <c r="O724" s="61"/>
      <c r="P724" s="61">
        <f>SUM(P399)</f>
        <v>35293</v>
      </c>
      <c r="Q724" s="454"/>
    </row>
    <row r="725" spans="1:17" x14ac:dyDescent="0.25">
      <c r="A725" s="347"/>
      <c r="B725" s="103"/>
      <c r="C725" s="325"/>
      <c r="D725" s="330"/>
      <c r="E725" s="330"/>
      <c r="F725" s="127"/>
      <c r="G725" s="78"/>
      <c r="H725" s="78"/>
      <c r="I725" s="128"/>
      <c r="J725" s="103" t="s">
        <v>148</v>
      </c>
      <c r="K725" s="641" t="s">
        <v>149</v>
      </c>
      <c r="L725" s="651"/>
      <c r="M725" s="658"/>
      <c r="N725" s="477"/>
      <c r="O725" s="61"/>
      <c r="P725" s="61"/>
      <c r="Q725" s="454"/>
    </row>
    <row r="726" spans="1:17" x14ac:dyDescent="0.25">
      <c r="A726" s="361"/>
      <c r="B726" s="103"/>
      <c r="C726" s="325"/>
      <c r="D726" s="330"/>
      <c r="E726" s="330"/>
      <c r="F726" s="127"/>
      <c r="G726" s="78"/>
      <c r="H726" s="78"/>
      <c r="I726" s="128"/>
      <c r="J726" s="103" t="s">
        <v>150</v>
      </c>
      <c r="K726" s="641" t="s">
        <v>151</v>
      </c>
      <c r="L726" s="651"/>
      <c r="M726" s="658"/>
      <c r="N726" s="477"/>
      <c r="O726" s="61"/>
      <c r="P726" s="61"/>
      <c r="Q726" s="454"/>
    </row>
    <row r="727" spans="1:17" x14ac:dyDescent="0.25">
      <c r="A727" s="133"/>
      <c r="B727" s="103"/>
      <c r="C727" s="325"/>
      <c r="D727" s="330"/>
      <c r="E727" s="330"/>
      <c r="F727" s="127"/>
      <c r="G727" s="78"/>
      <c r="H727" s="78"/>
      <c r="I727" s="128"/>
      <c r="J727" s="115" t="s">
        <v>152</v>
      </c>
      <c r="K727" s="76" t="s">
        <v>153</v>
      </c>
      <c r="L727" s="77"/>
      <c r="M727" s="483"/>
      <c r="N727" s="477"/>
      <c r="O727" s="61"/>
      <c r="P727" s="61"/>
      <c r="Q727" s="454"/>
    </row>
    <row r="728" spans="1:17" x14ac:dyDescent="0.25">
      <c r="A728" s="372"/>
      <c r="B728" s="115"/>
      <c r="C728" s="373"/>
      <c r="D728" s="374"/>
      <c r="E728" s="374"/>
      <c r="F728" s="73"/>
      <c r="G728" s="78"/>
      <c r="H728" s="78"/>
      <c r="I728" s="128"/>
      <c r="J728" s="115"/>
      <c r="K728" s="76" t="s">
        <v>154</v>
      </c>
      <c r="L728" s="77"/>
      <c r="M728" s="483"/>
      <c r="N728" s="477"/>
      <c r="O728" s="61"/>
      <c r="P728" s="61"/>
      <c r="Q728" s="454"/>
    </row>
    <row r="729" spans="1:17" x14ac:dyDescent="0.25">
      <c r="A729" s="372"/>
      <c r="B729" s="115"/>
      <c r="C729" s="373"/>
      <c r="D729" s="374"/>
      <c r="E729" s="374"/>
      <c r="F729" s="73"/>
      <c r="G729" s="78"/>
      <c r="H729" s="78"/>
      <c r="I729" s="128"/>
      <c r="J729" s="115"/>
      <c r="K729" s="76" t="s">
        <v>155</v>
      </c>
      <c r="L729" s="77"/>
      <c r="M729" s="483"/>
      <c r="N729" s="477"/>
      <c r="O729" s="61"/>
      <c r="P729" s="61"/>
      <c r="Q729" s="454"/>
    </row>
    <row r="730" spans="1:17" x14ac:dyDescent="0.25">
      <c r="A730" s="372"/>
      <c r="B730" s="115"/>
      <c r="C730" s="373"/>
      <c r="D730" s="374"/>
      <c r="E730" s="374"/>
      <c r="F730" s="73"/>
      <c r="G730" s="78"/>
      <c r="H730" s="78"/>
      <c r="I730" s="128"/>
      <c r="J730" s="376" t="s">
        <v>156</v>
      </c>
      <c r="K730" s="649" t="s">
        <v>157</v>
      </c>
      <c r="L730" s="650"/>
      <c r="M730" s="657"/>
      <c r="N730" s="475"/>
      <c r="O730" s="61"/>
      <c r="P730" s="61"/>
      <c r="Q730" s="454"/>
    </row>
    <row r="731" spans="1:17" x14ac:dyDescent="0.25">
      <c r="A731" s="372"/>
      <c r="B731" s="115"/>
      <c r="C731" s="373"/>
      <c r="D731" s="374"/>
      <c r="E731" s="374"/>
      <c r="F731" s="73"/>
      <c r="G731" s="78"/>
      <c r="H731" s="78"/>
      <c r="I731" s="128"/>
      <c r="J731" s="115" t="s">
        <v>158</v>
      </c>
      <c r="K731" s="641" t="s">
        <v>159</v>
      </c>
      <c r="L731" s="651"/>
      <c r="M731" s="658"/>
      <c r="N731" s="477"/>
      <c r="O731" s="61"/>
      <c r="P731" s="61"/>
      <c r="Q731" s="454"/>
    </row>
    <row r="732" spans="1:17" x14ac:dyDescent="0.25">
      <c r="A732" s="372"/>
      <c r="B732" s="115"/>
      <c r="C732" s="373"/>
      <c r="D732" s="374"/>
      <c r="E732" s="374"/>
      <c r="F732" s="73"/>
      <c r="G732" s="78"/>
      <c r="H732" s="78"/>
      <c r="I732" s="128"/>
      <c r="J732" s="115" t="s">
        <v>160</v>
      </c>
      <c r="K732" s="641" t="s">
        <v>161</v>
      </c>
      <c r="L732" s="651"/>
      <c r="M732" s="658"/>
      <c r="N732" s="477"/>
      <c r="O732" s="61"/>
      <c r="P732" s="61"/>
      <c r="Q732" s="454"/>
    </row>
    <row r="733" spans="1:17" x14ac:dyDescent="0.25">
      <c r="A733" s="372"/>
      <c r="B733" s="115"/>
      <c r="C733" s="373"/>
      <c r="D733" s="374"/>
      <c r="E733" s="374"/>
      <c r="F733" s="73"/>
      <c r="G733" s="78"/>
      <c r="H733" s="78"/>
      <c r="I733" s="128"/>
      <c r="J733" s="115" t="s">
        <v>162</v>
      </c>
      <c r="K733" s="641" t="s">
        <v>163</v>
      </c>
      <c r="L733" s="651"/>
      <c r="M733" s="658"/>
      <c r="N733" s="477"/>
      <c r="O733" s="61"/>
      <c r="P733" s="61"/>
      <c r="Q733" s="454"/>
    </row>
    <row r="734" spans="1:17" x14ac:dyDescent="0.25">
      <c r="A734" s="372"/>
      <c r="B734" s="115"/>
      <c r="C734" s="373"/>
      <c r="D734" s="374"/>
      <c r="E734" s="374"/>
      <c r="F734" s="73"/>
      <c r="G734" s="78"/>
      <c r="H734" s="78"/>
      <c r="I734" s="128"/>
      <c r="J734" s="115" t="s">
        <v>164</v>
      </c>
      <c r="K734" s="641" t="s">
        <v>165</v>
      </c>
      <c r="L734" s="651"/>
      <c r="M734" s="658"/>
      <c r="N734" s="477"/>
      <c r="O734" s="61"/>
      <c r="P734" s="61"/>
      <c r="Q734" s="454"/>
    </row>
    <row r="735" spans="1:17" ht="16.5" thickBot="1" x14ac:dyDescent="0.3">
      <c r="A735" s="659"/>
      <c r="B735" s="659"/>
      <c r="C735" s="659"/>
      <c r="D735" s="659"/>
      <c r="E735" s="649"/>
      <c r="F735" s="300"/>
      <c r="G735" s="78"/>
      <c r="H735" s="78"/>
      <c r="I735" s="128"/>
      <c r="J735" s="138" t="s">
        <v>166</v>
      </c>
      <c r="K735" s="649" t="s">
        <v>167</v>
      </c>
      <c r="L735" s="650"/>
      <c r="M735" s="657"/>
      <c r="N735" s="297"/>
      <c r="O735" s="117"/>
      <c r="P735" s="117"/>
      <c r="Q735" s="453"/>
    </row>
    <row r="736" spans="1:17" ht="16.5" thickBot="1" x14ac:dyDescent="0.3">
      <c r="A736" s="516"/>
      <c r="B736" s="517"/>
      <c r="C736" s="518"/>
      <c r="D736" s="519"/>
      <c r="E736" s="519"/>
      <c r="F736" s="170"/>
      <c r="G736" s="114"/>
      <c r="H736" s="114"/>
      <c r="I736" s="86"/>
      <c r="J736" s="361" t="s">
        <v>168</v>
      </c>
      <c r="K736" s="378"/>
      <c r="L736" s="379"/>
      <c r="M736" s="499"/>
      <c r="N736" s="297">
        <f>SUM(N719,N708)</f>
        <v>379044</v>
      </c>
      <c r="O736" s="338">
        <f>SUM(O706:O735)-O710-O720-O721</f>
        <v>398820</v>
      </c>
      <c r="P736" s="338">
        <f>SUM(P706:P735)-P710-P720-P721</f>
        <v>309113</v>
      </c>
      <c r="Q736" s="453">
        <f t="shared" si="73"/>
        <v>77.506895341256708</v>
      </c>
    </row>
    <row r="737" spans="1:17" ht="16.5" thickBot="1" x14ac:dyDescent="0.3">
      <c r="A737" s="654" t="s">
        <v>231</v>
      </c>
      <c r="B737" s="655"/>
      <c r="C737" s="655"/>
      <c r="D737" s="655"/>
      <c r="E737" s="656"/>
      <c r="F737" s="93">
        <f>SUM(F685,F683)</f>
        <v>4677743</v>
      </c>
      <c r="G737" s="94">
        <f>SUM(G684,G683,G685,G686)</f>
        <v>5974463</v>
      </c>
      <c r="H737" s="94">
        <f>SUM(H684,H683,H685,H686)</f>
        <v>5196618</v>
      </c>
      <c r="I737" s="86">
        <f t="shared" ref="I737" si="74">H737/G737*100</f>
        <v>86.980503519730561</v>
      </c>
      <c r="J737" s="521" t="s">
        <v>169</v>
      </c>
      <c r="K737" s="521"/>
      <c r="L737" s="521"/>
      <c r="M737" s="521"/>
      <c r="N737" s="95">
        <f>SUM(N736,N704)</f>
        <v>4677743</v>
      </c>
      <c r="O737" s="121">
        <f>SUM(O736,O704)</f>
        <v>5974463</v>
      </c>
      <c r="P737" s="121">
        <f>SUM(P736,P704)</f>
        <v>5331491</v>
      </c>
      <c r="Q737" s="453">
        <f t="shared" si="73"/>
        <v>89.237995113535732</v>
      </c>
    </row>
    <row r="738" spans="1:17" x14ac:dyDescent="0.25">
      <c r="A738" s="522"/>
      <c r="B738" s="522"/>
      <c r="C738" s="522"/>
      <c r="D738" s="522"/>
      <c r="E738" s="522"/>
      <c r="J738" s="522"/>
      <c r="K738" s="522"/>
      <c r="L738" s="522"/>
      <c r="M738" s="522"/>
      <c r="P738" s="513"/>
      <c r="Q738" s="522"/>
    </row>
    <row r="739" spans="1:17" x14ac:dyDescent="0.25">
      <c r="A739" s="522"/>
      <c r="B739" s="522"/>
      <c r="C739" s="522"/>
      <c r="D739" s="522"/>
      <c r="E739" s="522"/>
      <c r="J739" s="522"/>
      <c r="K739" s="522"/>
      <c r="L739" s="522"/>
      <c r="M739" s="522"/>
      <c r="P739" s="513"/>
      <c r="Q739" s="522"/>
    </row>
    <row r="740" spans="1:17" x14ac:dyDescent="0.25">
      <c r="G740" s="513"/>
      <c r="H740" s="513"/>
      <c r="I740" s="513"/>
    </row>
    <row r="741" spans="1:17" x14ac:dyDescent="0.25">
      <c r="O741" s="523"/>
    </row>
    <row r="742" spans="1:17" x14ac:dyDescent="0.25">
      <c r="G742" s="513"/>
      <c r="H742" s="513"/>
      <c r="I742" s="513"/>
    </row>
    <row r="743" spans="1:17" x14ac:dyDescent="0.25">
      <c r="G743" s="513"/>
      <c r="H743" s="513"/>
      <c r="I743" s="513"/>
      <c r="O743" s="523"/>
    </row>
    <row r="744" spans="1:17" x14ac:dyDescent="0.25">
      <c r="L744" s="349"/>
    </row>
    <row r="745" spans="1:17" x14ac:dyDescent="0.25">
      <c r="L745" s="349"/>
    </row>
    <row r="746" spans="1:17" x14ac:dyDescent="0.25">
      <c r="G746" s="513"/>
      <c r="H746" s="513"/>
      <c r="I746" s="513"/>
    </row>
  </sheetData>
  <mergeCells count="481">
    <mergeCell ref="K29:M29"/>
    <mergeCell ref="C30:E30"/>
    <mergeCell ref="K30:M30"/>
    <mergeCell ref="C31:E31"/>
    <mergeCell ref="K31:M31"/>
    <mergeCell ref="K47:M47"/>
    <mergeCell ref="K48:M48"/>
    <mergeCell ref="C49:E49"/>
    <mergeCell ref="K49:M49"/>
    <mergeCell ref="K32:M32"/>
    <mergeCell ref="K33:M33"/>
    <mergeCell ref="K38:M38"/>
    <mergeCell ref="C44:E44"/>
    <mergeCell ref="K45:M45"/>
    <mergeCell ref="K46:M46"/>
    <mergeCell ref="M1:O1"/>
    <mergeCell ref="B2:O2"/>
    <mergeCell ref="B3:O4"/>
    <mergeCell ref="A6:E6"/>
    <mergeCell ref="A8:E8"/>
    <mergeCell ref="B10:E11"/>
    <mergeCell ref="J10:M11"/>
    <mergeCell ref="B28:E28"/>
    <mergeCell ref="J28:M28"/>
    <mergeCell ref="B19:E19"/>
    <mergeCell ref="J19:M19"/>
    <mergeCell ref="C21:E21"/>
    <mergeCell ref="K21:M21"/>
    <mergeCell ref="B24:E24"/>
    <mergeCell ref="K27:M27"/>
    <mergeCell ref="C13:E13"/>
    <mergeCell ref="K13:M13"/>
    <mergeCell ref="C15:E15"/>
    <mergeCell ref="J16:L16"/>
    <mergeCell ref="C18:E18"/>
    <mergeCell ref="K18:M18"/>
    <mergeCell ref="K53:M53"/>
    <mergeCell ref="K56:M56"/>
    <mergeCell ref="K57:M57"/>
    <mergeCell ref="K58:M58"/>
    <mergeCell ref="K52:M52"/>
    <mergeCell ref="C54:E54"/>
    <mergeCell ref="K54:M54"/>
    <mergeCell ref="C80:E80"/>
    <mergeCell ref="C82:E82"/>
    <mergeCell ref="C66:E66"/>
    <mergeCell ref="K67:M67"/>
    <mergeCell ref="B68:E68"/>
    <mergeCell ref="J68:M68"/>
    <mergeCell ref="C70:E70"/>
    <mergeCell ref="K72:M72"/>
    <mergeCell ref="B56:E56"/>
    <mergeCell ref="C59:E59"/>
    <mergeCell ref="K59:M59"/>
    <mergeCell ref="B60:E60"/>
    <mergeCell ref="J60:M60"/>
    <mergeCell ref="C62:E62"/>
    <mergeCell ref="C88:E88"/>
    <mergeCell ref="K88:M88"/>
    <mergeCell ref="B89:E89"/>
    <mergeCell ref="J89:M89"/>
    <mergeCell ref="B73:E73"/>
    <mergeCell ref="J73:M73"/>
    <mergeCell ref="K75:M75"/>
    <mergeCell ref="K77:M77"/>
    <mergeCell ref="B78:E78"/>
    <mergeCell ref="J78:M78"/>
    <mergeCell ref="K87:M87"/>
    <mergeCell ref="K101:M101"/>
    <mergeCell ref="C102:E102"/>
    <mergeCell ref="K102:M102"/>
    <mergeCell ref="K103:M103"/>
    <mergeCell ref="K104:M104"/>
    <mergeCell ref="B105:E105"/>
    <mergeCell ref="J105:M105"/>
    <mergeCell ref="C91:E91"/>
    <mergeCell ref="C93:E93"/>
    <mergeCell ref="K98:M98"/>
    <mergeCell ref="C99:E99"/>
    <mergeCell ref="B100:E100"/>
    <mergeCell ref="J100:M100"/>
    <mergeCell ref="C108:E108"/>
    <mergeCell ref="K109:M109"/>
    <mergeCell ref="C115:E115"/>
    <mergeCell ref="K115:M115"/>
    <mergeCell ref="K118:M118"/>
    <mergeCell ref="B119:E119"/>
    <mergeCell ref="J119:M119"/>
    <mergeCell ref="C139:E139"/>
    <mergeCell ref="K140:M140"/>
    <mergeCell ref="C131:E131"/>
    <mergeCell ref="K132:M132"/>
    <mergeCell ref="C136:E136"/>
    <mergeCell ref="K136:M136"/>
    <mergeCell ref="B137:E137"/>
    <mergeCell ref="J137:M137"/>
    <mergeCell ref="K156:M156"/>
    <mergeCell ref="K157:M157"/>
    <mergeCell ref="C160:E160"/>
    <mergeCell ref="C161:E161"/>
    <mergeCell ref="K161:M161"/>
    <mergeCell ref="K158:M158"/>
    <mergeCell ref="K145:M145"/>
    <mergeCell ref="C123:E123"/>
    <mergeCell ref="K125:M125"/>
    <mergeCell ref="C127:E127"/>
    <mergeCell ref="K128:M128"/>
    <mergeCell ref="B129:E129"/>
    <mergeCell ref="J129:M129"/>
    <mergeCell ref="B141:E141"/>
    <mergeCell ref="J141:M141"/>
    <mergeCell ref="C170:E170"/>
    <mergeCell ref="C171:E171"/>
    <mergeCell ref="K171:M171"/>
    <mergeCell ref="B172:E172"/>
    <mergeCell ref="J172:M172"/>
    <mergeCell ref="C174:E174"/>
    <mergeCell ref="B162:E162"/>
    <mergeCell ref="J162:M162"/>
    <mergeCell ref="K165:M165"/>
    <mergeCell ref="C167:E167"/>
    <mergeCell ref="B168:E168"/>
    <mergeCell ref="J168:M168"/>
    <mergeCell ref="K181:M181"/>
    <mergeCell ref="C182:E182"/>
    <mergeCell ref="K182:M182"/>
    <mergeCell ref="C185:E185"/>
    <mergeCell ref="K185:M185"/>
    <mergeCell ref="B186:E186"/>
    <mergeCell ref="J186:M186"/>
    <mergeCell ref="K175:M175"/>
    <mergeCell ref="C176:E176"/>
    <mergeCell ref="C177:E177"/>
    <mergeCell ref="B178:E178"/>
    <mergeCell ref="J178:M178"/>
    <mergeCell ref="C180:E180"/>
    <mergeCell ref="C196:E196"/>
    <mergeCell ref="C203:E203"/>
    <mergeCell ref="K203:M203"/>
    <mergeCell ref="C198:E198"/>
    <mergeCell ref="C219:E219"/>
    <mergeCell ref="C188:E188"/>
    <mergeCell ref="K189:M189"/>
    <mergeCell ref="C190:E190"/>
    <mergeCell ref="K190:M190"/>
    <mergeCell ref="C193:E193"/>
    <mergeCell ref="B194:E194"/>
    <mergeCell ref="J194:M194"/>
    <mergeCell ref="B209:E209"/>
    <mergeCell ref="C211:E211"/>
    <mergeCell ref="C213:E213"/>
    <mergeCell ref="C216:E216"/>
    <mergeCell ref="B217:E217"/>
    <mergeCell ref="J217:M217"/>
    <mergeCell ref="B204:E204"/>
    <mergeCell ref="J204:M204"/>
    <mergeCell ref="C208:E208"/>
    <mergeCell ref="K208:M208"/>
    <mergeCell ref="C230:E230"/>
    <mergeCell ref="C233:E233"/>
    <mergeCell ref="B234:E234"/>
    <mergeCell ref="J234:M234"/>
    <mergeCell ref="K236:M236"/>
    <mergeCell ref="K238:M238"/>
    <mergeCell ref="C221:E221"/>
    <mergeCell ref="C225:E225"/>
    <mergeCell ref="K225:M225"/>
    <mergeCell ref="B226:E226"/>
    <mergeCell ref="C228:E228"/>
    <mergeCell ref="B246:E246"/>
    <mergeCell ref="J246:M246"/>
    <mergeCell ref="C250:E250"/>
    <mergeCell ref="K250:M250"/>
    <mergeCell ref="B251:E251"/>
    <mergeCell ref="J251:M251"/>
    <mergeCell ref="K239:M239"/>
    <mergeCell ref="B240:E240"/>
    <mergeCell ref="J240:M240"/>
    <mergeCell ref="K242:M242"/>
    <mergeCell ref="K244:M244"/>
    <mergeCell ref="K245:M245"/>
    <mergeCell ref="C262:E262"/>
    <mergeCell ref="K262:M262"/>
    <mergeCell ref="B263:E263"/>
    <mergeCell ref="J263:M263"/>
    <mergeCell ref="C254:E254"/>
    <mergeCell ref="K254:M254"/>
    <mergeCell ref="B255:E255"/>
    <mergeCell ref="J255:M255"/>
    <mergeCell ref="C258:E258"/>
    <mergeCell ref="K258:M258"/>
    <mergeCell ref="K327:M327"/>
    <mergeCell ref="K328:M328"/>
    <mergeCell ref="K348:M348"/>
    <mergeCell ref="K349:M349"/>
    <mergeCell ref="B361:E361"/>
    <mergeCell ref="K368:M368"/>
    <mergeCell ref="C275:E275"/>
    <mergeCell ref="K275:M275"/>
    <mergeCell ref="A322:E322"/>
    <mergeCell ref="K324:M324"/>
    <mergeCell ref="K325:M325"/>
    <mergeCell ref="K326:M326"/>
    <mergeCell ref="B276:E276"/>
    <mergeCell ref="C280:E280"/>
    <mergeCell ref="C281:E281"/>
    <mergeCell ref="B282:E282"/>
    <mergeCell ref="C285:E285"/>
    <mergeCell ref="B286:E286"/>
    <mergeCell ref="C289:E289"/>
    <mergeCell ref="B290:E290"/>
    <mergeCell ref="C293:E293"/>
    <mergeCell ref="B294:E294"/>
    <mergeCell ref="C297:E297"/>
    <mergeCell ref="B298:E298"/>
    <mergeCell ref="K395:M395"/>
    <mergeCell ref="K396:M396"/>
    <mergeCell ref="K385:M385"/>
    <mergeCell ref="K386:M386"/>
    <mergeCell ref="K387:M387"/>
    <mergeCell ref="K388:M388"/>
    <mergeCell ref="K389:M389"/>
    <mergeCell ref="K390:M390"/>
    <mergeCell ref="K369:M369"/>
    <mergeCell ref="K375:M375"/>
    <mergeCell ref="J379:M379"/>
    <mergeCell ref="K380:M380"/>
    <mergeCell ref="K382:M382"/>
    <mergeCell ref="K384:M384"/>
    <mergeCell ref="B416:E418"/>
    <mergeCell ref="J416:M418"/>
    <mergeCell ref="J419:M419"/>
    <mergeCell ref="C420:E420"/>
    <mergeCell ref="C424:E424"/>
    <mergeCell ref="K424:M424"/>
    <mergeCell ref="K406:M406"/>
    <mergeCell ref="K407:M407"/>
    <mergeCell ref="K408:M408"/>
    <mergeCell ref="K409:M409"/>
    <mergeCell ref="K410:M410"/>
    <mergeCell ref="A412:E412"/>
    <mergeCell ref="B441:E441"/>
    <mergeCell ref="J441:M441"/>
    <mergeCell ref="J442:M442"/>
    <mergeCell ref="C443:E443"/>
    <mergeCell ref="K444:M444"/>
    <mergeCell ref="B445:E445"/>
    <mergeCell ref="J445:M445"/>
    <mergeCell ref="J426:M426"/>
    <mergeCell ref="C430:E430"/>
    <mergeCell ref="B431:E431"/>
    <mergeCell ref="J431:M431"/>
    <mergeCell ref="K432:M432"/>
    <mergeCell ref="K433:M433"/>
    <mergeCell ref="C461:E461"/>
    <mergeCell ref="K461:M461"/>
    <mergeCell ref="B462:E462"/>
    <mergeCell ref="J462:M462"/>
    <mergeCell ref="C450:E450"/>
    <mergeCell ref="K450:M450"/>
    <mergeCell ref="B451:E451"/>
    <mergeCell ref="J451:M451"/>
    <mergeCell ref="K452:M452"/>
    <mergeCell ref="K457:M457"/>
    <mergeCell ref="C472:E472"/>
    <mergeCell ref="K472:M472"/>
    <mergeCell ref="K474:M474"/>
    <mergeCell ref="B475:E475"/>
    <mergeCell ref="J475:M475"/>
    <mergeCell ref="K476:M476"/>
    <mergeCell ref="C468:E468"/>
    <mergeCell ref="K468:M468"/>
    <mergeCell ref="B469:E469"/>
    <mergeCell ref="J469:M469"/>
    <mergeCell ref="J470:M470"/>
    <mergeCell ref="C471:E471"/>
    <mergeCell ref="K473:M473"/>
    <mergeCell ref="K481:M481"/>
    <mergeCell ref="C484:E484"/>
    <mergeCell ref="K484:M484"/>
    <mergeCell ref="B485:E485"/>
    <mergeCell ref="J485:M485"/>
    <mergeCell ref="C487:E487"/>
    <mergeCell ref="C477:E477"/>
    <mergeCell ref="K477:M477"/>
    <mergeCell ref="K478:M478"/>
    <mergeCell ref="C479:E479"/>
    <mergeCell ref="K479:M479"/>
    <mergeCell ref="K480:M480"/>
    <mergeCell ref="K493:M493"/>
    <mergeCell ref="C494:E494"/>
    <mergeCell ref="K494:M494"/>
    <mergeCell ref="K495:M495"/>
    <mergeCell ref="C499:E499"/>
    <mergeCell ref="C500:E500"/>
    <mergeCell ref="K500:M500"/>
    <mergeCell ref="K488:M488"/>
    <mergeCell ref="C489:E489"/>
    <mergeCell ref="K489:M489"/>
    <mergeCell ref="C491:E491"/>
    <mergeCell ref="K491:M491"/>
    <mergeCell ref="B492:E492"/>
    <mergeCell ref="J492:M492"/>
    <mergeCell ref="B509:E509"/>
    <mergeCell ref="J509:M509"/>
    <mergeCell ref="C511:E511"/>
    <mergeCell ref="C513:E513"/>
    <mergeCell ref="K513:M513"/>
    <mergeCell ref="C514:E514"/>
    <mergeCell ref="B501:E501"/>
    <mergeCell ref="J501:M501"/>
    <mergeCell ref="C503:E503"/>
    <mergeCell ref="C505:E505"/>
    <mergeCell ref="C507:E507"/>
    <mergeCell ref="C508:E508"/>
    <mergeCell ref="B515:E515"/>
    <mergeCell ref="J515:M515"/>
    <mergeCell ref="K518:M518"/>
    <mergeCell ref="B523:E523"/>
    <mergeCell ref="J523:M523"/>
    <mergeCell ref="K524:M524"/>
    <mergeCell ref="B519:E519"/>
    <mergeCell ref="J519:M519"/>
    <mergeCell ref="K520:M520"/>
    <mergeCell ref="K522:M522"/>
    <mergeCell ref="C532:E532"/>
    <mergeCell ref="K532:M532"/>
    <mergeCell ref="K534:M534"/>
    <mergeCell ref="K535:M535"/>
    <mergeCell ref="B536:E536"/>
    <mergeCell ref="J536:M536"/>
    <mergeCell ref="K525:M525"/>
    <mergeCell ref="K526:M526"/>
    <mergeCell ref="C529:E529"/>
    <mergeCell ref="K529:M529"/>
    <mergeCell ref="B530:E530"/>
    <mergeCell ref="J530:M530"/>
    <mergeCell ref="B544:E544"/>
    <mergeCell ref="J544:M544"/>
    <mergeCell ref="K547:M547"/>
    <mergeCell ref="K551:M551"/>
    <mergeCell ref="A556:E556"/>
    <mergeCell ref="K537:M537"/>
    <mergeCell ref="C538:E538"/>
    <mergeCell ref="K538:M538"/>
    <mergeCell ref="K539:M539"/>
    <mergeCell ref="C540:E540"/>
    <mergeCell ref="C543:E543"/>
    <mergeCell ref="C554:E554"/>
    <mergeCell ref="C555:E555"/>
    <mergeCell ref="K583:M583"/>
    <mergeCell ref="K602:M602"/>
    <mergeCell ref="K603:M603"/>
    <mergeCell ref="K609:M609"/>
    <mergeCell ref="J613:M613"/>
    <mergeCell ref="K614:M614"/>
    <mergeCell ref="K558:M558"/>
    <mergeCell ref="K559:M559"/>
    <mergeCell ref="K560:M560"/>
    <mergeCell ref="K561:M561"/>
    <mergeCell ref="K562:M562"/>
    <mergeCell ref="K582:M582"/>
    <mergeCell ref="K584:M584"/>
    <mergeCell ref="K623:M623"/>
    <mergeCell ref="K624:M624"/>
    <mergeCell ref="K625:M625"/>
    <mergeCell ref="K626:M626"/>
    <mergeCell ref="K627:M627"/>
    <mergeCell ref="K628:M628"/>
    <mergeCell ref="K616:M616"/>
    <mergeCell ref="K618:M618"/>
    <mergeCell ref="K619:M619"/>
    <mergeCell ref="K620:M620"/>
    <mergeCell ref="K621:M621"/>
    <mergeCell ref="K622:M622"/>
    <mergeCell ref="K639:M639"/>
    <mergeCell ref="K640:M640"/>
    <mergeCell ref="K641:M641"/>
    <mergeCell ref="K642:M642"/>
    <mergeCell ref="K643:M643"/>
    <mergeCell ref="K629:M629"/>
    <mergeCell ref="K630:M630"/>
    <mergeCell ref="K631:M631"/>
    <mergeCell ref="K632:M632"/>
    <mergeCell ref="K633:M633"/>
    <mergeCell ref="K634:M634"/>
    <mergeCell ref="A685:E685"/>
    <mergeCell ref="B686:E686"/>
    <mergeCell ref="K644:M644"/>
    <mergeCell ref="A646:E646"/>
    <mergeCell ref="A647:E647"/>
    <mergeCell ref="K649:M649"/>
    <mergeCell ref="K650:M650"/>
    <mergeCell ref="K651:M651"/>
    <mergeCell ref="K675:M675"/>
    <mergeCell ref="K715:M715"/>
    <mergeCell ref="K716:M716"/>
    <mergeCell ref="K717:M717"/>
    <mergeCell ref="K718:M718"/>
    <mergeCell ref="K719:M719"/>
    <mergeCell ref="K720:M720"/>
    <mergeCell ref="K709:M709"/>
    <mergeCell ref="K449:M449"/>
    <mergeCell ref="K710:M710"/>
    <mergeCell ref="K711:M711"/>
    <mergeCell ref="K712:M712"/>
    <mergeCell ref="K713:M713"/>
    <mergeCell ref="K714:M714"/>
    <mergeCell ref="K693:M693"/>
    <mergeCell ref="K694:M694"/>
    <mergeCell ref="K700:M700"/>
    <mergeCell ref="J704:M704"/>
    <mergeCell ref="K705:M705"/>
    <mergeCell ref="K707:M707"/>
    <mergeCell ref="K652:M652"/>
    <mergeCell ref="K653:M653"/>
    <mergeCell ref="K673:M673"/>
    <mergeCell ref="K674:M674"/>
    <mergeCell ref="K635:M635"/>
    <mergeCell ref="A737:E737"/>
    <mergeCell ref="K730:M730"/>
    <mergeCell ref="K731:M731"/>
    <mergeCell ref="K732:M732"/>
    <mergeCell ref="K733:M733"/>
    <mergeCell ref="K734:M734"/>
    <mergeCell ref="A735:E735"/>
    <mergeCell ref="K735:M735"/>
    <mergeCell ref="K721:M721"/>
    <mergeCell ref="K722:M722"/>
    <mergeCell ref="K723:M723"/>
    <mergeCell ref="K724:M724"/>
    <mergeCell ref="K725:M725"/>
    <mergeCell ref="K726:M726"/>
    <mergeCell ref="J463:M463"/>
    <mergeCell ref="K464:M464"/>
    <mergeCell ref="K465:M465"/>
    <mergeCell ref="K437:M437"/>
    <mergeCell ref="K438:M438"/>
    <mergeCell ref="K439:M439"/>
    <mergeCell ref="K440:M440"/>
    <mergeCell ref="J209:M209"/>
    <mergeCell ref="K213:M213"/>
    <mergeCell ref="K222:M222"/>
    <mergeCell ref="K350:M350"/>
    <mergeCell ref="J458:M458"/>
    <mergeCell ref="K459:M459"/>
    <mergeCell ref="K460:M460"/>
    <mergeCell ref="K397:M397"/>
    <mergeCell ref="K398:M398"/>
    <mergeCell ref="K399:M399"/>
    <mergeCell ref="K400:M400"/>
    <mergeCell ref="K401:M401"/>
    <mergeCell ref="K405:M405"/>
    <mergeCell ref="K391:M391"/>
    <mergeCell ref="K392:M392"/>
    <mergeCell ref="K393:M393"/>
    <mergeCell ref="K394:M394"/>
    <mergeCell ref="P45:Q48"/>
    <mergeCell ref="B310:E310"/>
    <mergeCell ref="J310:M310"/>
    <mergeCell ref="K312:M312"/>
    <mergeCell ref="K313:M313"/>
    <mergeCell ref="B314:E314"/>
    <mergeCell ref="J314:M314"/>
    <mergeCell ref="K319:M319"/>
    <mergeCell ref="K321:M321"/>
    <mergeCell ref="K320:M320"/>
    <mergeCell ref="B302:E302"/>
    <mergeCell ref="C305:E305"/>
    <mergeCell ref="B306:E306"/>
    <mergeCell ref="C308:E308"/>
    <mergeCell ref="C309:E309"/>
    <mergeCell ref="C301:E301"/>
    <mergeCell ref="K264:M264"/>
    <mergeCell ref="K266:M266"/>
    <mergeCell ref="C269:E269"/>
    <mergeCell ref="K269:M269"/>
    <mergeCell ref="B270:E270"/>
    <mergeCell ref="J270:M270"/>
    <mergeCell ref="B259:E259"/>
    <mergeCell ref="J259:M259"/>
  </mergeCells>
  <pageMargins left="0.70866141732283472" right="0.70866141732283472" top="0.74803149606299213" bottom="0.74803149606299213" header="0.31496062992125984" footer="0.31496062992125984"/>
  <pageSetup paperSize="8" scale="75" fitToHeight="12" orientation="landscape" r:id="rId1"/>
  <rowBreaks count="9" manualBreakCount="9">
    <brk id="59" max="16" man="1"/>
    <brk id="128" max="16" man="1"/>
    <brk id="203" max="16" man="1"/>
    <brk id="275" max="16" man="1"/>
    <brk id="340" max="16" man="1"/>
    <brk id="412" max="16" man="1"/>
    <brk id="491" max="16" man="1"/>
    <brk id="568" max="16" man="1"/>
    <brk id="64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topLeftCell="A97" zoomScaleNormal="100" workbookViewId="0">
      <selection activeCell="C104" sqref="C104"/>
    </sheetView>
  </sheetViews>
  <sheetFormatPr defaultRowHeight="15.75" x14ac:dyDescent="0.25"/>
  <cols>
    <col min="1" max="1" width="7.5703125" style="524" customWidth="1"/>
    <col min="2" max="2" width="61.7109375" style="525" customWidth="1"/>
    <col min="3" max="3" width="21.42578125" style="526" customWidth="1"/>
    <col min="4" max="4" width="5" style="527" customWidth="1"/>
    <col min="5" max="6" width="12.5703125" style="527" customWidth="1"/>
    <col min="7" max="7" width="12.5703125" style="528" customWidth="1"/>
    <col min="8" max="8" width="10" style="527" bestFit="1" customWidth="1"/>
    <col min="9" max="257" width="9.140625" style="527"/>
    <col min="258" max="258" width="7.5703125" style="527" customWidth="1"/>
    <col min="259" max="259" width="61.7109375" style="527" customWidth="1"/>
    <col min="260" max="260" width="21.42578125" style="527" customWidth="1"/>
    <col min="261" max="261" width="5" style="527" customWidth="1"/>
    <col min="262" max="262" width="12.5703125" style="527" customWidth="1"/>
    <col min="263" max="513" width="9.140625" style="527"/>
    <col min="514" max="514" width="7.5703125" style="527" customWidth="1"/>
    <col min="515" max="515" width="61.7109375" style="527" customWidth="1"/>
    <col min="516" max="516" width="21.42578125" style="527" customWidth="1"/>
    <col min="517" max="517" width="5" style="527" customWidth="1"/>
    <col min="518" max="518" width="12.5703125" style="527" customWidth="1"/>
    <col min="519" max="769" width="9.140625" style="527"/>
    <col min="770" max="770" width="7.5703125" style="527" customWidth="1"/>
    <col min="771" max="771" width="61.7109375" style="527" customWidth="1"/>
    <col min="772" max="772" width="21.42578125" style="527" customWidth="1"/>
    <col min="773" max="773" width="5" style="527" customWidth="1"/>
    <col min="774" max="774" width="12.5703125" style="527" customWidth="1"/>
    <col min="775" max="1025" width="9.140625" style="527"/>
    <col min="1026" max="1026" width="7.5703125" style="527" customWidth="1"/>
    <col min="1027" max="1027" width="61.7109375" style="527" customWidth="1"/>
    <col min="1028" max="1028" width="21.42578125" style="527" customWidth="1"/>
    <col min="1029" max="1029" width="5" style="527" customWidth="1"/>
    <col min="1030" max="1030" width="12.5703125" style="527" customWidth="1"/>
    <col min="1031" max="1281" width="9.140625" style="527"/>
    <col min="1282" max="1282" width="7.5703125" style="527" customWidth="1"/>
    <col min="1283" max="1283" width="61.7109375" style="527" customWidth="1"/>
    <col min="1284" max="1284" width="21.42578125" style="527" customWidth="1"/>
    <col min="1285" max="1285" width="5" style="527" customWidth="1"/>
    <col min="1286" max="1286" width="12.5703125" style="527" customWidth="1"/>
    <col min="1287" max="1537" width="9.140625" style="527"/>
    <col min="1538" max="1538" width="7.5703125" style="527" customWidth="1"/>
    <col min="1539" max="1539" width="61.7109375" style="527" customWidth="1"/>
    <col min="1540" max="1540" width="21.42578125" style="527" customWidth="1"/>
    <col min="1541" max="1541" width="5" style="527" customWidth="1"/>
    <col min="1542" max="1542" width="12.5703125" style="527" customWidth="1"/>
    <col min="1543" max="1793" width="9.140625" style="527"/>
    <col min="1794" max="1794" width="7.5703125" style="527" customWidth="1"/>
    <col min="1795" max="1795" width="61.7109375" style="527" customWidth="1"/>
    <col min="1796" max="1796" width="21.42578125" style="527" customWidth="1"/>
    <col min="1797" max="1797" width="5" style="527" customWidth="1"/>
    <col min="1798" max="1798" width="12.5703125" style="527" customWidth="1"/>
    <col min="1799" max="2049" width="9.140625" style="527"/>
    <col min="2050" max="2050" width="7.5703125" style="527" customWidth="1"/>
    <col min="2051" max="2051" width="61.7109375" style="527" customWidth="1"/>
    <col min="2052" max="2052" width="21.42578125" style="527" customWidth="1"/>
    <col min="2053" max="2053" width="5" style="527" customWidth="1"/>
    <col min="2054" max="2054" width="12.5703125" style="527" customWidth="1"/>
    <col min="2055" max="2305" width="9.140625" style="527"/>
    <col min="2306" max="2306" width="7.5703125" style="527" customWidth="1"/>
    <col min="2307" max="2307" width="61.7109375" style="527" customWidth="1"/>
    <col min="2308" max="2308" width="21.42578125" style="527" customWidth="1"/>
    <col min="2309" max="2309" width="5" style="527" customWidth="1"/>
    <col min="2310" max="2310" width="12.5703125" style="527" customWidth="1"/>
    <col min="2311" max="2561" width="9.140625" style="527"/>
    <col min="2562" max="2562" width="7.5703125" style="527" customWidth="1"/>
    <col min="2563" max="2563" width="61.7109375" style="527" customWidth="1"/>
    <col min="2564" max="2564" width="21.42578125" style="527" customWidth="1"/>
    <col min="2565" max="2565" width="5" style="527" customWidth="1"/>
    <col min="2566" max="2566" width="12.5703125" style="527" customWidth="1"/>
    <col min="2567" max="2817" width="9.140625" style="527"/>
    <col min="2818" max="2818" width="7.5703125" style="527" customWidth="1"/>
    <col min="2819" max="2819" width="61.7109375" style="527" customWidth="1"/>
    <col min="2820" max="2820" width="21.42578125" style="527" customWidth="1"/>
    <col min="2821" max="2821" width="5" style="527" customWidth="1"/>
    <col min="2822" max="2822" width="12.5703125" style="527" customWidth="1"/>
    <col min="2823" max="3073" width="9.140625" style="527"/>
    <col min="3074" max="3074" width="7.5703125" style="527" customWidth="1"/>
    <col min="3075" max="3075" width="61.7109375" style="527" customWidth="1"/>
    <col min="3076" max="3076" width="21.42578125" style="527" customWidth="1"/>
    <col min="3077" max="3077" width="5" style="527" customWidth="1"/>
    <col min="3078" max="3078" width="12.5703125" style="527" customWidth="1"/>
    <col min="3079" max="3329" width="9.140625" style="527"/>
    <col min="3330" max="3330" width="7.5703125" style="527" customWidth="1"/>
    <col min="3331" max="3331" width="61.7109375" style="527" customWidth="1"/>
    <col min="3332" max="3332" width="21.42578125" style="527" customWidth="1"/>
    <col min="3333" max="3333" width="5" style="527" customWidth="1"/>
    <col min="3334" max="3334" width="12.5703125" style="527" customWidth="1"/>
    <col min="3335" max="3585" width="9.140625" style="527"/>
    <col min="3586" max="3586" width="7.5703125" style="527" customWidth="1"/>
    <col min="3587" max="3587" width="61.7109375" style="527" customWidth="1"/>
    <col min="3588" max="3588" width="21.42578125" style="527" customWidth="1"/>
    <col min="3589" max="3589" width="5" style="527" customWidth="1"/>
    <col min="3590" max="3590" width="12.5703125" style="527" customWidth="1"/>
    <col min="3591" max="3841" width="9.140625" style="527"/>
    <col min="3842" max="3842" width="7.5703125" style="527" customWidth="1"/>
    <col min="3843" max="3843" width="61.7109375" style="527" customWidth="1"/>
    <col min="3844" max="3844" width="21.42578125" style="527" customWidth="1"/>
    <col min="3845" max="3845" width="5" style="527" customWidth="1"/>
    <col min="3846" max="3846" width="12.5703125" style="527" customWidth="1"/>
    <col min="3847" max="4097" width="9.140625" style="527"/>
    <col min="4098" max="4098" width="7.5703125" style="527" customWidth="1"/>
    <col min="4099" max="4099" width="61.7109375" style="527" customWidth="1"/>
    <col min="4100" max="4100" width="21.42578125" style="527" customWidth="1"/>
    <col min="4101" max="4101" width="5" style="527" customWidth="1"/>
    <col min="4102" max="4102" width="12.5703125" style="527" customWidth="1"/>
    <col min="4103" max="4353" width="9.140625" style="527"/>
    <col min="4354" max="4354" width="7.5703125" style="527" customWidth="1"/>
    <col min="4355" max="4355" width="61.7109375" style="527" customWidth="1"/>
    <col min="4356" max="4356" width="21.42578125" style="527" customWidth="1"/>
    <col min="4357" max="4357" width="5" style="527" customWidth="1"/>
    <col min="4358" max="4358" width="12.5703125" style="527" customWidth="1"/>
    <col min="4359" max="4609" width="9.140625" style="527"/>
    <col min="4610" max="4610" width="7.5703125" style="527" customWidth="1"/>
    <col min="4611" max="4611" width="61.7109375" style="527" customWidth="1"/>
    <col min="4612" max="4612" width="21.42578125" style="527" customWidth="1"/>
    <col min="4613" max="4613" width="5" style="527" customWidth="1"/>
    <col min="4614" max="4614" width="12.5703125" style="527" customWidth="1"/>
    <col min="4615" max="4865" width="9.140625" style="527"/>
    <col min="4866" max="4866" width="7.5703125" style="527" customWidth="1"/>
    <col min="4867" max="4867" width="61.7109375" style="527" customWidth="1"/>
    <col min="4868" max="4868" width="21.42578125" style="527" customWidth="1"/>
    <col min="4869" max="4869" width="5" style="527" customWidth="1"/>
    <col min="4870" max="4870" width="12.5703125" style="527" customWidth="1"/>
    <col min="4871" max="5121" width="9.140625" style="527"/>
    <col min="5122" max="5122" width="7.5703125" style="527" customWidth="1"/>
    <col min="5123" max="5123" width="61.7109375" style="527" customWidth="1"/>
    <col min="5124" max="5124" width="21.42578125" style="527" customWidth="1"/>
    <col min="5125" max="5125" width="5" style="527" customWidth="1"/>
    <col min="5126" max="5126" width="12.5703125" style="527" customWidth="1"/>
    <col min="5127" max="5377" width="9.140625" style="527"/>
    <col min="5378" max="5378" width="7.5703125" style="527" customWidth="1"/>
    <col min="5379" max="5379" width="61.7109375" style="527" customWidth="1"/>
    <col min="5380" max="5380" width="21.42578125" style="527" customWidth="1"/>
    <col min="5381" max="5381" width="5" style="527" customWidth="1"/>
    <col min="5382" max="5382" width="12.5703125" style="527" customWidth="1"/>
    <col min="5383" max="5633" width="9.140625" style="527"/>
    <col min="5634" max="5634" width="7.5703125" style="527" customWidth="1"/>
    <col min="5635" max="5635" width="61.7109375" style="527" customWidth="1"/>
    <col min="5636" max="5636" width="21.42578125" style="527" customWidth="1"/>
    <col min="5637" max="5637" width="5" style="527" customWidth="1"/>
    <col min="5638" max="5638" width="12.5703125" style="527" customWidth="1"/>
    <col min="5639" max="5889" width="9.140625" style="527"/>
    <col min="5890" max="5890" width="7.5703125" style="527" customWidth="1"/>
    <col min="5891" max="5891" width="61.7109375" style="527" customWidth="1"/>
    <col min="5892" max="5892" width="21.42578125" style="527" customWidth="1"/>
    <col min="5893" max="5893" width="5" style="527" customWidth="1"/>
    <col min="5894" max="5894" width="12.5703125" style="527" customWidth="1"/>
    <col min="5895" max="6145" width="9.140625" style="527"/>
    <col min="6146" max="6146" width="7.5703125" style="527" customWidth="1"/>
    <col min="6147" max="6147" width="61.7109375" style="527" customWidth="1"/>
    <col min="6148" max="6148" width="21.42578125" style="527" customWidth="1"/>
    <col min="6149" max="6149" width="5" style="527" customWidth="1"/>
    <col min="6150" max="6150" width="12.5703125" style="527" customWidth="1"/>
    <col min="6151" max="6401" width="9.140625" style="527"/>
    <col min="6402" max="6402" width="7.5703125" style="527" customWidth="1"/>
    <col min="6403" max="6403" width="61.7109375" style="527" customWidth="1"/>
    <col min="6404" max="6404" width="21.42578125" style="527" customWidth="1"/>
    <col min="6405" max="6405" width="5" style="527" customWidth="1"/>
    <col min="6406" max="6406" width="12.5703125" style="527" customWidth="1"/>
    <col min="6407" max="6657" width="9.140625" style="527"/>
    <col min="6658" max="6658" width="7.5703125" style="527" customWidth="1"/>
    <col min="6659" max="6659" width="61.7109375" style="527" customWidth="1"/>
    <col min="6660" max="6660" width="21.42578125" style="527" customWidth="1"/>
    <col min="6661" max="6661" width="5" style="527" customWidth="1"/>
    <col min="6662" max="6662" width="12.5703125" style="527" customWidth="1"/>
    <col min="6663" max="6913" width="9.140625" style="527"/>
    <col min="6914" max="6914" width="7.5703125" style="527" customWidth="1"/>
    <col min="6915" max="6915" width="61.7109375" style="527" customWidth="1"/>
    <col min="6916" max="6916" width="21.42578125" style="527" customWidth="1"/>
    <col min="6917" max="6917" width="5" style="527" customWidth="1"/>
    <col min="6918" max="6918" width="12.5703125" style="527" customWidth="1"/>
    <col min="6919" max="7169" width="9.140625" style="527"/>
    <col min="7170" max="7170" width="7.5703125" style="527" customWidth="1"/>
    <col min="7171" max="7171" width="61.7109375" style="527" customWidth="1"/>
    <col min="7172" max="7172" width="21.42578125" style="527" customWidth="1"/>
    <col min="7173" max="7173" width="5" style="527" customWidth="1"/>
    <col min="7174" max="7174" width="12.5703125" style="527" customWidth="1"/>
    <col min="7175" max="7425" width="9.140625" style="527"/>
    <col min="7426" max="7426" width="7.5703125" style="527" customWidth="1"/>
    <col min="7427" max="7427" width="61.7109375" style="527" customWidth="1"/>
    <col min="7428" max="7428" width="21.42578125" style="527" customWidth="1"/>
    <col min="7429" max="7429" width="5" style="527" customWidth="1"/>
    <col min="7430" max="7430" width="12.5703125" style="527" customWidth="1"/>
    <col min="7431" max="7681" width="9.140625" style="527"/>
    <col min="7682" max="7682" width="7.5703125" style="527" customWidth="1"/>
    <col min="7683" max="7683" width="61.7109375" style="527" customWidth="1"/>
    <col min="7684" max="7684" width="21.42578125" style="527" customWidth="1"/>
    <col min="7685" max="7685" width="5" style="527" customWidth="1"/>
    <col min="7686" max="7686" width="12.5703125" style="527" customWidth="1"/>
    <col min="7687" max="7937" width="9.140625" style="527"/>
    <col min="7938" max="7938" width="7.5703125" style="527" customWidth="1"/>
    <col min="7939" max="7939" width="61.7109375" style="527" customWidth="1"/>
    <col min="7940" max="7940" width="21.42578125" style="527" customWidth="1"/>
    <col min="7941" max="7941" width="5" style="527" customWidth="1"/>
    <col min="7942" max="7942" width="12.5703125" style="527" customWidth="1"/>
    <col min="7943" max="8193" width="9.140625" style="527"/>
    <col min="8194" max="8194" width="7.5703125" style="527" customWidth="1"/>
    <col min="8195" max="8195" width="61.7109375" style="527" customWidth="1"/>
    <col min="8196" max="8196" width="21.42578125" style="527" customWidth="1"/>
    <col min="8197" max="8197" width="5" style="527" customWidth="1"/>
    <col min="8198" max="8198" width="12.5703125" style="527" customWidth="1"/>
    <col min="8199" max="8449" width="9.140625" style="527"/>
    <col min="8450" max="8450" width="7.5703125" style="527" customWidth="1"/>
    <col min="8451" max="8451" width="61.7109375" style="527" customWidth="1"/>
    <col min="8452" max="8452" width="21.42578125" style="527" customWidth="1"/>
    <col min="8453" max="8453" width="5" style="527" customWidth="1"/>
    <col min="8454" max="8454" width="12.5703125" style="527" customWidth="1"/>
    <col min="8455" max="8705" width="9.140625" style="527"/>
    <col min="8706" max="8706" width="7.5703125" style="527" customWidth="1"/>
    <col min="8707" max="8707" width="61.7109375" style="527" customWidth="1"/>
    <col min="8708" max="8708" width="21.42578125" style="527" customWidth="1"/>
    <col min="8709" max="8709" width="5" style="527" customWidth="1"/>
    <col min="8710" max="8710" width="12.5703125" style="527" customWidth="1"/>
    <col min="8711" max="8961" width="9.140625" style="527"/>
    <col min="8962" max="8962" width="7.5703125" style="527" customWidth="1"/>
    <col min="8963" max="8963" width="61.7109375" style="527" customWidth="1"/>
    <col min="8964" max="8964" width="21.42578125" style="527" customWidth="1"/>
    <col min="8965" max="8965" width="5" style="527" customWidth="1"/>
    <col min="8966" max="8966" width="12.5703125" style="527" customWidth="1"/>
    <col min="8967" max="9217" width="9.140625" style="527"/>
    <col min="9218" max="9218" width="7.5703125" style="527" customWidth="1"/>
    <col min="9219" max="9219" width="61.7109375" style="527" customWidth="1"/>
    <col min="9220" max="9220" width="21.42578125" style="527" customWidth="1"/>
    <col min="9221" max="9221" width="5" style="527" customWidth="1"/>
    <col min="9222" max="9222" width="12.5703125" style="527" customWidth="1"/>
    <col min="9223" max="9473" width="9.140625" style="527"/>
    <col min="9474" max="9474" width="7.5703125" style="527" customWidth="1"/>
    <col min="9475" max="9475" width="61.7109375" style="527" customWidth="1"/>
    <col min="9476" max="9476" width="21.42578125" style="527" customWidth="1"/>
    <col min="9477" max="9477" width="5" style="527" customWidth="1"/>
    <col min="9478" max="9478" width="12.5703125" style="527" customWidth="1"/>
    <col min="9479" max="9729" width="9.140625" style="527"/>
    <col min="9730" max="9730" width="7.5703125" style="527" customWidth="1"/>
    <col min="9731" max="9731" width="61.7109375" style="527" customWidth="1"/>
    <col min="9732" max="9732" width="21.42578125" style="527" customWidth="1"/>
    <col min="9733" max="9733" width="5" style="527" customWidth="1"/>
    <col min="9734" max="9734" width="12.5703125" style="527" customWidth="1"/>
    <col min="9735" max="9985" width="9.140625" style="527"/>
    <col min="9986" max="9986" width="7.5703125" style="527" customWidth="1"/>
    <col min="9987" max="9987" width="61.7109375" style="527" customWidth="1"/>
    <col min="9988" max="9988" width="21.42578125" style="527" customWidth="1"/>
    <col min="9989" max="9989" width="5" style="527" customWidth="1"/>
    <col min="9990" max="9990" width="12.5703125" style="527" customWidth="1"/>
    <col min="9991" max="10241" width="9.140625" style="527"/>
    <col min="10242" max="10242" width="7.5703125" style="527" customWidth="1"/>
    <col min="10243" max="10243" width="61.7109375" style="527" customWidth="1"/>
    <col min="10244" max="10244" width="21.42578125" style="527" customWidth="1"/>
    <col min="10245" max="10245" width="5" style="527" customWidth="1"/>
    <col min="10246" max="10246" width="12.5703125" style="527" customWidth="1"/>
    <col min="10247" max="10497" width="9.140625" style="527"/>
    <col min="10498" max="10498" width="7.5703125" style="527" customWidth="1"/>
    <col min="10499" max="10499" width="61.7109375" style="527" customWidth="1"/>
    <col min="10500" max="10500" width="21.42578125" style="527" customWidth="1"/>
    <col min="10501" max="10501" width="5" style="527" customWidth="1"/>
    <col min="10502" max="10502" width="12.5703125" style="527" customWidth="1"/>
    <col min="10503" max="10753" width="9.140625" style="527"/>
    <col min="10754" max="10754" width="7.5703125" style="527" customWidth="1"/>
    <col min="10755" max="10755" width="61.7109375" style="527" customWidth="1"/>
    <col min="10756" max="10756" width="21.42578125" style="527" customWidth="1"/>
    <col min="10757" max="10757" width="5" style="527" customWidth="1"/>
    <col min="10758" max="10758" width="12.5703125" style="527" customWidth="1"/>
    <col min="10759" max="11009" width="9.140625" style="527"/>
    <col min="11010" max="11010" width="7.5703125" style="527" customWidth="1"/>
    <col min="11011" max="11011" width="61.7109375" style="527" customWidth="1"/>
    <col min="11012" max="11012" width="21.42578125" style="527" customWidth="1"/>
    <col min="11013" max="11013" width="5" style="527" customWidth="1"/>
    <col min="11014" max="11014" width="12.5703125" style="527" customWidth="1"/>
    <col min="11015" max="11265" width="9.140625" style="527"/>
    <col min="11266" max="11266" width="7.5703125" style="527" customWidth="1"/>
    <col min="11267" max="11267" width="61.7109375" style="527" customWidth="1"/>
    <col min="11268" max="11268" width="21.42578125" style="527" customWidth="1"/>
    <col min="11269" max="11269" width="5" style="527" customWidth="1"/>
    <col min="11270" max="11270" width="12.5703125" style="527" customWidth="1"/>
    <col min="11271" max="11521" width="9.140625" style="527"/>
    <col min="11522" max="11522" width="7.5703125" style="527" customWidth="1"/>
    <col min="11523" max="11523" width="61.7109375" style="527" customWidth="1"/>
    <col min="11524" max="11524" width="21.42578125" style="527" customWidth="1"/>
    <col min="11525" max="11525" width="5" style="527" customWidth="1"/>
    <col min="11526" max="11526" width="12.5703125" style="527" customWidth="1"/>
    <col min="11527" max="11777" width="9.140625" style="527"/>
    <col min="11778" max="11778" width="7.5703125" style="527" customWidth="1"/>
    <col min="11779" max="11779" width="61.7109375" style="527" customWidth="1"/>
    <col min="11780" max="11780" width="21.42578125" style="527" customWidth="1"/>
    <col min="11781" max="11781" width="5" style="527" customWidth="1"/>
    <col min="11782" max="11782" width="12.5703125" style="527" customWidth="1"/>
    <col min="11783" max="12033" width="9.140625" style="527"/>
    <col min="12034" max="12034" width="7.5703125" style="527" customWidth="1"/>
    <col min="12035" max="12035" width="61.7109375" style="527" customWidth="1"/>
    <col min="12036" max="12036" width="21.42578125" style="527" customWidth="1"/>
    <col min="12037" max="12037" width="5" style="527" customWidth="1"/>
    <col min="12038" max="12038" width="12.5703125" style="527" customWidth="1"/>
    <col min="12039" max="12289" width="9.140625" style="527"/>
    <col min="12290" max="12290" width="7.5703125" style="527" customWidth="1"/>
    <col min="12291" max="12291" width="61.7109375" style="527" customWidth="1"/>
    <col min="12292" max="12292" width="21.42578125" style="527" customWidth="1"/>
    <col min="12293" max="12293" width="5" style="527" customWidth="1"/>
    <col min="12294" max="12294" width="12.5703125" style="527" customWidth="1"/>
    <col min="12295" max="12545" width="9.140625" style="527"/>
    <col min="12546" max="12546" width="7.5703125" style="527" customWidth="1"/>
    <col min="12547" max="12547" width="61.7109375" style="527" customWidth="1"/>
    <col min="12548" max="12548" width="21.42578125" style="527" customWidth="1"/>
    <col min="12549" max="12549" width="5" style="527" customWidth="1"/>
    <col min="12550" max="12550" width="12.5703125" style="527" customWidth="1"/>
    <col min="12551" max="12801" width="9.140625" style="527"/>
    <col min="12802" max="12802" width="7.5703125" style="527" customWidth="1"/>
    <col min="12803" max="12803" width="61.7109375" style="527" customWidth="1"/>
    <col min="12804" max="12804" width="21.42578125" style="527" customWidth="1"/>
    <col min="12805" max="12805" width="5" style="527" customWidth="1"/>
    <col min="12806" max="12806" width="12.5703125" style="527" customWidth="1"/>
    <col min="12807" max="13057" width="9.140625" style="527"/>
    <col min="13058" max="13058" width="7.5703125" style="527" customWidth="1"/>
    <col min="13059" max="13059" width="61.7109375" style="527" customWidth="1"/>
    <col min="13060" max="13060" width="21.42578125" style="527" customWidth="1"/>
    <col min="13061" max="13061" width="5" style="527" customWidth="1"/>
    <col min="13062" max="13062" width="12.5703125" style="527" customWidth="1"/>
    <col min="13063" max="13313" width="9.140625" style="527"/>
    <col min="13314" max="13314" width="7.5703125" style="527" customWidth="1"/>
    <col min="13315" max="13315" width="61.7109375" style="527" customWidth="1"/>
    <col min="13316" max="13316" width="21.42578125" style="527" customWidth="1"/>
    <col min="13317" max="13317" width="5" style="527" customWidth="1"/>
    <col min="13318" max="13318" width="12.5703125" style="527" customWidth="1"/>
    <col min="13319" max="13569" width="9.140625" style="527"/>
    <col min="13570" max="13570" width="7.5703125" style="527" customWidth="1"/>
    <col min="13571" max="13571" width="61.7109375" style="527" customWidth="1"/>
    <col min="13572" max="13572" width="21.42578125" style="527" customWidth="1"/>
    <col min="13573" max="13573" width="5" style="527" customWidth="1"/>
    <col min="13574" max="13574" width="12.5703125" style="527" customWidth="1"/>
    <col min="13575" max="13825" width="9.140625" style="527"/>
    <col min="13826" max="13826" width="7.5703125" style="527" customWidth="1"/>
    <col min="13827" max="13827" width="61.7109375" style="527" customWidth="1"/>
    <col min="13828" max="13828" width="21.42578125" style="527" customWidth="1"/>
    <col min="13829" max="13829" width="5" style="527" customWidth="1"/>
    <col min="13830" max="13830" width="12.5703125" style="527" customWidth="1"/>
    <col min="13831" max="14081" width="9.140625" style="527"/>
    <col min="14082" max="14082" width="7.5703125" style="527" customWidth="1"/>
    <col min="14083" max="14083" width="61.7109375" style="527" customWidth="1"/>
    <col min="14084" max="14084" width="21.42578125" style="527" customWidth="1"/>
    <col min="14085" max="14085" width="5" style="527" customWidth="1"/>
    <col min="14086" max="14086" width="12.5703125" style="527" customWidth="1"/>
    <col min="14087" max="14337" width="9.140625" style="527"/>
    <col min="14338" max="14338" width="7.5703125" style="527" customWidth="1"/>
    <col min="14339" max="14339" width="61.7109375" style="527" customWidth="1"/>
    <col min="14340" max="14340" width="21.42578125" style="527" customWidth="1"/>
    <col min="14341" max="14341" width="5" style="527" customWidth="1"/>
    <col min="14342" max="14342" width="12.5703125" style="527" customWidth="1"/>
    <col min="14343" max="14593" width="9.140625" style="527"/>
    <col min="14594" max="14594" width="7.5703125" style="527" customWidth="1"/>
    <col min="14595" max="14595" width="61.7109375" style="527" customWidth="1"/>
    <col min="14596" max="14596" width="21.42578125" style="527" customWidth="1"/>
    <col min="14597" max="14597" width="5" style="527" customWidth="1"/>
    <col min="14598" max="14598" width="12.5703125" style="527" customWidth="1"/>
    <col min="14599" max="14849" width="9.140625" style="527"/>
    <col min="14850" max="14850" width="7.5703125" style="527" customWidth="1"/>
    <col min="14851" max="14851" width="61.7109375" style="527" customWidth="1"/>
    <col min="14852" max="14852" width="21.42578125" style="527" customWidth="1"/>
    <col min="14853" max="14853" width="5" style="527" customWidth="1"/>
    <col min="14854" max="14854" width="12.5703125" style="527" customWidth="1"/>
    <col min="14855" max="15105" width="9.140625" style="527"/>
    <col min="15106" max="15106" width="7.5703125" style="527" customWidth="1"/>
    <col min="15107" max="15107" width="61.7109375" style="527" customWidth="1"/>
    <col min="15108" max="15108" width="21.42578125" style="527" customWidth="1"/>
    <col min="15109" max="15109" width="5" style="527" customWidth="1"/>
    <col min="15110" max="15110" width="12.5703125" style="527" customWidth="1"/>
    <col min="15111" max="15361" width="9.140625" style="527"/>
    <col min="15362" max="15362" width="7.5703125" style="527" customWidth="1"/>
    <col min="15363" max="15363" width="61.7109375" style="527" customWidth="1"/>
    <col min="15364" max="15364" width="21.42578125" style="527" customWidth="1"/>
    <col min="15365" max="15365" width="5" style="527" customWidth="1"/>
    <col min="15366" max="15366" width="12.5703125" style="527" customWidth="1"/>
    <col min="15367" max="15617" width="9.140625" style="527"/>
    <col min="15618" max="15618" width="7.5703125" style="527" customWidth="1"/>
    <col min="15619" max="15619" width="61.7109375" style="527" customWidth="1"/>
    <col min="15620" max="15620" width="21.42578125" style="527" customWidth="1"/>
    <col min="15621" max="15621" width="5" style="527" customWidth="1"/>
    <col min="15622" max="15622" width="12.5703125" style="527" customWidth="1"/>
    <col min="15623" max="15873" width="9.140625" style="527"/>
    <col min="15874" max="15874" width="7.5703125" style="527" customWidth="1"/>
    <col min="15875" max="15875" width="61.7109375" style="527" customWidth="1"/>
    <col min="15876" max="15876" width="21.42578125" style="527" customWidth="1"/>
    <col min="15877" max="15877" width="5" style="527" customWidth="1"/>
    <col min="15878" max="15878" width="12.5703125" style="527" customWidth="1"/>
    <col min="15879" max="16129" width="9.140625" style="527"/>
    <col min="16130" max="16130" width="7.5703125" style="527" customWidth="1"/>
    <col min="16131" max="16131" width="61.7109375" style="527" customWidth="1"/>
    <col min="16132" max="16132" width="21.42578125" style="527" customWidth="1"/>
    <col min="16133" max="16133" width="5" style="527" customWidth="1"/>
    <col min="16134" max="16134" width="12.5703125" style="527" customWidth="1"/>
    <col min="16135" max="16384" width="9.140625" style="527"/>
  </cols>
  <sheetData>
    <row r="1" spans="1:8" ht="12.75" customHeight="1" x14ac:dyDescent="0.25">
      <c r="D1" s="525"/>
      <c r="E1" s="525"/>
      <c r="F1" s="525"/>
      <c r="G1" s="768" t="s">
        <v>0</v>
      </c>
      <c r="H1" s="768"/>
    </row>
    <row r="3" spans="1:8" ht="36.75" customHeight="1" x14ac:dyDescent="0.25">
      <c r="A3" s="769" t="s">
        <v>1</v>
      </c>
      <c r="B3" s="769"/>
      <c r="C3" s="769"/>
    </row>
    <row r="5" spans="1:8" s="532" customFormat="1" ht="16.5" customHeight="1" thickBot="1" x14ac:dyDescent="0.3">
      <c r="A5" s="529"/>
      <c r="B5" s="530"/>
      <c r="C5" s="531"/>
      <c r="F5" s="531"/>
      <c r="G5" s="528"/>
      <c r="H5" s="531" t="s">
        <v>2</v>
      </c>
    </row>
    <row r="6" spans="1:8" s="534" customFormat="1" ht="21" customHeight="1" thickBot="1" x14ac:dyDescent="0.3">
      <c r="A6" s="533" t="s">
        <v>3</v>
      </c>
      <c r="B6" s="770" t="s">
        <v>4</v>
      </c>
      <c r="C6" s="771"/>
      <c r="D6" s="772"/>
      <c r="E6" s="770" t="s">
        <v>425</v>
      </c>
      <c r="F6" s="771"/>
      <c r="G6" s="771"/>
      <c r="H6" s="772"/>
    </row>
    <row r="7" spans="1:8" ht="63.75" thickBot="1" x14ac:dyDescent="0.3">
      <c r="A7" s="535" t="s">
        <v>5</v>
      </c>
      <c r="B7" s="773" t="s">
        <v>6</v>
      </c>
      <c r="C7" s="774"/>
      <c r="D7" s="775"/>
      <c r="E7" s="536" t="s">
        <v>426</v>
      </c>
      <c r="F7" s="537" t="s">
        <v>427</v>
      </c>
      <c r="G7" s="538" t="s">
        <v>428</v>
      </c>
      <c r="H7" s="539" t="s">
        <v>429</v>
      </c>
    </row>
    <row r="8" spans="1:8" s="541" customFormat="1" ht="12.95" customHeight="1" thickBot="1" x14ac:dyDescent="0.3">
      <c r="A8" s="535">
        <v>1</v>
      </c>
      <c r="B8" s="773">
        <v>2</v>
      </c>
      <c r="C8" s="774"/>
      <c r="D8" s="775"/>
      <c r="E8" s="540">
        <v>3</v>
      </c>
      <c r="F8" s="540">
        <v>4</v>
      </c>
      <c r="G8" s="538">
        <v>5</v>
      </c>
      <c r="H8" s="539">
        <v>6</v>
      </c>
    </row>
    <row r="9" spans="1:8" s="541" customFormat="1" ht="15.95" customHeight="1" thickBot="1" x14ac:dyDescent="0.3">
      <c r="A9" s="773" t="s">
        <v>7</v>
      </c>
      <c r="B9" s="774"/>
      <c r="C9" s="774"/>
      <c r="D9" s="774"/>
      <c r="E9" s="774"/>
      <c r="F9" s="774"/>
      <c r="G9" s="774"/>
      <c r="H9" s="775"/>
    </row>
    <row r="10" spans="1:8" s="541" customFormat="1" ht="12" customHeight="1" x14ac:dyDescent="0.25">
      <c r="A10" s="542" t="s">
        <v>8</v>
      </c>
      <c r="B10" s="543" t="s">
        <v>9</v>
      </c>
      <c r="C10" s="543"/>
      <c r="D10" s="543"/>
      <c r="E10" s="544">
        <f>SUM(E11:E16)</f>
        <v>1194536</v>
      </c>
      <c r="F10" s="545">
        <f>SUM(F11:F16)</f>
        <v>1108035</v>
      </c>
      <c r="G10" s="545">
        <f>SUM(G11:G16)</f>
        <v>1108035</v>
      </c>
      <c r="H10" s="546">
        <f>G10/F10*100</f>
        <v>100</v>
      </c>
    </row>
    <row r="11" spans="1:8" ht="12" customHeight="1" x14ac:dyDescent="0.25">
      <c r="A11" s="547" t="s">
        <v>10</v>
      </c>
      <c r="B11" s="666" t="s">
        <v>11</v>
      </c>
      <c r="C11" s="667"/>
      <c r="D11" s="667"/>
      <c r="E11" s="548">
        <v>156988</v>
      </c>
      <c r="F11" s="549">
        <v>158529</v>
      </c>
      <c r="G11" s="550">
        <v>158529</v>
      </c>
      <c r="H11" s="551">
        <f t="shared" ref="H11:H72" si="0">G11/F11*100</f>
        <v>100</v>
      </c>
    </row>
    <row r="12" spans="1:8" ht="12" customHeight="1" x14ac:dyDescent="0.25">
      <c r="A12" s="552" t="s">
        <v>12</v>
      </c>
      <c r="B12" s="666" t="s">
        <v>13</v>
      </c>
      <c r="C12" s="667"/>
      <c r="D12" s="667"/>
      <c r="E12" s="548">
        <v>136896</v>
      </c>
      <c r="F12" s="549">
        <v>138988</v>
      </c>
      <c r="G12" s="550">
        <v>138988</v>
      </c>
      <c r="H12" s="551">
        <f t="shared" si="0"/>
        <v>100</v>
      </c>
    </row>
    <row r="13" spans="1:8" ht="12" customHeight="1" x14ac:dyDescent="0.25">
      <c r="A13" s="552" t="s">
        <v>14</v>
      </c>
      <c r="B13" s="666" t="s">
        <v>15</v>
      </c>
      <c r="C13" s="667"/>
      <c r="D13" s="667"/>
      <c r="E13" s="548">
        <v>650936</v>
      </c>
      <c r="F13" s="549">
        <v>704892</v>
      </c>
      <c r="G13" s="550">
        <v>704892</v>
      </c>
      <c r="H13" s="551">
        <f t="shared" si="0"/>
        <v>100</v>
      </c>
    </row>
    <row r="14" spans="1:8" ht="12" customHeight="1" x14ac:dyDescent="0.25">
      <c r="A14" s="552" t="s">
        <v>16</v>
      </c>
      <c r="B14" s="666" t="s">
        <v>17</v>
      </c>
      <c r="C14" s="667"/>
      <c r="D14" s="667"/>
      <c r="E14" s="548">
        <v>9590</v>
      </c>
      <c r="F14" s="549">
        <v>9987</v>
      </c>
      <c r="G14" s="550">
        <v>9987</v>
      </c>
      <c r="H14" s="551">
        <f t="shared" si="0"/>
        <v>100</v>
      </c>
    </row>
    <row r="15" spans="1:8" x14ac:dyDescent="0.25">
      <c r="A15" s="553" t="s">
        <v>18</v>
      </c>
      <c r="B15" s="670" t="s">
        <v>19</v>
      </c>
      <c r="C15" s="671"/>
      <c r="D15" s="671"/>
      <c r="E15" s="554">
        <v>238742</v>
      </c>
      <c r="F15" s="549">
        <v>94255</v>
      </c>
      <c r="G15" s="550">
        <v>94255</v>
      </c>
      <c r="H15" s="551">
        <f t="shared" si="0"/>
        <v>100</v>
      </c>
    </row>
    <row r="16" spans="1:8" x14ac:dyDescent="0.25">
      <c r="A16" s="555" t="s">
        <v>20</v>
      </c>
      <c r="B16" s="83" t="s">
        <v>21</v>
      </c>
      <c r="C16" s="110"/>
      <c r="D16" s="110"/>
      <c r="E16" s="554">
        <v>1384</v>
      </c>
      <c r="F16" s="549">
        <v>1384</v>
      </c>
      <c r="G16" s="550">
        <v>1384</v>
      </c>
      <c r="H16" s="551">
        <f t="shared" si="0"/>
        <v>100</v>
      </c>
    </row>
    <row r="17" spans="1:8" ht="12" customHeight="1" x14ac:dyDescent="0.25">
      <c r="A17" s="167" t="s">
        <v>22</v>
      </c>
      <c r="B17" s="139" t="s">
        <v>23</v>
      </c>
      <c r="C17" s="140"/>
      <c r="D17" s="140"/>
      <c r="E17" s="556">
        <f>SUM(E19:E22)</f>
        <v>196854</v>
      </c>
      <c r="F17" s="557">
        <f>SUM(F22+F18+F20)</f>
        <v>447801</v>
      </c>
      <c r="G17" s="557">
        <f>SUM(G22+G18+G20)</f>
        <v>450136</v>
      </c>
      <c r="H17" s="551">
        <f t="shared" si="0"/>
        <v>100.52143697758602</v>
      </c>
    </row>
    <row r="18" spans="1:8" ht="12" customHeight="1" x14ac:dyDescent="0.25">
      <c r="A18" s="169" t="s">
        <v>24</v>
      </c>
      <c r="B18" s="106" t="s">
        <v>25</v>
      </c>
      <c r="C18" s="108"/>
      <c r="D18" s="108"/>
      <c r="E18" s="558"/>
      <c r="F18" s="549">
        <v>0</v>
      </c>
      <c r="G18" s="550"/>
      <c r="H18" s="551"/>
    </row>
    <row r="19" spans="1:8" ht="12" customHeight="1" x14ac:dyDescent="0.25">
      <c r="A19" s="559" t="s">
        <v>26</v>
      </c>
      <c r="B19" s="350" t="s">
        <v>27</v>
      </c>
      <c r="C19" s="186"/>
      <c r="D19" s="186"/>
      <c r="E19" s="560"/>
      <c r="F19" s="549"/>
      <c r="G19" s="550"/>
      <c r="H19" s="551"/>
    </row>
    <row r="20" spans="1:8" ht="12" customHeight="1" x14ac:dyDescent="0.25">
      <c r="A20" s="169" t="s">
        <v>28</v>
      </c>
      <c r="B20" s="76" t="s">
        <v>29</v>
      </c>
      <c r="C20" s="104"/>
      <c r="D20" s="104"/>
      <c r="E20" s="558"/>
      <c r="F20" s="549">
        <v>950</v>
      </c>
      <c r="G20" s="550">
        <v>1250</v>
      </c>
      <c r="H20" s="551">
        <f t="shared" si="0"/>
        <v>131.57894736842107</v>
      </c>
    </row>
    <row r="21" spans="1:8" ht="12" customHeight="1" x14ac:dyDescent="0.25">
      <c r="A21" s="559" t="s">
        <v>30</v>
      </c>
      <c r="B21" s="106" t="s">
        <v>31</v>
      </c>
      <c r="C21" s="108"/>
      <c r="D21" s="108"/>
      <c r="E21" s="558"/>
      <c r="F21" s="549"/>
      <c r="G21" s="550"/>
      <c r="H21" s="551"/>
    </row>
    <row r="22" spans="1:8" ht="13.5" customHeight="1" x14ac:dyDescent="0.25">
      <c r="A22" s="169" t="s">
        <v>32</v>
      </c>
      <c r="B22" s="76" t="s">
        <v>33</v>
      </c>
      <c r="C22" s="104"/>
      <c r="D22" s="104"/>
      <c r="E22" s="558">
        <v>196854</v>
      </c>
      <c r="F22" s="549">
        <v>446851</v>
      </c>
      <c r="G22" s="550">
        <v>448886</v>
      </c>
      <c r="H22" s="551">
        <f t="shared" si="0"/>
        <v>100.45540907371809</v>
      </c>
    </row>
    <row r="23" spans="1:8" ht="15.75" customHeight="1" x14ac:dyDescent="0.25">
      <c r="A23" s="559" t="s">
        <v>34</v>
      </c>
      <c r="B23" s="106" t="s">
        <v>35</v>
      </c>
      <c r="C23" s="108"/>
      <c r="D23" s="108"/>
      <c r="E23" s="561">
        <v>134549</v>
      </c>
      <c r="F23" s="562">
        <v>159451</v>
      </c>
      <c r="G23" s="563">
        <v>130269</v>
      </c>
      <c r="H23" s="551">
        <f t="shared" si="0"/>
        <v>81.698452816225682</v>
      </c>
    </row>
    <row r="24" spans="1:8" ht="12" customHeight="1" x14ac:dyDescent="0.25">
      <c r="A24" s="167" t="s">
        <v>36</v>
      </c>
      <c r="B24" s="139" t="s">
        <v>37</v>
      </c>
      <c r="C24" s="140"/>
      <c r="D24" s="140"/>
      <c r="E24" s="556">
        <f>SUM(E25:E29)</f>
        <v>1711364</v>
      </c>
      <c r="F24" s="557">
        <f>SUM(F25:F29)</f>
        <v>2485883</v>
      </c>
      <c r="G24" s="557">
        <f>SUM(G25:G29)</f>
        <v>2448007</v>
      </c>
      <c r="H24" s="551">
        <f t="shared" si="0"/>
        <v>98.47635628869098</v>
      </c>
    </row>
    <row r="25" spans="1:8" ht="12" customHeight="1" x14ac:dyDescent="0.25">
      <c r="A25" s="169" t="s">
        <v>38</v>
      </c>
      <c r="B25" s="106" t="s">
        <v>39</v>
      </c>
      <c r="C25" s="108"/>
      <c r="D25" s="108"/>
      <c r="E25" s="558">
        <v>26783</v>
      </c>
      <c r="F25" s="549">
        <v>433590</v>
      </c>
      <c r="G25" s="550">
        <v>433590</v>
      </c>
      <c r="H25" s="551">
        <f t="shared" si="0"/>
        <v>100</v>
      </c>
    </row>
    <row r="26" spans="1:8" ht="12" customHeight="1" x14ac:dyDescent="0.25">
      <c r="A26" s="169" t="s">
        <v>40</v>
      </c>
      <c r="B26" s="350" t="s">
        <v>41</v>
      </c>
      <c r="C26" s="108"/>
      <c r="D26" s="108"/>
      <c r="E26" s="558"/>
      <c r="F26" s="549"/>
      <c r="G26" s="550"/>
      <c r="H26" s="551"/>
    </row>
    <row r="27" spans="1:8" ht="12" customHeight="1" x14ac:dyDescent="0.25">
      <c r="A27" s="169" t="s">
        <v>42</v>
      </c>
      <c r="B27" s="76" t="s">
        <v>43</v>
      </c>
      <c r="C27" s="104"/>
      <c r="D27" s="104"/>
      <c r="E27" s="558"/>
      <c r="F27" s="549"/>
      <c r="G27" s="550"/>
      <c r="H27" s="551"/>
    </row>
    <row r="28" spans="1:8" ht="12" customHeight="1" x14ac:dyDescent="0.25">
      <c r="A28" s="169" t="s">
        <v>44</v>
      </c>
      <c r="B28" s="106" t="s">
        <v>45</v>
      </c>
      <c r="C28" s="108"/>
      <c r="D28" s="108"/>
      <c r="E28" s="558"/>
      <c r="F28" s="549"/>
      <c r="G28" s="550"/>
      <c r="H28" s="551"/>
    </row>
    <row r="29" spans="1:8" ht="12" customHeight="1" x14ac:dyDescent="0.25">
      <c r="A29" s="169" t="s">
        <v>46</v>
      </c>
      <c r="B29" s="106" t="s">
        <v>47</v>
      </c>
      <c r="C29" s="108"/>
      <c r="D29" s="108"/>
      <c r="E29" s="558">
        <v>1684581</v>
      </c>
      <c r="F29" s="549">
        <v>2052293</v>
      </c>
      <c r="G29" s="550">
        <v>2014417</v>
      </c>
      <c r="H29" s="551">
        <f t="shared" si="0"/>
        <v>98.154454554003749</v>
      </c>
    </row>
    <row r="30" spans="1:8" ht="14.25" customHeight="1" x14ac:dyDescent="0.25">
      <c r="A30" s="169" t="s">
        <v>48</v>
      </c>
      <c r="B30" s="106" t="s">
        <v>35</v>
      </c>
      <c r="C30" s="108"/>
      <c r="D30" s="108"/>
      <c r="E30" s="564">
        <v>1447613</v>
      </c>
      <c r="F30" s="562">
        <v>1467338</v>
      </c>
      <c r="G30" s="565">
        <v>1454051</v>
      </c>
      <c r="H30" s="551">
        <f t="shared" si="0"/>
        <v>99.094482661799802</v>
      </c>
    </row>
    <row r="31" spans="1:8" ht="12" customHeight="1" x14ac:dyDescent="0.25">
      <c r="A31" s="167" t="s">
        <v>49</v>
      </c>
      <c r="B31" s="139" t="s">
        <v>50</v>
      </c>
      <c r="C31" s="140"/>
      <c r="D31" s="140"/>
      <c r="E31" s="556">
        <f>SUM(E32:E36)</f>
        <v>448200</v>
      </c>
      <c r="F31" s="557">
        <f>SUM(F32:F36)</f>
        <v>598200</v>
      </c>
      <c r="G31" s="557">
        <f>SUM(G32:G37)</f>
        <v>598254</v>
      </c>
      <c r="H31" s="551">
        <f t="shared" si="0"/>
        <v>100.00902708124373</v>
      </c>
    </row>
    <row r="32" spans="1:8" ht="12" customHeight="1" x14ac:dyDescent="0.25">
      <c r="A32" s="169" t="s">
        <v>51</v>
      </c>
      <c r="B32" s="106" t="s">
        <v>52</v>
      </c>
      <c r="C32" s="108"/>
      <c r="D32" s="140"/>
      <c r="E32" s="558">
        <v>6600</v>
      </c>
      <c r="F32" s="549">
        <v>6600</v>
      </c>
      <c r="G32" s="550">
        <v>5996</v>
      </c>
      <c r="H32" s="551">
        <f t="shared" si="0"/>
        <v>90.848484848484844</v>
      </c>
    </row>
    <row r="33" spans="1:8" ht="12" customHeight="1" x14ac:dyDescent="0.25">
      <c r="A33" s="169" t="s">
        <v>53</v>
      </c>
      <c r="B33" s="106" t="s">
        <v>54</v>
      </c>
      <c r="C33" s="108"/>
      <c r="D33" s="140"/>
      <c r="E33" s="558">
        <v>405000</v>
      </c>
      <c r="F33" s="549">
        <v>555000</v>
      </c>
      <c r="G33" s="550">
        <v>560205</v>
      </c>
      <c r="H33" s="551">
        <f t="shared" si="0"/>
        <v>100.93783783783783</v>
      </c>
    </row>
    <row r="34" spans="1:8" ht="12" customHeight="1" x14ac:dyDescent="0.25">
      <c r="A34" s="169" t="s">
        <v>55</v>
      </c>
      <c r="B34" s="70" t="s">
        <v>56</v>
      </c>
      <c r="C34" s="149"/>
      <c r="D34" s="149"/>
      <c r="E34" s="554">
        <v>28000</v>
      </c>
      <c r="F34" s="549">
        <v>28000</v>
      </c>
      <c r="G34" s="550">
        <v>25228</v>
      </c>
      <c r="H34" s="551">
        <f t="shared" si="0"/>
        <v>90.100000000000009</v>
      </c>
    </row>
    <row r="35" spans="1:8" ht="26.25" customHeight="1" x14ac:dyDescent="0.25">
      <c r="A35" s="265" t="s">
        <v>57</v>
      </c>
      <c r="B35" s="629" t="s">
        <v>58</v>
      </c>
      <c r="C35" s="630"/>
      <c r="D35" s="630"/>
      <c r="E35" s="566">
        <v>5600</v>
      </c>
      <c r="F35" s="549">
        <v>5600</v>
      </c>
      <c r="G35" s="567">
        <v>4138</v>
      </c>
      <c r="H35" s="551">
        <f t="shared" si="0"/>
        <v>73.892857142857139</v>
      </c>
    </row>
    <row r="36" spans="1:8" ht="50.25" customHeight="1" x14ac:dyDescent="0.25">
      <c r="A36" s="265" t="s">
        <v>59</v>
      </c>
      <c r="B36" s="629" t="s">
        <v>60</v>
      </c>
      <c r="C36" s="630"/>
      <c r="D36" s="630"/>
      <c r="E36" s="566">
        <v>3000</v>
      </c>
      <c r="F36" s="549">
        <v>3000</v>
      </c>
      <c r="G36" s="567">
        <v>1707</v>
      </c>
      <c r="H36" s="551">
        <f t="shared" si="0"/>
        <v>56.899999999999991</v>
      </c>
    </row>
    <row r="37" spans="1:8" ht="17.25" customHeight="1" x14ac:dyDescent="0.25">
      <c r="A37" s="337" t="s">
        <v>439</v>
      </c>
      <c r="B37" s="629" t="s">
        <v>440</v>
      </c>
      <c r="C37" s="630"/>
      <c r="D37" s="633"/>
      <c r="E37" s="566"/>
      <c r="F37" s="549"/>
      <c r="G37" s="567">
        <v>980</v>
      </c>
      <c r="H37" s="551"/>
    </row>
    <row r="38" spans="1:8" ht="12" customHeight="1" x14ac:dyDescent="0.25">
      <c r="A38" s="167" t="s">
        <v>61</v>
      </c>
      <c r="B38" s="139" t="s">
        <v>62</v>
      </c>
      <c r="C38" s="140"/>
      <c r="D38" s="140"/>
      <c r="E38" s="556">
        <f>SUM(E39:E49)</f>
        <v>585220</v>
      </c>
      <c r="F38" s="557">
        <f>SUM(F39:F49)</f>
        <v>722456</v>
      </c>
      <c r="G38" s="557">
        <f>SUM(G39:G49)</f>
        <v>396429</v>
      </c>
      <c r="H38" s="551">
        <f t="shared" si="0"/>
        <v>54.872407454571629</v>
      </c>
    </row>
    <row r="39" spans="1:8" ht="12" customHeight="1" x14ac:dyDescent="0.25">
      <c r="A39" s="169" t="s">
        <v>63</v>
      </c>
      <c r="B39" s="106" t="s">
        <v>64</v>
      </c>
      <c r="C39" s="108"/>
      <c r="D39" s="108"/>
      <c r="E39" s="558">
        <v>75</v>
      </c>
      <c r="F39" s="549">
        <v>10725</v>
      </c>
      <c r="G39" s="550">
        <v>17067</v>
      </c>
      <c r="H39" s="551">
        <f t="shared" si="0"/>
        <v>159.13286713286715</v>
      </c>
    </row>
    <row r="40" spans="1:8" ht="12" customHeight="1" x14ac:dyDescent="0.25">
      <c r="A40" s="169" t="s">
        <v>65</v>
      </c>
      <c r="B40" s="106" t="s">
        <v>66</v>
      </c>
      <c r="C40" s="108"/>
      <c r="D40" s="108"/>
      <c r="E40" s="558">
        <v>11421</v>
      </c>
      <c r="F40" s="549">
        <v>18531</v>
      </c>
      <c r="G40" s="550">
        <v>13506</v>
      </c>
      <c r="H40" s="551">
        <f t="shared" si="0"/>
        <v>72.88327667152339</v>
      </c>
    </row>
    <row r="41" spans="1:8" ht="12" customHeight="1" x14ac:dyDescent="0.25">
      <c r="A41" s="169" t="s">
        <v>67</v>
      </c>
      <c r="B41" s="106" t="s">
        <v>68</v>
      </c>
      <c r="C41" s="108"/>
      <c r="D41" s="108"/>
      <c r="E41" s="558">
        <v>150</v>
      </c>
      <c r="F41" s="549">
        <v>150</v>
      </c>
      <c r="G41" s="550">
        <v>3445</v>
      </c>
      <c r="H41" s="551">
        <f t="shared" si="0"/>
        <v>2296.6666666666665</v>
      </c>
    </row>
    <row r="42" spans="1:8" ht="12" customHeight="1" x14ac:dyDescent="0.25">
      <c r="A42" s="169" t="s">
        <v>69</v>
      </c>
      <c r="B42" s="106" t="s">
        <v>70</v>
      </c>
      <c r="C42" s="108"/>
      <c r="D42" s="108"/>
      <c r="E42" s="558">
        <v>41187</v>
      </c>
      <c r="F42" s="549">
        <v>60917</v>
      </c>
      <c r="G42" s="550">
        <v>23339</v>
      </c>
      <c r="H42" s="551">
        <f t="shared" si="0"/>
        <v>38.312786250143638</v>
      </c>
    </row>
    <row r="43" spans="1:8" ht="12" customHeight="1" x14ac:dyDescent="0.25">
      <c r="A43" s="169" t="s">
        <v>71</v>
      </c>
      <c r="B43" s="106" t="s">
        <v>72</v>
      </c>
      <c r="C43" s="108"/>
      <c r="D43" s="108"/>
      <c r="E43" s="558">
        <v>34874</v>
      </c>
      <c r="F43" s="549">
        <v>34874</v>
      </c>
      <c r="G43" s="550">
        <v>27880</v>
      </c>
      <c r="H43" s="551">
        <f t="shared" si="0"/>
        <v>79.94494465791135</v>
      </c>
    </row>
    <row r="44" spans="1:8" ht="12" customHeight="1" x14ac:dyDescent="0.25">
      <c r="A44" s="169" t="s">
        <v>73</v>
      </c>
      <c r="B44" s="106" t="s">
        <v>74</v>
      </c>
      <c r="C44" s="108"/>
      <c r="D44" s="108"/>
      <c r="E44" s="558">
        <v>64820</v>
      </c>
      <c r="F44" s="549">
        <v>69614</v>
      </c>
      <c r="G44" s="550">
        <v>13762</v>
      </c>
      <c r="H44" s="551">
        <f t="shared" si="0"/>
        <v>19.769011980348779</v>
      </c>
    </row>
    <row r="45" spans="1:8" ht="12" customHeight="1" x14ac:dyDescent="0.25">
      <c r="A45" s="169" t="s">
        <v>75</v>
      </c>
      <c r="B45" s="106" t="s">
        <v>76</v>
      </c>
      <c r="C45" s="108"/>
      <c r="D45" s="108"/>
      <c r="E45" s="558">
        <v>432693</v>
      </c>
      <c r="F45" s="549">
        <f>479045+48600</f>
        <v>527645</v>
      </c>
      <c r="G45" s="550">
        <v>294929</v>
      </c>
      <c r="H45" s="551">
        <f t="shared" si="0"/>
        <v>55.895346302911996</v>
      </c>
    </row>
    <row r="46" spans="1:8" ht="12" customHeight="1" x14ac:dyDescent="0.25">
      <c r="A46" s="169" t="s">
        <v>77</v>
      </c>
      <c r="B46" s="106" t="s">
        <v>78</v>
      </c>
      <c r="C46" s="108"/>
      <c r="D46" s="108"/>
      <c r="E46" s="558"/>
      <c r="F46" s="549"/>
      <c r="G46" s="550">
        <v>1275</v>
      </c>
      <c r="H46" s="551"/>
    </row>
    <row r="47" spans="1:8" ht="12" customHeight="1" x14ac:dyDescent="0.25">
      <c r="A47" s="169" t="s">
        <v>79</v>
      </c>
      <c r="B47" s="106" t="s">
        <v>80</v>
      </c>
      <c r="C47" s="108"/>
      <c r="D47" s="108"/>
      <c r="E47" s="558"/>
      <c r="F47" s="549"/>
      <c r="G47" s="550"/>
      <c r="H47" s="551"/>
    </row>
    <row r="48" spans="1:8" ht="12" customHeight="1" x14ac:dyDescent="0.25">
      <c r="A48" s="169" t="s">
        <v>81</v>
      </c>
      <c r="B48" s="106" t="s">
        <v>82</v>
      </c>
      <c r="C48" s="108"/>
      <c r="D48" s="108"/>
      <c r="E48" s="558"/>
      <c r="F48" s="549"/>
      <c r="G48" s="550">
        <v>1028</v>
      </c>
      <c r="H48" s="551"/>
    </row>
    <row r="49" spans="1:8" ht="12" customHeight="1" x14ac:dyDescent="0.25">
      <c r="A49" s="169" t="s">
        <v>83</v>
      </c>
      <c r="B49" s="106" t="s">
        <v>84</v>
      </c>
      <c r="C49" s="108"/>
      <c r="D49" s="108"/>
      <c r="E49" s="558"/>
      <c r="F49" s="549"/>
      <c r="G49" s="550">
        <v>198</v>
      </c>
      <c r="H49" s="551"/>
    </row>
    <row r="50" spans="1:8" ht="12" customHeight="1" x14ac:dyDescent="0.25">
      <c r="A50" s="167" t="s">
        <v>85</v>
      </c>
      <c r="B50" s="139" t="s">
        <v>86</v>
      </c>
      <c r="C50" s="140"/>
      <c r="D50" s="108"/>
      <c r="E50" s="556">
        <f>SUM(E51:E52)</f>
        <v>160225</v>
      </c>
      <c r="F50" s="557">
        <f>SUM(F51:F55)</f>
        <v>181260</v>
      </c>
      <c r="G50" s="557">
        <f>SUM(G51:G55)</f>
        <v>267</v>
      </c>
      <c r="H50" s="551">
        <f t="shared" si="0"/>
        <v>0.14730221780867261</v>
      </c>
    </row>
    <row r="51" spans="1:8" ht="12" customHeight="1" x14ac:dyDescent="0.25">
      <c r="A51" s="169" t="s">
        <v>87</v>
      </c>
      <c r="B51" s="76" t="s">
        <v>88</v>
      </c>
      <c r="C51" s="104"/>
      <c r="D51" s="108"/>
      <c r="E51" s="558"/>
      <c r="F51" s="549"/>
      <c r="G51" s="550"/>
      <c r="H51" s="551"/>
    </row>
    <row r="52" spans="1:8" ht="12" customHeight="1" x14ac:dyDescent="0.25">
      <c r="A52" s="169" t="s">
        <v>89</v>
      </c>
      <c r="B52" s="106" t="s">
        <v>90</v>
      </c>
      <c r="C52" s="108"/>
      <c r="D52" s="108"/>
      <c r="E52" s="558">
        <v>160225</v>
      </c>
      <c r="F52" s="549">
        <v>181260</v>
      </c>
      <c r="G52" s="550">
        <v>267</v>
      </c>
      <c r="H52" s="551">
        <f t="shared" si="0"/>
        <v>0.14730221780867261</v>
      </c>
    </row>
    <row r="53" spans="1:8" ht="12" customHeight="1" x14ac:dyDescent="0.25">
      <c r="A53" s="169" t="s">
        <v>91</v>
      </c>
      <c r="B53" s="106" t="s">
        <v>92</v>
      </c>
      <c r="C53" s="140"/>
      <c r="D53" s="140"/>
      <c r="E53" s="556"/>
      <c r="F53" s="549"/>
      <c r="G53" s="550"/>
      <c r="H53" s="551"/>
    </row>
    <row r="54" spans="1:8" ht="12" customHeight="1" x14ac:dyDescent="0.25">
      <c r="A54" s="169" t="s">
        <v>93</v>
      </c>
      <c r="B54" s="76" t="s">
        <v>94</v>
      </c>
      <c r="C54" s="104"/>
      <c r="D54" s="104"/>
      <c r="E54" s="558"/>
      <c r="F54" s="549"/>
      <c r="G54" s="550"/>
      <c r="H54" s="551"/>
    </row>
    <row r="55" spans="1:8" ht="12" customHeight="1" x14ac:dyDescent="0.25">
      <c r="A55" s="169" t="s">
        <v>95</v>
      </c>
      <c r="B55" s="666" t="s">
        <v>96</v>
      </c>
      <c r="C55" s="667"/>
      <c r="D55" s="667"/>
      <c r="E55" s="548"/>
      <c r="F55" s="549"/>
      <c r="G55" s="550"/>
      <c r="H55" s="551"/>
    </row>
    <row r="56" spans="1:8" ht="12" customHeight="1" x14ac:dyDescent="0.25">
      <c r="A56" s="167" t="s">
        <v>97</v>
      </c>
      <c r="B56" s="642" t="s">
        <v>98</v>
      </c>
      <c r="C56" s="643"/>
      <c r="D56" s="643"/>
      <c r="E56" s="568">
        <f>E57</f>
        <v>1800</v>
      </c>
      <c r="F56" s="557">
        <f>SUM(F57:F59)</f>
        <v>4190</v>
      </c>
      <c r="G56" s="557">
        <f>SUM(G57:G59)</f>
        <v>4253</v>
      </c>
      <c r="H56" s="551">
        <f t="shared" si="0"/>
        <v>101.5035799522673</v>
      </c>
    </row>
    <row r="57" spans="1:8" ht="12" customHeight="1" x14ac:dyDescent="0.25">
      <c r="A57" s="553" t="s">
        <v>99</v>
      </c>
      <c r="B57" s="368" t="s">
        <v>100</v>
      </c>
      <c r="C57" s="369"/>
      <c r="D57" s="369"/>
      <c r="E57" s="554">
        <v>1800</v>
      </c>
      <c r="F57" s="549">
        <v>1800</v>
      </c>
      <c r="G57" s="550">
        <v>1800</v>
      </c>
      <c r="H57" s="551">
        <f t="shared" si="0"/>
        <v>100</v>
      </c>
    </row>
    <row r="58" spans="1:8" ht="12" customHeight="1" x14ac:dyDescent="0.25">
      <c r="A58" s="555" t="s">
        <v>101</v>
      </c>
      <c r="B58" s="83" t="s">
        <v>102</v>
      </c>
      <c r="C58" s="110"/>
      <c r="D58" s="110"/>
      <c r="E58" s="554"/>
      <c r="F58" s="549">
        <v>450</v>
      </c>
      <c r="G58" s="550">
        <v>513</v>
      </c>
      <c r="H58" s="551">
        <f t="shared" si="0"/>
        <v>113.99999999999999</v>
      </c>
    </row>
    <row r="59" spans="1:8" ht="13.5" customHeight="1" x14ac:dyDescent="0.25">
      <c r="A59" s="555" t="s">
        <v>103</v>
      </c>
      <c r="B59" s="83" t="s">
        <v>104</v>
      </c>
      <c r="C59" s="110"/>
      <c r="D59" s="110"/>
      <c r="E59" s="554"/>
      <c r="F59" s="549">
        <v>1940</v>
      </c>
      <c r="G59" s="550">
        <v>1940</v>
      </c>
      <c r="H59" s="551">
        <f t="shared" si="0"/>
        <v>100</v>
      </c>
    </row>
    <row r="60" spans="1:8" ht="12" customHeight="1" x14ac:dyDescent="0.25">
      <c r="A60" s="169"/>
      <c r="B60" s="106" t="s">
        <v>35</v>
      </c>
      <c r="C60" s="108"/>
      <c r="D60" s="108"/>
      <c r="E60" s="558"/>
      <c r="F60" s="549"/>
      <c r="G60" s="550"/>
      <c r="H60" s="551"/>
    </row>
    <row r="61" spans="1:8" ht="12" customHeight="1" x14ac:dyDescent="0.25">
      <c r="A61" s="167" t="s">
        <v>105</v>
      </c>
      <c r="B61" s="139" t="s">
        <v>106</v>
      </c>
      <c r="C61" s="140"/>
      <c r="D61" s="140"/>
      <c r="E61" s="556">
        <f>SUM(E63)</f>
        <v>500</v>
      </c>
      <c r="F61" s="557">
        <f>SUM(F63:F64)</f>
        <v>27818</v>
      </c>
      <c r="G61" s="557">
        <f>SUM(G63:G64)</f>
        <v>16997</v>
      </c>
      <c r="H61" s="551">
        <f t="shared" si="0"/>
        <v>61.100726148536921</v>
      </c>
    </row>
    <row r="62" spans="1:8" ht="12" customHeight="1" x14ac:dyDescent="0.25">
      <c r="A62" s="169" t="s">
        <v>107</v>
      </c>
      <c r="B62" s="670" t="s">
        <v>108</v>
      </c>
      <c r="C62" s="671"/>
      <c r="D62" s="671"/>
      <c r="E62" s="554"/>
      <c r="F62" s="549"/>
      <c r="G62" s="550"/>
      <c r="H62" s="551"/>
    </row>
    <row r="63" spans="1:8" ht="12" customHeight="1" x14ac:dyDescent="0.25">
      <c r="A63" s="169" t="s">
        <v>109</v>
      </c>
      <c r="B63" s="83" t="s">
        <v>110</v>
      </c>
      <c r="C63" s="110"/>
      <c r="D63" s="110"/>
      <c r="E63" s="554">
        <v>500</v>
      </c>
      <c r="F63" s="549">
        <v>26818</v>
      </c>
      <c r="G63" s="550">
        <v>15981</v>
      </c>
      <c r="H63" s="551">
        <f t="shared" si="0"/>
        <v>59.590573495413523</v>
      </c>
    </row>
    <row r="64" spans="1:8" ht="12" customHeight="1" x14ac:dyDescent="0.25">
      <c r="A64" s="169" t="s">
        <v>111</v>
      </c>
      <c r="B64" s="83" t="s">
        <v>112</v>
      </c>
      <c r="C64" s="108"/>
      <c r="D64" s="108"/>
      <c r="E64" s="558"/>
      <c r="F64" s="549">
        <v>1000</v>
      </c>
      <c r="G64" s="550">
        <v>1016</v>
      </c>
      <c r="H64" s="551">
        <f t="shared" si="0"/>
        <v>101.6</v>
      </c>
    </row>
    <row r="65" spans="1:10" ht="12" customHeight="1" x14ac:dyDescent="0.25">
      <c r="A65" s="169"/>
      <c r="B65" s="106" t="s">
        <v>35</v>
      </c>
      <c r="C65" s="108"/>
      <c r="D65" s="108"/>
      <c r="E65" s="558"/>
      <c r="F65" s="549"/>
      <c r="G65" s="550"/>
      <c r="H65" s="551"/>
    </row>
    <row r="66" spans="1:10" ht="12" customHeight="1" x14ac:dyDescent="0.25">
      <c r="A66" s="767" t="s">
        <v>113</v>
      </c>
      <c r="B66" s="674"/>
      <c r="C66" s="674"/>
      <c r="D66" s="674"/>
      <c r="E66" s="556">
        <f>SUM(E61,E56,E50,E38,E31,E24,E17,E10)</f>
        <v>4298699</v>
      </c>
      <c r="F66" s="557">
        <f>SUM(F61,F56,F50,F38,F31,F24,F17,F10)</f>
        <v>5575643</v>
      </c>
      <c r="G66" s="557">
        <f>SUM(G61,G56,G50,G38,G31,G24,G17,G10)</f>
        <v>5022378</v>
      </c>
      <c r="H66" s="551">
        <f t="shared" si="0"/>
        <v>90.077108595367378</v>
      </c>
      <c r="J66" s="528"/>
    </row>
    <row r="67" spans="1:10" ht="12" customHeight="1" x14ac:dyDescent="0.25">
      <c r="A67" s="163" t="s">
        <v>114</v>
      </c>
      <c r="B67" s="649" t="s">
        <v>115</v>
      </c>
      <c r="C67" s="650"/>
      <c r="D67" s="650"/>
      <c r="E67" s="556">
        <f>SUM(E80,E70)</f>
        <v>379044</v>
      </c>
      <c r="F67" s="557">
        <f>SUM(F81,F70)</f>
        <v>398820</v>
      </c>
      <c r="G67" s="557">
        <f>SUM(G81,G70,G85)</f>
        <v>309113</v>
      </c>
      <c r="H67" s="551">
        <f t="shared" si="0"/>
        <v>77.506895341256708</v>
      </c>
    </row>
    <row r="68" spans="1:10" ht="12" customHeight="1" x14ac:dyDescent="0.25">
      <c r="A68" s="569" t="s">
        <v>116</v>
      </c>
      <c r="B68" s="357" t="s">
        <v>117</v>
      </c>
      <c r="C68" s="364"/>
      <c r="D68" s="364"/>
      <c r="E68" s="556">
        <f>SUM(E70)</f>
        <v>323146</v>
      </c>
      <c r="F68" s="557">
        <f>SUM(F70)</f>
        <v>125000</v>
      </c>
      <c r="G68" s="557">
        <f>SUM(G70)</f>
        <v>0</v>
      </c>
      <c r="H68" s="551">
        <f t="shared" si="0"/>
        <v>0</v>
      </c>
    </row>
    <row r="69" spans="1:10" ht="12" customHeight="1" x14ac:dyDescent="0.25">
      <c r="A69" s="167" t="s">
        <v>118</v>
      </c>
      <c r="B69" s="649" t="s">
        <v>119</v>
      </c>
      <c r="C69" s="650"/>
      <c r="D69" s="650"/>
      <c r="E69" s="556"/>
      <c r="F69" s="549"/>
      <c r="G69" s="550"/>
      <c r="H69" s="551"/>
    </row>
    <row r="70" spans="1:10" ht="12" customHeight="1" x14ac:dyDescent="0.25">
      <c r="A70" s="169" t="s">
        <v>120</v>
      </c>
      <c r="B70" s="76" t="s">
        <v>121</v>
      </c>
      <c r="C70" s="104"/>
      <c r="D70" s="104"/>
      <c r="E70" s="558">
        <v>323146</v>
      </c>
      <c r="F70" s="549">
        <v>125000</v>
      </c>
      <c r="G70" s="550"/>
      <c r="H70" s="551">
        <f t="shared" si="0"/>
        <v>0</v>
      </c>
    </row>
    <row r="71" spans="1:10" ht="15" customHeight="1" x14ac:dyDescent="0.25">
      <c r="A71" s="169"/>
      <c r="B71" s="641" t="s">
        <v>122</v>
      </c>
      <c r="C71" s="651"/>
      <c r="D71" s="651"/>
      <c r="E71" s="558"/>
      <c r="F71" s="557"/>
      <c r="G71" s="550"/>
      <c r="H71" s="551"/>
    </row>
    <row r="72" spans="1:10" ht="12" customHeight="1" x14ac:dyDescent="0.25">
      <c r="A72" s="169"/>
      <c r="B72" s="641" t="s">
        <v>123</v>
      </c>
      <c r="C72" s="651"/>
      <c r="D72" s="651"/>
      <c r="E72" s="558">
        <v>323146</v>
      </c>
      <c r="F72" s="549">
        <v>125000</v>
      </c>
      <c r="G72" s="550"/>
      <c r="H72" s="551">
        <f t="shared" si="0"/>
        <v>0</v>
      </c>
    </row>
    <row r="73" spans="1:10" ht="12" customHeight="1" x14ac:dyDescent="0.25">
      <c r="A73" s="169" t="s">
        <v>124</v>
      </c>
      <c r="B73" s="641" t="s">
        <v>125</v>
      </c>
      <c r="C73" s="651"/>
      <c r="D73" s="651"/>
      <c r="E73" s="558"/>
      <c r="F73" s="557"/>
      <c r="G73" s="550"/>
      <c r="H73" s="551"/>
    </row>
    <row r="74" spans="1:10" ht="12" customHeight="1" x14ac:dyDescent="0.25">
      <c r="A74" s="169" t="s">
        <v>126</v>
      </c>
      <c r="B74" s="663" t="s">
        <v>127</v>
      </c>
      <c r="C74" s="664"/>
      <c r="D74" s="664"/>
      <c r="E74" s="570"/>
      <c r="F74" s="549"/>
      <c r="G74" s="550"/>
      <c r="H74" s="551"/>
    </row>
    <row r="75" spans="1:10" ht="12" customHeight="1" x14ac:dyDescent="0.25">
      <c r="A75" s="167" t="s">
        <v>128</v>
      </c>
      <c r="B75" s="649" t="s">
        <v>129</v>
      </c>
      <c r="C75" s="650"/>
      <c r="D75" s="650"/>
      <c r="E75" s="556"/>
      <c r="F75" s="549"/>
      <c r="G75" s="550"/>
      <c r="H75" s="551"/>
    </row>
    <row r="76" spans="1:10" ht="12" customHeight="1" x14ac:dyDescent="0.25">
      <c r="A76" s="169" t="s">
        <v>130</v>
      </c>
      <c r="B76" s="641" t="s">
        <v>131</v>
      </c>
      <c r="C76" s="651"/>
      <c r="D76" s="651"/>
      <c r="E76" s="558"/>
      <c r="F76" s="549"/>
      <c r="G76" s="550"/>
      <c r="H76" s="551"/>
    </row>
    <row r="77" spans="1:10" ht="12" customHeight="1" x14ac:dyDescent="0.25">
      <c r="A77" s="169" t="s">
        <v>132</v>
      </c>
      <c r="B77" s="641" t="s">
        <v>133</v>
      </c>
      <c r="C77" s="651"/>
      <c r="D77" s="651"/>
      <c r="E77" s="558"/>
      <c r="F77" s="549"/>
      <c r="G77" s="550"/>
      <c r="H77" s="551"/>
    </row>
    <row r="78" spans="1:10" ht="12" customHeight="1" x14ac:dyDescent="0.25">
      <c r="A78" s="169" t="s">
        <v>134</v>
      </c>
      <c r="B78" s="641" t="s">
        <v>135</v>
      </c>
      <c r="C78" s="651"/>
      <c r="D78" s="651"/>
      <c r="E78" s="558"/>
      <c r="F78" s="549"/>
      <c r="G78" s="550"/>
      <c r="H78" s="551"/>
    </row>
    <row r="79" spans="1:10" ht="12" customHeight="1" x14ac:dyDescent="0.25">
      <c r="A79" s="169" t="s">
        <v>136</v>
      </c>
      <c r="B79" s="641" t="s">
        <v>137</v>
      </c>
      <c r="C79" s="651"/>
      <c r="D79" s="651"/>
      <c r="E79" s="558"/>
      <c r="F79" s="549"/>
      <c r="G79" s="550"/>
      <c r="H79" s="551"/>
    </row>
    <row r="80" spans="1:10" ht="12" customHeight="1" x14ac:dyDescent="0.25">
      <c r="A80" s="167" t="s">
        <v>138</v>
      </c>
      <c r="B80" s="649" t="s">
        <v>139</v>
      </c>
      <c r="C80" s="650"/>
      <c r="D80" s="650"/>
      <c r="E80" s="556">
        <f>SUM(E82:E83)</f>
        <v>55898</v>
      </c>
      <c r="F80" s="557">
        <f>SUM(F81)</f>
        <v>273820</v>
      </c>
      <c r="G80" s="557">
        <f>SUM(G81)</f>
        <v>273820</v>
      </c>
      <c r="H80" s="551">
        <f t="shared" ref="H80:H99" si="1">G80/F80*100</f>
        <v>100</v>
      </c>
    </row>
    <row r="81" spans="1:8" ht="12" customHeight="1" x14ac:dyDescent="0.25">
      <c r="A81" s="169" t="s">
        <v>140</v>
      </c>
      <c r="B81" s="641" t="s">
        <v>141</v>
      </c>
      <c r="C81" s="651"/>
      <c r="D81" s="651"/>
      <c r="E81" s="558">
        <v>55898</v>
      </c>
      <c r="F81" s="549">
        <f>SUM(F82:F83)</f>
        <v>273820</v>
      </c>
      <c r="G81" s="549">
        <f>SUM(G82:G83)</f>
        <v>273820</v>
      </c>
      <c r="H81" s="551">
        <f t="shared" si="1"/>
        <v>100</v>
      </c>
    </row>
    <row r="82" spans="1:8" ht="12" customHeight="1" x14ac:dyDescent="0.25">
      <c r="A82" s="571"/>
      <c r="B82" s="631" t="s">
        <v>444</v>
      </c>
      <c r="C82" s="632"/>
      <c r="D82" s="632"/>
      <c r="E82" s="554">
        <v>29551</v>
      </c>
      <c r="F82" s="549">
        <v>247473</v>
      </c>
      <c r="G82" s="549">
        <v>247473</v>
      </c>
      <c r="H82" s="551">
        <f t="shared" si="1"/>
        <v>100</v>
      </c>
    </row>
    <row r="83" spans="1:8" ht="12" customHeight="1" x14ac:dyDescent="0.25">
      <c r="A83" s="572"/>
      <c r="B83" s="631" t="s">
        <v>445</v>
      </c>
      <c r="C83" s="632"/>
      <c r="D83" s="632"/>
      <c r="E83" s="554">
        <v>26347</v>
      </c>
      <c r="F83" s="549">
        <v>26347</v>
      </c>
      <c r="G83" s="549">
        <v>26347</v>
      </c>
      <c r="H83" s="551">
        <f t="shared" si="1"/>
        <v>100</v>
      </c>
    </row>
    <row r="84" spans="1:8" ht="12" customHeight="1" x14ac:dyDescent="0.25">
      <c r="A84" s="169" t="s">
        <v>142</v>
      </c>
      <c r="B84" s="641" t="s">
        <v>143</v>
      </c>
      <c r="C84" s="651"/>
      <c r="D84" s="651"/>
      <c r="E84" s="558"/>
      <c r="F84" s="549"/>
      <c r="G84" s="550"/>
      <c r="H84" s="551"/>
    </row>
    <row r="85" spans="1:8" ht="18" customHeight="1" x14ac:dyDescent="0.25">
      <c r="A85" s="167" t="s">
        <v>144</v>
      </c>
      <c r="B85" s="649" t="s">
        <v>145</v>
      </c>
      <c r="C85" s="650"/>
      <c r="D85" s="650"/>
      <c r="E85" s="556"/>
      <c r="F85" s="549"/>
      <c r="G85" s="573">
        <f>G86</f>
        <v>35293</v>
      </c>
      <c r="H85" s="551"/>
    </row>
    <row r="86" spans="1:8" ht="12" customHeight="1" x14ac:dyDescent="0.25">
      <c r="A86" s="169" t="s">
        <v>146</v>
      </c>
      <c r="B86" s="641" t="s">
        <v>147</v>
      </c>
      <c r="C86" s="651"/>
      <c r="D86" s="651"/>
      <c r="E86" s="558"/>
      <c r="F86" s="549"/>
      <c r="G86" s="550">
        <v>35293</v>
      </c>
      <c r="H86" s="551"/>
    </row>
    <row r="87" spans="1:8" ht="12" customHeight="1" x14ac:dyDescent="0.25">
      <c r="A87" s="169" t="s">
        <v>148</v>
      </c>
      <c r="B87" s="641" t="s">
        <v>149</v>
      </c>
      <c r="C87" s="651"/>
      <c r="D87" s="651"/>
      <c r="E87" s="558"/>
      <c r="F87" s="549"/>
      <c r="G87" s="550"/>
      <c r="H87" s="551"/>
    </row>
    <row r="88" spans="1:8" ht="12" customHeight="1" x14ac:dyDescent="0.25">
      <c r="A88" s="169" t="s">
        <v>150</v>
      </c>
      <c r="B88" s="641" t="s">
        <v>151</v>
      </c>
      <c r="C88" s="651"/>
      <c r="D88" s="651"/>
      <c r="E88" s="558"/>
      <c r="F88" s="549"/>
      <c r="G88" s="550"/>
      <c r="H88" s="551"/>
    </row>
    <row r="89" spans="1:8" ht="12" customHeight="1" x14ac:dyDescent="0.25">
      <c r="A89" s="574" t="s">
        <v>152</v>
      </c>
      <c r="B89" s="76" t="s">
        <v>153</v>
      </c>
      <c r="C89" s="104"/>
      <c r="D89" s="104"/>
      <c r="E89" s="558"/>
      <c r="F89" s="549"/>
      <c r="G89" s="550"/>
      <c r="H89" s="551"/>
    </row>
    <row r="90" spans="1:8" ht="12" customHeight="1" x14ac:dyDescent="0.25">
      <c r="A90" s="574"/>
      <c r="B90" s="76" t="s">
        <v>154</v>
      </c>
      <c r="C90" s="104"/>
      <c r="D90" s="104"/>
      <c r="E90" s="558"/>
      <c r="F90" s="549"/>
      <c r="G90" s="550"/>
      <c r="H90" s="551"/>
    </row>
    <row r="91" spans="1:8" ht="12" customHeight="1" x14ac:dyDescent="0.25">
      <c r="A91" s="574"/>
      <c r="B91" s="76" t="s">
        <v>155</v>
      </c>
      <c r="C91" s="104"/>
      <c r="D91" s="104"/>
      <c r="E91" s="558"/>
      <c r="F91" s="549"/>
      <c r="G91" s="550"/>
      <c r="H91" s="551"/>
    </row>
    <row r="92" spans="1:8" ht="12" customHeight="1" x14ac:dyDescent="0.25">
      <c r="A92" s="575" t="s">
        <v>156</v>
      </c>
      <c r="B92" s="649" t="s">
        <v>157</v>
      </c>
      <c r="C92" s="650"/>
      <c r="D92" s="650"/>
      <c r="E92" s="556"/>
      <c r="F92" s="549"/>
      <c r="G92" s="550"/>
      <c r="H92" s="551"/>
    </row>
    <row r="93" spans="1:8" ht="12" customHeight="1" x14ac:dyDescent="0.25">
      <c r="A93" s="574" t="s">
        <v>158</v>
      </c>
      <c r="B93" s="641" t="s">
        <v>159</v>
      </c>
      <c r="C93" s="651"/>
      <c r="D93" s="651"/>
      <c r="E93" s="558"/>
      <c r="F93" s="549"/>
      <c r="G93" s="550"/>
      <c r="H93" s="551"/>
    </row>
    <row r="94" spans="1:8" ht="17.25" customHeight="1" x14ac:dyDescent="0.25">
      <c r="A94" s="574" t="s">
        <v>160</v>
      </c>
      <c r="B94" s="641" t="s">
        <v>161</v>
      </c>
      <c r="C94" s="651"/>
      <c r="D94" s="651"/>
      <c r="E94" s="558"/>
      <c r="F94" s="549"/>
      <c r="G94" s="550"/>
      <c r="H94" s="551"/>
    </row>
    <row r="95" spans="1:8" ht="17.25" customHeight="1" x14ac:dyDescent="0.25">
      <c r="A95" s="574" t="s">
        <v>162</v>
      </c>
      <c r="B95" s="641" t="s">
        <v>163</v>
      </c>
      <c r="C95" s="651"/>
      <c r="D95" s="651"/>
      <c r="E95" s="558"/>
      <c r="F95" s="549"/>
      <c r="G95" s="550"/>
      <c r="H95" s="551"/>
    </row>
    <row r="96" spans="1:8" s="541" customFormat="1" ht="16.5" customHeight="1" x14ac:dyDescent="0.25">
      <c r="A96" s="574" t="s">
        <v>164</v>
      </c>
      <c r="B96" s="641" t="s">
        <v>165</v>
      </c>
      <c r="C96" s="651"/>
      <c r="D96" s="651"/>
      <c r="E96" s="558"/>
      <c r="F96" s="549"/>
      <c r="G96" s="576"/>
      <c r="H96" s="551"/>
    </row>
    <row r="97" spans="1:8" ht="12" customHeight="1" thickBot="1" x14ac:dyDescent="0.3">
      <c r="A97" s="167" t="s">
        <v>166</v>
      </c>
      <c r="B97" s="765" t="s">
        <v>167</v>
      </c>
      <c r="C97" s="766"/>
      <c r="D97" s="766"/>
      <c r="E97" s="577"/>
      <c r="F97" s="578"/>
      <c r="G97" s="550"/>
      <c r="H97" s="579"/>
    </row>
    <row r="98" spans="1:8" ht="12" customHeight="1" thickBot="1" x14ac:dyDescent="0.3">
      <c r="A98" s="361" t="s">
        <v>168</v>
      </c>
      <c r="B98" s="580"/>
      <c r="C98" s="581"/>
      <c r="D98" s="581"/>
      <c r="E98" s="582">
        <f>SUM(E67)</f>
        <v>379044</v>
      </c>
      <c r="F98" s="583">
        <f>SUM(F80,F68)</f>
        <v>398820</v>
      </c>
      <c r="G98" s="583">
        <f>SUM(G80,G68,G86)</f>
        <v>309113</v>
      </c>
      <c r="H98" s="579">
        <f t="shared" si="1"/>
        <v>77.506895341256708</v>
      </c>
    </row>
    <row r="99" spans="1:8" ht="18.75" customHeight="1" thickBot="1" x14ac:dyDescent="0.3">
      <c r="A99" s="520" t="s">
        <v>169</v>
      </c>
      <c r="B99" s="584"/>
      <c r="C99" s="585"/>
      <c r="D99" s="586"/>
      <c r="E99" s="587">
        <f>SUM(E98,E66)</f>
        <v>4677743</v>
      </c>
      <c r="F99" s="588">
        <f>SUM(F98,F66)</f>
        <v>5974463</v>
      </c>
      <c r="G99" s="588">
        <f>SUM(G98,G66)</f>
        <v>5331491</v>
      </c>
      <c r="H99" s="579">
        <f t="shared" si="1"/>
        <v>89.237995113535732</v>
      </c>
    </row>
    <row r="100" spans="1:8" ht="21.75" customHeight="1" thickBot="1" x14ac:dyDescent="0.3">
      <c r="A100" s="762" t="s">
        <v>170</v>
      </c>
      <c r="B100" s="763"/>
      <c r="C100" s="763"/>
      <c r="D100" s="763"/>
      <c r="E100" s="763"/>
      <c r="F100" s="763"/>
      <c r="G100" s="763"/>
      <c r="H100" s="764"/>
    </row>
    <row r="101" spans="1:8" x14ac:dyDescent="0.25">
      <c r="A101" s="589" t="s">
        <v>171</v>
      </c>
      <c r="B101" s="590"/>
      <c r="C101" s="590"/>
      <c r="D101" s="590"/>
      <c r="E101" s="591"/>
      <c r="F101" s="591"/>
      <c r="G101" s="592"/>
      <c r="H101" s="593"/>
    </row>
    <row r="102" spans="1:8" x14ac:dyDescent="0.25">
      <c r="A102" s="169" t="s">
        <v>172</v>
      </c>
      <c r="B102" s="325" t="s">
        <v>173</v>
      </c>
      <c r="C102" s="330"/>
      <c r="D102" s="330"/>
      <c r="E102" s="558">
        <v>125486</v>
      </c>
      <c r="F102" s="549">
        <v>307344</v>
      </c>
      <c r="G102" s="550">
        <v>297729</v>
      </c>
      <c r="H102" s="594">
        <f>G102/F102*100</f>
        <v>96.871583632672184</v>
      </c>
    </row>
    <row r="103" spans="1:8" x14ac:dyDescent="0.25">
      <c r="A103" s="169" t="s">
        <v>174</v>
      </c>
      <c r="B103" s="106" t="s">
        <v>175</v>
      </c>
      <c r="C103" s="108"/>
      <c r="D103" s="108"/>
      <c r="E103" s="558">
        <v>27634</v>
      </c>
      <c r="F103" s="549">
        <v>55275</v>
      </c>
      <c r="G103" s="550">
        <v>52767</v>
      </c>
      <c r="H103" s="594">
        <f t="shared" ref="H103:H138" si="2">G103/F103*100</f>
        <v>95.462686567164184</v>
      </c>
    </row>
    <row r="104" spans="1:8" x14ac:dyDescent="0.25">
      <c r="A104" s="169" t="s">
        <v>176</v>
      </c>
      <c r="B104" s="325" t="s">
        <v>177</v>
      </c>
      <c r="C104" s="330"/>
      <c r="D104" s="330"/>
      <c r="E104" s="558">
        <v>471703</v>
      </c>
      <c r="F104" s="595">
        <v>1024775</v>
      </c>
      <c r="G104" s="550">
        <v>728576</v>
      </c>
      <c r="H104" s="594">
        <f t="shared" si="2"/>
        <v>71.096191846990806</v>
      </c>
    </row>
    <row r="105" spans="1:8" x14ac:dyDescent="0.25">
      <c r="A105" s="169" t="s">
        <v>178</v>
      </c>
      <c r="B105" s="106" t="s">
        <v>179</v>
      </c>
      <c r="C105" s="104"/>
      <c r="D105" s="104"/>
      <c r="E105" s="558">
        <v>9278</v>
      </c>
      <c r="F105" s="549">
        <v>6136</v>
      </c>
      <c r="G105" s="550">
        <v>5290</v>
      </c>
      <c r="H105" s="594">
        <f t="shared" si="2"/>
        <v>86.21251629726207</v>
      </c>
    </row>
    <row r="106" spans="1:8" x14ac:dyDescent="0.25">
      <c r="A106" s="169" t="s">
        <v>180</v>
      </c>
      <c r="B106" s="106" t="s">
        <v>181</v>
      </c>
      <c r="C106" s="104"/>
      <c r="D106" s="104"/>
      <c r="E106" s="558">
        <v>180737</v>
      </c>
      <c r="F106" s="549">
        <v>187777</v>
      </c>
      <c r="G106" s="550">
        <v>187775</v>
      </c>
      <c r="H106" s="594">
        <f t="shared" si="2"/>
        <v>99.998934906830968</v>
      </c>
    </row>
    <row r="107" spans="1:8" x14ac:dyDescent="0.25">
      <c r="A107" s="169" t="s">
        <v>182</v>
      </c>
      <c r="B107" s="106" t="s">
        <v>183</v>
      </c>
      <c r="C107" s="104"/>
      <c r="D107" s="104"/>
      <c r="E107" s="558"/>
      <c r="F107" s="549"/>
      <c r="G107" s="550"/>
      <c r="H107" s="594"/>
    </row>
    <row r="108" spans="1:8" x14ac:dyDescent="0.25">
      <c r="A108" s="169" t="s">
        <v>184</v>
      </c>
      <c r="B108" s="106" t="s">
        <v>185</v>
      </c>
      <c r="C108" s="330"/>
      <c r="D108" s="330"/>
      <c r="E108" s="558"/>
      <c r="F108" s="549">
        <v>950</v>
      </c>
      <c r="G108" s="550">
        <v>950</v>
      </c>
      <c r="H108" s="594">
        <f t="shared" si="2"/>
        <v>100</v>
      </c>
    </row>
    <row r="109" spans="1:8" x14ac:dyDescent="0.25">
      <c r="A109" s="169" t="s">
        <v>186</v>
      </c>
      <c r="B109" s="325" t="s">
        <v>187</v>
      </c>
      <c r="C109" s="104"/>
      <c r="D109" s="104"/>
      <c r="E109" s="558"/>
      <c r="F109" s="549"/>
      <c r="G109" s="550"/>
      <c r="H109" s="594"/>
    </row>
    <row r="110" spans="1:8" x14ac:dyDescent="0.25">
      <c r="A110" s="169" t="s">
        <v>188</v>
      </c>
      <c r="B110" s="76" t="s">
        <v>189</v>
      </c>
      <c r="C110" s="104"/>
      <c r="D110" s="104"/>
      <c r="E110" s="558">
        <v>726904</v>
      </c>
      <c r="F110" s="595">
        <v>763141</v>
      </c>
      <c r="G110" s="550">
        <v>758790</v>
      </c>
      <c r="H110" s="594">
        <f t="shared" si="2"/>
        <v>99.429856343716295</v>
      </c>
    </row>
    <row r="111" spans="1:8" x14ac:dyDescent="0.25">
      <c r="A111" s="169" t="s">
        <v>190</v>
      </c>
      <c r="B111" s="76" t="s">
        <v>191</v>
      </c>
      <c r="C111" s="330"/>
      <c r="D111" s="330"/>
      <c r="E111" s="558"/>
      <c r="F111" s="549"/>
      <c r="G111" s="550"/>
      <c r="H111" s="594"/>
    </row>
    <row r="112" spans="1:8" x14ac:dyDescent="0.25">
      <c r="A112" s="169" t="s">
        <v>192</v>
      </c>
      <c r="B112" s="325" t="s">
        <v>193</v>
      </c>
      <c r="C112" s="104"/>
      <c r="D112" s="104"/>
      <c r="E112" s="558"/>
      <c r="F112" s="549">
        <v>450</v>
      </c>
      <c r="G112" s="550">
        <v>371</v>
      </c>
      <c r="H112" s="594">
        <f t="shared" si="2"/>
        <v>82.444444444444443</v>
      </c>
    </row>
    <row r="113" spans="1:8" x14ac:dyDescent="0.25">
      <c r="A113" s="169" t="s">
        <v>194</v>
      </c>
      <c r="B113" s="325" t="s">
        <v>195</v>
      </c>
      <c r="C113" s="104"/>
      <c r="D113" s="104"/>
      <c r="E113" s="558">
        <v>300</v>
      </c>
      <c r="F113" s="549">
        <v>716</v>
      </c>
      <c r="G113" s="550">
        <v>582</v>
      </c>
      <c r="H113" s="594">
        <f t="shared" si="2"/>
        <v>81.284916201117312</v>
      </c>
    </row>
    <row r="114" spans="1:8" x14ac:dyDescent="0.25">
      <c r="A114" s="169" t="s">
        <v>196</v>
      </c>
      <c r="B114" s="325" t="s">
        <v>197</v>
      </c>
      <c r="C114" s="330"/>
      <c r="D114" s="330"/>
      <c r="E114" s="558"/>
      <c r="F114" s="549"/>
      <c r="G114" s="550"/>
      <c r="H114" s="594"/>
    </row>
    <row r="115" spans="1:8" x14ac:dyDescent="0.25">
      <c r="A115" s="169" t="s">
        <v>198</v>
      </c>
      <c r="B115" s="325" t="s">
        <v>199</v>
      </c>
      <c r="C115" s="330"/>
      <c r="D115" s="330"/>
      <c r="E115" s="558"/>
      <c r="F115" s="549"/>
      <c r="G115" s="550"/>
      <c r="H115" s="594"/>
    </row>
    <row r="116" spans="1:8" x14ac:dyDescent="0.25">
      <c r="A116" s="169" t="s">
        <v>200</v>
      </c>
      <c r="B116" s="325" t="s">
        <v>201</v>
      </c>
      <c r="C116" s="330"/>
      <c r="D116" s="330"/>
      <c r="E116" s="558">
        <v>14777</v>
      </c>
      <c r="F116" s="549">
        <v>23213</v>
      </c>
      <c r="G116" s="550">
        <v>18685</v>
      </c>
      <c r="H116" s="594">
        <f t="shared" si="2"/>
        <v>80.493688881230341</v>
      </c>
    </row>
    <row r="117" spans="1:8" x14ac:dyDescent="0.25">
      <c r="A117" s="169" t="s">
        <v>202</v>
      </c>
      <c r="B117" s="325" t="s">
        <v>203</v>
      </c>
      <c r="C117" s="330"/>
      <c r="D117" s="330"/>
      <c r="E117" s="558">
        <v>29220</v>
      </c>
      <c r="F117" s="549">
        <v>0</v>
      </c>
      <c r="G117" s="550"/>
      <c r="H117" s="594"/>
    </row>
    <row r="118" spans="1:8" x14ac:dyDescent="0.25">
      <c r="A118" s="169"/>
      <c r="B118" s="328" t="s">
        <v>204</v>
      </c>
      <c r="C118" s="330"/>
      <c r="D118" s="330"/>
      <c r="E118" s="556">
        <f>SUM(E102:E117)</f>
        <v>1586039</v>
      </c>
      <c r="F118" s="557">
        <f>SUM(F102:F117)</f>
        <v>2369777</v>
      </c>
      <c r="G118" s="557">
        <f>SUM(G102:G117)</f>
        <v>2051515</v>
      </c>
      <c r="H118" s="594">
        <f t="shared" si="2"/>
        <v>86.569959958257684</v>
      </c>
    </row>
    <row r="119" spans="1:8" x14ac:dyDescent="0.25">
      <c r="A119" s="351" t="s">
        <v>205</v>
      </c>
      <c r="B119" s="596"/>
      <c r="C119" s="597"/>
      <c r="D119" s="598"/>
      <c r="E119" s="599"/>
      <c r="F119" s="600"/>
      <c r="G119" s="550"/>
      <c r="H119" s="594"/>
    </row>
    <row r="120" spans="1:8" x14ac:dyDescent="0.25">
      <c r="A120" s="169" t="s">
        <v>38</v>
      </c>
      <c r="B120" s="325" t="s">
        <v>206</v>
      </c>
      <c r="C120" s="330"/>
      <c r="D120" s="330"/>
      <c r="E120" s="558">
        <v>2517117</v>
      </c>
      <c r="F120" s="549">
        <v>2545477</v>
      </c>
      <c r="G120" s="550">
        <v>2171281</v>
      </c>
      <c r="H120" s="594">
        <f t="shared" si="2"/>
        <v>85.299572535913697</v>
      </c>
    </row>
    <row r="121" spans="1:8" x14ac:dyDescent="0.25">
      <c r="A121" s="169" t="s">
        <v>207</v>
      </c>
      <c r="B121" s="76" t="s">
        <v>208</v>
      </c>
      <c r="C121" s="330"/>
      <c r="D121" s="330"/>
      <c r="E121" s="561">
        <v>294139</v>
      </c>
      <c r="F121" s="562">
        <v>454398</v>
      </c>
      <c r="G121" s="565">
        <v>39768</v>
      </c>
      <c r="H121" s="594">
        <f t="shared" si="2"/>
        <v>8.7517990836227266</v>
      </c>
    </row>
    <row r="122" spans="1:8" x14ac:dyDescent="0.25">
      <c r="A122" s="169"/>
      <c r="B122" s="325" t="s">
        <v>209</v>
      </c>
      <c r="C122" s="104"/>
      <c r="D122" s="104"/>
      <c r="E122" s="561">
        <v>2053720</v>
      </c>
      <c r="F122" s="562">
        <v>2206779</v>
      </c>
      <c r="G122" s="565">
        <v>2084772</v>
      </c>
      <c r="H122" s="594">
        <f t="shared" si="2"/>
        <v>94.471263320885328</v>
      </c>
    </row>
    <row r="123" spans="1:8" x14ac:dyDescent="0.25">
      <c r="A123" s="169" t="s">
        <v>210</v>
      </c>
      <c r="B123" s="325" t="s">
        <v>211</v>
      </c>
      <c r="C123" s="104"/>
      <c r="D123" s="104"/>
      <c r="E123" s="558">
        <v>27240</v>
      </c>
      <c r="F123" s="549">
        <v>56244</v>
      </c>
      <c r="G123" s="550">
        <v>35954</v>
      </c>
      <c r="H123" s="594">
        <f t="shared" si="2"/>
        <v>63.925040893250838</v>
      </c>
    </row>
    <row r="124" spans="1:8" x14ac:dyDescent="0.25">
      <c r="A124" s="169"/>
      <c r="B124" s="325" t="s">
        <v>212</v>
      </c>
      <c r="C124" s="330"/>
      <c r="D124" s="330"/>
      <c r="E124" s="558"/>
      <c r="F124" s="549"/>
      <c r="G124" s="550"/>
      <c r="H124" s="594"/>
    </row>
    <row r="125" spans="1:8" x14ac:dyDescent="0.25">
      <c r="A125" s="169" t="s">
        <v>213</v>
      </c>
      <c r="B125" s="63" t="s">
        <v>183</v>
      </c>
      <c r="C125" s="330"/>
      <c r="D125" s="330"/>
      <c r="E125" s="558"/>
      <c r="F125" s="595"/>
      <c r="G125" s="550"/>
      <c r="H125" s="594"/>
    </row>
    <row r="126" spans="1:8" x14ac:dyDescent="0.25">
      <c r="A126" s="169" t="s">
        <v>214</v>
      </c>
      <c r="B126" s="63" t="s">
        <v>185</v>
      </c>
      <c r="C126" s="104"/>
      <c r="D126" s="104"/>
      <c r="E126" s="558"/>
      <c r="F126" s="595"/>
      <c r="G126" s="550"/>
      <c r="H126" s="594"/>
    </row>
    <row r="127" spans="1:8" x14ac:dyDescent="0.25">
      <c r="A127" s="169" t="s">
        <v>215</v>
      </c>
      <c r="B127" s="325" t="s">
        <v>187</v>
      </c>
      <c r="C127" s="104"/>
      <c r="D127" s="104"/>
      <c r="E127" s="558"/>
      <c r="F127" s="549"/>
      <c r="G127" s="550"/>
      <c r="H127" s="594"/>
    </row>
    <row r="128" spans="1:8" x14ac:dyDescent="0.25">
      <c r="A128" s="169" t="s">
        <v>216</v>
      </c>
      <c r="B128" s="63" t="s">
        <v>217</v>
      </c>
      <c r="C128" s="104"/>
      <c r="D128" s="104"/>
      <c r="E128" s="558">
        <v>25597</v>
      </c>
      <c r="F128" s="549">
        <v>459541</v>
      </c>
      <c r="G128" s="550">
        <v>453991</v>
      </c>
      <c r="H128" s="594">
        <f t="shared" si="2"/>
        <v>98.79227315952221</v>
      </c>
    </row>
    <row r="129" spans="1:8" x14ac:dyDescent="0.25">
      <c r="A129" s="169" t="s">
        <v>218</v>
      </c>
      <c r="B129" s="201" t="s">
        <v>191</v>
      </c>
      <c r="C129" s="330"/>
      <c r="D129" s="330"/>
      <c r="E129" s="558"/>
      <c r="F129" s="549"/>
      <c r="G129" s="550"/>
      <c r="H129" s="594"/>
    </row>
    <row r="130" spans="1:8" x14ac:dyDescent="0.25">
      <c r="A130" s="169" t="s">
        <v>219</v>
      </c>
      <c r="B130" s="325" t="s">
        <v>193</v>
      </c>
      <c r="C130" s="104"/>
      <c r="D130" s="104"/>
      <c r="E130" s="558">
        <v>1000</v>
      </c>
      <c r="F130" s="549">
        <v>27318</v>
      </c>
      <c r="G130" s="550">
        <v>19184</v>
      </c>
      <c r="H130" s="594">
        <f t="shared" si="2"/>
        <v>70.224760231349293</v>
      </c>
    </row>
    <row r="131" spans="1:8" x14ac:dyDescent="0.25">
      <c r="A131" s="169" t="s">
        <v>220</v>
      </c>
      <c r="B131" s="76" t="s">
        <v>221</v>
      </c>
      <c r="C131" s="104"/>
      <c r="D131" s="104"/>
      <c r="E131" s="558"/>
      <c r="F131" s="549"/>
      <c r="G131" s="550"/>
      <c r="H131" s="594"/>
    </row>
    <row r="132" spans="1:8" x14ac:dyDescent="0.25">
      <c r="A132" s="169" t="s">
        <v>222</v>
      </c>
      <c r="B132" s="325" t="s">
        <v>223</v>
      </c>
      <c r="C132" s="330"/>
      <c r="D132" s="330"/>
      <c r="E132" s="558">
        <v>66602</v>
      </c>
      <c r="F132" s="549">
        <v>0</v>
      </c>
      <c r="G132" s="550"/>
      <c r="H132" s="594"/>
    </row>
    <row r="133" spans="1:8" x14ac:dyDescent="0.25">
      <c r="A133" s="169" t="s">
        <v>224</v>
      </c>
      <c r="B133" s="76" t="s">
        <v>225</v>
      </c>
      <c r="C133" s="104"/>
      <c r="D133" s="104"/>
      <c r="E133" s="558">
        <v>1000</v>
      </c>
      <c r="F133" s="549">
        <v>20575</v>
      </c>
      <c r="G133" s="550">
        <v>19575</v>
      </c>
      <c r="H133" s="594">
        <f t="shared" si="2"/>
        <v>95.139732685297702</v>
      </c>
    </row>
    <row r="134" spans="1:8" ht="16.5" thickBot="1" x14ac:dyDescent="0.3">
      <c r="A134" s="601"/>
      <c r="B134" s="382" t="s">
        <v>226</v>
      </c>
      <c r="C134" s="602"/>
      <c r="D134" s="602"/>
      <c r="E134" s="603">
        <f>SUM(E123:E133,E120)</f>
        <v>2638556</v>
      </c>
      <c r="F134" s="604">
        <f>SUM(F120:F133)-F122-F121</f>
        <v>3109155</v>
      </c>
      <c r="G134" s="604">
        <f>SUM(G120:G133)-G122-G121</f>
        <v>2699985</v>
      </c>
      <c r="H134" s="605">
        <f t="shared" si="2"/>
        <v>86.839832687659509</v>
      </c>
    </row>
    <row r="135" spans="1:8" ht="13.5" customHeight="1" x14ac:dyDescent="0.25">
      <c r="A135" s="134" t="s">
        <v>227</v>
      </c>
      <c r="B135" s="133" t="s">
        <v>228</v>
      </c>
      <c r="C135" s="357"/>
      <c r="D135" s="104"/>
      <c r="E135" s="544">
        <v>453148</v>
      </c>
      <c r="F135" s="606">
        <v>466563</v>
      </c>
      <c r="G135" s="573">
        <v>416150</v>
      </c>
      <c r="H135" s="607">
        <f t="shared" si="2"/>
        <v>89.19481399082224</v>
      </c>
    </row>
    <row r="136" spans="1:8" ht="13.5" customHeight="1" thickBot="1" x14ac:dyDescent="0.3">
      <c r="A136" s="134" t="s">
        <v>36</v>
      </c>
      <c r="B136" s="135" t="s">
        <v>229</v>
      </c>
      <c r="C136" s="608"/>
      <c r="D136" s="608"/>
      <c r="E136" s="609"/>
      <c r="F136" s="603">
        <v>28968</v>
      </c>
      <c r="G136" s="573">
        <v>28968</v>
      </c>
      <c r="H136" s="605">
        <f t="shared" si="2"/>
        <v>100</v>
      </c>
    </row>
    <row r="137" spans="1:8" ht="21.75" customHeight="1" thickBot="1" x14ac:dyDescent="0.3">
      <c r="A137" s="610" t="s">
        <v>230</v>
      </c>
      <c r="B137" s="611"/>
      <c r="C137" s="612"/>
      <c r="D137" s="613"/>
      <c r="E137" s="582">
        <f>SUM(E134,E118)</f>
        <v>4224595</v>
      </c>
      <c r="F137" s="582">
        <f>SUM(F134,F118)</f>
        <v>5478932</v>
      </c>
      <c r="G137" s="582">
        <f>SUM(G134,G118)</f>
        <v>4751500</v>
      </c>
      <c r="H137" s="605">
        <f t="shared" si="2"/>
        <v>86.723105889980019</v>
      </c>
    </row>
    <row r="138" spans="1:8" ht="18" customHeight="1" thickBot="1" x14ac:dyDescent="0.3">
      <c r="A138" s="614" t="s">
        <v>231</v>
      </c>
      <c r="B138" s="615"/>
      <c r="C138" s="616"/>
      <c r="D138" s="617"/>
      <c r="E138" s="618">
        <f>SUM(E137,E135)</f>
        <v>4677743</v>
      </c>
      <c r="F138" s="619">
        <f>SUM(F137,F136,F135)</f>
        <v>5974463</v>
      </c>
      <c r="G138" s="619">
        <f>SUM(G137,G136,G135)</f>
        <v>5196618</v>
      </c>
      <c r="H138" s="605">
        <f t="shared" si="2"/>
        <v>86.980503519730561</v>
      </c>
    </row>
    <row r="140" spans="1:8" x14ac:dyDescent="0.25">
      <c r="F140" s="528"/>
    </row>
  </sheetData>
  <mergeCells count="46">
    <mergeCell ref="B37:D37"/>
    <mergeCell ref="G1:H1"/>
    <mergeCell ref="B35:D35"/>
    <mergeCell ref="A3:C3"/>
    <mergeCell ref="B6:D6"/>
    <mergeCell ref="B7:D7"/>
    <mergeCell ref="B8:D8"/>
    <mergeCell ref="B11:D11"/>
    <mergeCell ref="B12:D12"/>
    <mergeCell ref="B13:D13"/>
    <mergeCell ref="B14:D14"/>
    <mergeCell ref="B15:D15"/>
    <mergeCell ref="A9:H9"/>
    <mergeCell ref="E6:H6"/>
    <mergeCell ref="B88:D88"/>
    <mergeCell ref="B92:D92"/>
    <mergeCell ref="B75:D75"/>
    <mergeCell ref="B36:D36"/>
    <mergeCell ref="B55:D55"/>
    <mergeCell ref="B56:D56"/>
    <mergeCell ref="B62:D62"/>
    <mergeCell ref="A66:D66"/>
    <mergeCell ref="B67:D67"/>
    <mergeCell ref="B69:D69"/>
    <mergeCell ref="B71:D71"/>
    <mergeCell ref="B72:D72"/>
    <mergeCell ref="B73:D73"/>
    <mergeCell ref="B74:D74"/>
    <mergeCell ref="B87:D87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93:D93"/>
    <mergeCell ref="B94:D94"/>
    <mergeCell ref="B95:D95"/>
    <mergeCell ref="B96:D96"/>
    <mergeCell ref="A100:H100"/>
    <mergeCell ref="B97:D97"/>
  </mergeCells>
  <pageMargins left="0.70866141732283472" right="0.70866141732283472" top="0.74803149606299213" bottom="0.74803149606299213" header="0.31496062992125984" footer="0.31496062992125984"/>
  <pageSetup paperSize="8" scale="91" fitToHeight="2" orientation="portrait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3amell_zárszám_2015</vt:lpstr>
      <vt:lpstr>3mell_zárszám_2015</vt:lpstr>
      <vt:lpstr>'3amell_zárszám_2015'!Nyomtatási_terület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2016-05-11T08:39:52Z</dcterms:modified>
</cp:coreProperties>
</file>