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 (2)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Egyéb működési" sheetId="7" r:id="rId7"/>
    <sheet name="beruházás" sheetId="8" r:id="rId8"/>
    <sheet name="felújítás" sheetId="9" r:id="rId9"/>
    <sheet name="közgazd. mérleg" sheetId="10" r:id="rId10"/>
    <sheet name=".előirányzat felh.ü." sheetId="11" r:id="rId11"/>
  </sheets>
  <definedNames>
    <definedName name="_xlnm.Print_Area" localSheetId="3">'Köt.önként v. bevétel '!$A$1:$G$23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7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<sst xmlns="http://schemas.openxmlformats.org/spreadsheetml/2006/main" count="698" uniqueCount="412">
  <si>
    <t>tervezett</t>
  </si>
  <si>
    <t>%-a</t>
  </si>
  <si>
    <t>Porpác község Önkormányzata</t>
  </si>
  <si>
    <t>Megnevezés</t>
  </si>
  <si>
    <t>PORPÁC KÖZSÉG ÖNKORMÁNYZATA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</si>
  <si>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</si>
  <si>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</si>
  <si>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</si>
  <si>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</si>
  <si>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</si>
  <si>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</si>
  <si>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</si>
  <si>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</si>
  <si>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</si>
  <si>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</si>
  <si>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</si>
  <si>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</si>
  <si>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</si>
  <si>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</si>
  <si>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</si>
  <si>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</si>
  <si>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</si>
  <si>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</si>
  <si>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</si>
  <si>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</si>
  <si>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</si>
  <si>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</si>
  <si>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</si>
  <si>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</si>
  <si>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</si>
  <si>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</si>
  <si>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</si>
  <si>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</si>
  <si>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</si>
  <si>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</si>
  <si>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</si>
  <si>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</si>
  <si>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</si>
  <si>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</si>
  <si>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</si>
  <si>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</si>
  <si>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</si>
  <si>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</si>
  <si>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</si>
  <si>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</si>
  <si>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</si>
  <si>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</si>
  <si>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</si>
  <si>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</si>
  <si>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</si>
  <si>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</si>
  <si>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</si>
  <si>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</si>
  <si>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</si>
  <si>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</si>
  <si>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</si>
  <si>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</si>
  <si>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</si>
  <si>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</si>
  <si>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</si>
  <si>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</si>
  <si>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</si>
  <si>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</si>
  <si>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</si>
  <si>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</si>
  <si>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</si>
  <si>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</si>
  <si>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</si>
  <si>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</si>
  <si>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</si>
  <si>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</si>
  <si>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</si>
  <si>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</si>
  <si>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</si>
  <si>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</si>
  <si>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</si>
  <si>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</si>
  <si>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</si>
  <si>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</si>
  <si>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</si>
  <si>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</si>
  <si>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</si>
  <si>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</si>
  <si>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</si>
  <si>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</si>
  <si>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</si>
  <si>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</si>
  <si>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</si>
  <si>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</si>
  <si>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</si>
  <si>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</si>
  <si>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</si>
  <si>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</si>
  <si>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</si>
  <si>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</si>
  <si>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</si>
  <si>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</si>
  <si>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</si>
  <si>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</si>
  <si>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</si>
  <si>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</si>
  <si>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</si>
  <si>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</si>
  <si>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</si>
  <si>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</si>
  <si>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</si>
  <si>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</si>
  <si>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</si>
  <si>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</si>
  <si>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</si>
  <si>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</si>
  <si>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</si>
  <si>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</si>
  <si>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</si>
  <si>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</si>
  <si>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</si>
  <si>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</si>
  <si>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</si>
  <si>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</si>
  <si>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</si>
  <si>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</si>
  <si>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</si>
  <si>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</si>
  <si>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</si>
  <si>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</si>
  <si>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</si>
  <si>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</si>
  <si>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</si>
  <si>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</si>
  <si>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</si>
  <si>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</si>
  <si>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</si>
  <si>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</si>
  <si>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</si>
  <si>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</si>
  <si>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</si>
  <si>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</si>
  <si>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</si>
  <si>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</si>
  <si>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</si>
  <si>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</si>
  <si>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</si>
  <si>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</si>
  <si>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</si>
  <si>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</si>
  <si>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</si>
  <si>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</si>
  <si>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</si>
  <si>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</si>
  <si>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</si>
  <si>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</si>
  <si>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</si>
  <si>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</si>
  <si>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</si>
  <si>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</si>
  <si>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</si>
  <si>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</si>
  <si>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</si>
  <si>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</si>
  <si>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</si>
  <si>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</si>
  <si>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</si>
  <si>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</si>
  <si>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</si>
  <si>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</si>
  <si>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</si>
  <si>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</si>
  <si>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</si>
  <si>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</si>
  <si>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</si>
  <si>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</si>
  <si>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</si>
  <si>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</si>
  <si>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</si>
  <si>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</si>
  <si>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</si>
  <si>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</si>
  <si>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</si>
  <si>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</si>
  <si>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</si>
  <si>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</si>
  <si>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</si>
  <si>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</si>
  <si>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</si>
  <si>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</si>
  <si>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</si>
  <si>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</si>
  <si>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</si>
  <si>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</si>
  <si>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</si>
  <si>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</si>
  <si>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</si>
  <si>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</si>
  <si>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</si>
  <si>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</si>
  <si>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</si>
  <si>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</si>
  <si>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</si>
  <si>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</si>
  <si>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</si>
  <si>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</si>
  <si>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</si>
  <si>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</si>
  <si>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</si>
  <si>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</si>
  <si>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</si>
  <si>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</si>
  <si>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</si>
  <si>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</si>
  <si>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</si>
  <si>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</si>
  <si>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</si>
  <si>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 xml:space="preserve"> Ft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</si>
  <si>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</si>
  <si>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</si>
  <si>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</si>
  <si>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</si>
  <si>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</si>
  <si>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</si>
  <si>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</si>
  <si>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</si>
  <si>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</si>
  <si>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</si>
  <si>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</si>
  <si>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</si>
  <si>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</si>
  <si>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</si>
  <si>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</si>
  <si>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</si>
  <si>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</si>
  <si>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</si>
  <si>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</si>
  <si>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</si>
  <si>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</si>
  <si>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</si>
  <si>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</si>
  <si>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</si>
  <si>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</si>
  <si>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</si>
  <si>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</si>
  <si>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</si>
  <si>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</si>
  <si>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</si>
  <si>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</si>
  <si>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</si>
  <si>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</si>
  <si>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</si>
  <si>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</si>
  <si>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</si>
  <si>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</si>
  <si>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</si>
  <si>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</si>
  <si>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</si>
  <si>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</si>
  <si>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</si>
  <si>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</si>
  <si>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</si>
  <si>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</si>
  <si>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</si>
  <si>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</si>
  <si>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</si>
  <si>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</si>
  <si>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</si>
  <si>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</si>
  <si>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</si>
  <si>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</si>
  <si>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</si>
  <si>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</si>
  <si>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</si>
  <si>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</si>
  <si>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</si>
  <si>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</si>
  <si>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</si>
  <si>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</si>
  <si>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</si>
  <si>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</si>
  <si>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</si>
  <si>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</si>
  <si>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</si>
  <si>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</si>
  <si>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</si>
  <si>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</si>
  <si>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</si>
  <si>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</si>
  <si>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</si>
  <si>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</si>
  <si>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 xml:space="preserve"> Ft </t>
  </si>
  <si>
    <t>adatok  Ft-ban</t>
  </si>
  <si>
    <t>(  Ft-ban)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</si>
  <si>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</si>
  <si>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</si>
  <si>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</si>
  <si>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</si>
  <si>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</si>
  <si>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sorszám</t>
  </si>
  <si>
    <t xml:space="preserve">Összesen: </t>
  </si>
  <si>
    <t>1.1.</t>
  </si>
  <si>
    <t>2.2.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</si>
  <si>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</si>
  <si>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</si>
  <si>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</si>
  <si>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</si>
  <si>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</si>
  <si>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</si>
  <si>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</si>
  <si>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</si>
  <si>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</si>
  <si>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</si>
  <si>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</si>
  <si>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</si>
  <si>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</si>
  <si>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</si>
  <si>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</si>
  <si>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</si>
  <si>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</si>
  <si>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</si>
  <si>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</si>
  <si>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</si>
  <si>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</si>
  <si>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</si>
  <si>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</si>
  <si>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</si>
  <si>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</si>
  <si>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</si>
  <si>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</si>
  <si>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</si>
  <si>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</si>
  <si>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</si>
  <si>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1.7.</t>
  </si>
  <si>
    <t>1.6.</t>
  </si>
  <si>
    <t>1.5.</t>
  </si>
  <si>
    <t>2018. év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</si>
  <si>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</si>
  <si>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</si>
  <si>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</si>
  <si>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2068/2017.(XII.28.) Korm.hat. Működési célú kiegészítő támogatás</t>
  </si>
  <si>
    <t>041233</t>
  </si>
  <si>
    <t>Hosszabb időtartamú közfoglalkoztatás</t>
  </si>
  <si>
    <t>2.2</t>
  </si>
  <si>
    <t>2.1.6.</t>
  </si>
  <si>
    <t>Ft</t>
  </si>
  <si>
    <t>Szociális ágazati összevont pótlék</t>
  </si>
  <si>
    <t>Működési célú költségvetési és kiegészítő támogatás</t>
  </si>
  <si>
    <t>Szociális célú tűzifavásárlás támogatása</t>
  </si>
  <si>
    <t>Működési célú költségvetési és kiegészítő támogatása</t>
  </si>
  <si>
    <t>-3-</t>
  </si>
  <si>
    <t>tervezett  előirányzat              ( Ft)</t>
  </si>
  <si>
    <t xml:space="preserve">2019. évi </t>
  </si>
  <si>
    <t>2019. évre</t>
  </si>
  <si>
    <t>2019. év</t>
  </si>
  <si>
    <t xml:space="preserve"> 2019. évi előirányzat-felhasználási ütemterve</t>
  </si>
  <si>
    <t>Intézményen kívüli gyermekétkeztetés</t>
  </si>
  <si>
    <t>063020 Víztermelés-,  kezelés-, ellátás</t>
  </si>
  <si>
    <t>Porpác,Bögöt ívóvízminőség-javtása pályázat építési munkák költségei</t>
  </si>
  <si>
    <t>Összesen: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</si>
  <si>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</si>
  <si>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</si>
  <si>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</si>
  <si>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</si>
  <si>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BERUHÁZÁSi KIADÁSOK</t>
  </si>
  <si>
    <t xml:space="preserve"> 066020 Város- és községgazdálkodási egyéb szolgáltatások</t>
  </si>
  <si>
    <t>3.1</t>
  </si>
  <si>
    <t>Kisértékű eszközbeszerzés ( fűnyíró )</t>
  </si>
  <si>
    <t>3.2.</t>
  </si>
  <si>
    <t xml:space="preserve"> - előző évi elszámolások kiadása államháztartáson belülre</t>
  </si>
  <si>
    <t>EGYÉB MŰKÖDÉSI ÉS FELHALMOZÁSI KIADÁSAI</t>
  </si>
  <si>
    <t>tervezett előirányzat</t>
  </si>
  <si>
    <t>EGYÉB MŰKÖDÉSI KIADÁSOK</t>
  </si>
  <si>
    <t>EGYÉB MŰKÖDÉSI CÉLÚ TÁMOGATÁSOK ÁLLAMHÁZTARTÁSON KÍVÜLRE</t>
  </si>
  <si>
    <t>Vasi Volán részére működési hozzájárulás</t>
  </si>
  <si>
    <t>Civil szervezetek támogatása</t>
  </si>
  <si>
    <t>1.1.2.2.</t>
  </si>
  <si>
    <t xml:space="preserve">  Kistérségi tagdíj</t>
  </si>
  <si>
    <t>1.1.2.3.</t>
  </si>
  <si>
    <t xml:space="preserve">  Sághegy LEADER tagdíj</t>
  </si>
  <si>
    <t>1.1.2.4</t>
  </si>
  <si>
    <t>TÖOSZ tagdíj</t>
  </si>
  <si>
    <t>BURSA Hungarica ösztöndíj pályázat támogatása</t>
  </si>
  <si>
    <t>EGYÉB MŰKÖDÉSI CÉLÚ TÁMOGATÁSOK ÁLLAMHÁZTARTÁSON KÍVÜLRE ÖSSZESEN:</t>
  </si>
  <si>
    <t>EGYÉB MŰKÖDÉSI  KIADÁSOK ÖSSZESEN:</t>
  </si>
  <si>
    <t>1.1.1</t>
  </si>
  <si>
    <t>1.1.2.</t>
  </si>
  <si>
    <t>1.1.3</t>
  </si>
  <si>
    <t>EGYÉB MŰKÖDÉSI CÉLÚ TÁMOGATÁSOK ÁLLAMHÁZTARTÁSON BELÜLRE</t>
  </si>
  <si>
    <t>2017. évi állami támogatások elszámolás utáni visszafizetési kötelezettség</t>
  </si>
  <si>
    <t>EGYÉB MŰKÖDÉSI CÉLÚ TÁMOGATÁSOK ÁLLAMHÁZTARTÁSON BELÜLRE ÖSSZESEN:</t>
  </si>
  <si>
    <t>TARTALÉK</t>
  </si>
  <si>
    <t>Jóváhagyva: ../2019.(IX....)</t>
  </si>
  <si>
    <t>Magyar Falu Program Közösségi ház felújítása</t>
  </si>
  <si>
    <t>" Porpác útrakél" Kirándulás támogatása</t>
  </si>
  <si>
    <t>4.1.</t>
  </si>
  <si>
    <t>107055 Falugondnoki szolgálat</t>
  </si>
  <si>
    <t>4.2.</t>
  </si>
  <si>
    <t>FELÚJÍTÁSI KIADÁSOK</t>
  </si>
  <si>
    <t>tervezett  előirányzat            ( Ft)</t>
  </si>
  <si>
    <t>066020 Város és községgazdálkodási egyéb szolgáltatások</t>
  </si>
  <si>
    <t>Megvásárolt ingatlan  (Művelődési ház) felújítására</t>
  </si>
  <si>
    <t>Felújítási célú előzetesen felszámított általános forgalmi adó</t>
  </si>
  <si>
    <t>FELÚJÍTÁSOK ÖSSZESEN:</t>
  </si>
  <si>
    <t>3.sz módosítása</t>
  </si>
  <si>
    <t>Kisértékű eszközbeszerzés ( fűnyíró, fa virágládák,permetező )</t>
  </si>
  <si>
    <t>Falugondnoki szolgálat  helyiségének villamossági felújítása</t>
  </si>
  <si>
    <t>1. sz. melléklet a 12/2019.(XII.03.) önkormányzati rendelethez</t>
  </si>
  <si>
    <t>2. sz. melléklet a 12/2019.(XII.03.) önkormányzati rendelethez</t>
  </si>
  <si>
    <t>3. sz. melléklet a 12/2019.(XII.03.) önkormányzati rendelethez</t>
  </si>
  <si>
    <t>4. sz. melléklet  a 12/2019.( XII.03.) önkormányzati rendelethez</t>
  </si>
  <si>
    <t>5. sz. melléklet a 12/2019.(XII.03.) sz. önkormányzati rendelethez</t>
  </si>
  <si>
    <t>6. sz . melléklet a 12/2019.(XII.03.) sz. önkormányzati rendelethez</t>
  </si>
  <si>
    <t>7. sz. melléklet a 12/2019.(XII.03.) sz. önkormányzati rendelethez</t>
  </si>
  <si>
    <t>8. sz. melléklet a 12/2019.(XII.03.) sz. önkormányzati rendelethez</t>
  </si>
  <si>
    <t>9. melléklet a 12/2019.(XII.03.) sz. önkormányzati rendelethez</t>
  </si>
  <si>
    <t>10. melléklet a 12./2019. (XII.03.)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</si>
</sst>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78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Arial Narrow"/>
      <family val="2"/>
    </font>
    <font>
      <b/>
      <sz val="16"/>
      <name val="Arial CE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name val="Times Bold Italic"/>
      <family val="1"/>
    </font>
    <font>
      <b/>
      <sz val="12"/>
      <name val="Times Bold Italic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Bold Italic"/>
      <family val="1"/>
    </font>
    <font>
      <sz val="12"/>
      <color indexed="8"/>
      <name val="Times Bold Italic"/>
      <family val="1"/>
    </font>
    <font>
      <b/>
      <sz val="10"/>
      <name val="Arial CE"/>
      <family val="0"/>
    </font>
    <font>
      <sz val="10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1" borderId="7" applyNumberFormat="0" applyFon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61" applyFont="1">
      <alignment/>
      <protection/>
    </xf>
    <xf numFmtId="0" fontId="15" fillId="0" borderId="0" xfId="61" applyFont="1" applyBorder="1">
      <alignment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56" applyFont="1">
      <alignment/>
      <protection/>
    </xf>
    <xf numFmtId="168" fontId="8" fillId="0" borderId="0" xfId="40" applyNumberFormat="1" applyFont="1" applyAlignment="1">
      <alignment/>
    </xf>
    <xf numFmtId="0" fontId="15" fillId="0" borderId="0" xfId="56" applyFont="1">
      <alignment/>
      <protection/>
    </xf>
    <xf numFmtId="168" fontId="15" fillId="0" borderId="0" xfId="40" applyNumberFormat="1" applyFont="1" applyAlignment="1">
      <alignment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22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24" fillId="0" borderId="0" xfId="40" applyNumberFormat="1" applyFont="1" applyAlignment="1">
      <alignment wrapText="1"/>
    </xf>
    <xf numFmtId="168" fontId="24" fillId="0" borderId="0" xfId="40" applyNumberFormat="1" applyFont="1" applyAlignment="1">
      <alignment/>
    </xf>
    <xf numFmtId="164" fontId="24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6" applyFont="1" applyBorder="1" applyAlignment="1">
      <alignment horizontal="center"/>
      <protection/>
    </xf>
    <xf numFmtId="0" fontId="9" fillId="0" borderId="0" xfId="59" applyFont="1" applyAlignment="1">
      <alignment horizontal="left" wrapText="1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left"/>
      <protection/>
    </xf>
    <xf numFmtId="0" fontId="9" fillId="0" borderId="0" xfId="59" applyFont="1" applyAlignment="1">
      <alignment vertical="justify"/>
      <protection/>
    </xf>
    <xf numFmtId="0" fontId="11" fillId="0" borderId="0" xfId="59" applyFont="1" applyAlignment="1">
      <alignment horizontal="left"/>
      <protection/>
    </xf>
    <xf numFmtId="0" fontId="11" fillId="0" borderId="0" xfId="56" applyFont="1" applyBorder="1" applyAlignment="1">
      <alignment horizontal="left" vertical="center"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6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6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5" fillId="0" borderId="0" xfId="56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168" fontId="5" fillId="0" borderId="0" xfId="40" applyNumberFormat="1" applyFont="1" applyAlignment="1">
      <alignment horizontal="center"/>
    </xf>
    <xf numFmtId="0" fontId="15" fillId="0" borderId="0" xfId="60" applyFont="1">
      <alignment/>
      <protection/>
    </xf>
    <xf numFmtId="0" fontId="15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61" applyFont="1" applyBorder="1" applyAlignment="1">
      <alignment horizontal="right"/>
      <protection/>
    </xf>
    <xf numFmtId="0" fontId="16" fillId="0" borderId="0" xfId="61" applyFont="1" applyBorder="1">
      <alignment/>
      <protection/>
    </xf>
    <xf numFmtId="0" fontId="15" fillId="0" borderId="0" xfId="61" applyFont="1" applyBorder="1" applyAlignment="1">
      <alignment/>
      <protection/>
    </xf>
    <xf numFmtId="0" fontId="16" fillId="0" borderId="0" xfId="61" applyFont="1" applyBorder="1" applyAlignment="1">
      <alignment horizontal="right"/>
      <protection/>
    </xf>
    <xf numFmtId="0" fontId="15" fillId="0" borderId="0" xfId="60" applyFont="1" applyBorder="1">
      <alignment/>
      <protection/>
    </xf>
    <xf numFmtId="0" fontId="15" fillId="0" borderId="0" xfId="60" applyFont="1" applyAlignment="1">
      <alignment horizontal="left" indent="14"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168" fontId="25" fillId="0" borderId="0" xfId="40" applyNumberFormat="1" applyFont="1" applyAlignment="1">
      <alignment/>
    </xf>
    <xf numFmtId="168" fontId="25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8" fontId="25" fillId="0" borderId="10" xfId="40" applyNumberFormat="1" applyFont="1" applyBorder="1" applyAlignment="1">
      <alignment/>
    </xf>
    <xf numFmtId="168" fontId="25" fillId="0" borderId="14" xfId="40" applyNumberFormat="1" applyFont="1" applyBorder="1" applyAlignment="1">
      <alignment/>
    </xf>
    <xf numFmtId="168" fontId="25" fillId="0" borderId="15" xfId="40" applyNumberFormat="1" applyFont="1" applyBorder="1" applyAlignment="1">
      <alignment/>
    </xf>
    <xf numFmtId="168" fontId="25" fillId="0" borderId="16" xfId="40" applyNumberFormat="1" applyFont="1" applyBorder="1" applyAlignment="1">
      <alignment/>
    </xf>
    <xf numFmtId="168" fontId="5" fillId="0" borderId="16" xfId="40" applyNumberFormat="1" applyFont="1" applyBorder="1" applyAlignment="1">
      <alignment/>
    </xf>
    <xf numFmtId="168" fontId="5" fillId="0" borderId="15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18" xfId="40" applyNumberFormat="1" applyFont="1" applyBorder="1" applyAlignment="1">
      <alignment horizontal="center"/>
    </xf>
    <xf numFmtId="168" fontId="5" fillId="0" borderId="19" xfId="40" applyNumberFormat="1" applyFont="1" applyBorder="1" applyAlignment="1">
      <alignment horizontal="center"/>
    </xf>
    <xf numFmtId="168" fontId="5" fillId="0" borderId="20" xfId="40" applyNumberFormat="1" applyFont="1" applyBorder="1" applyAlignment="1">
      <alignment horizontal="center"/>
    </xf>
    <xf numFmtId="168" fontId="25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22" xfId="40" applyNumberFormat="1" applyFont="1" applyBorder="1" applyAlignment="1">
      <alignment/>
    </xf>
    <xf numFmtId="168" fontId="5" fillId="0" borderId="23" xfId="40" applyNumberFormat="1" applyFont="1" applyBorder="1" applyAlignment="1">
      <alignment/>
    </xf>
    <xf numFmtId="168" fontId="5" fillId="0" borderId="24" xfId="40" applyNumberFormat="1" applyFont="1" applyBorder="1" applyAlignment="1">
      <alignment/>
    </xf>
    <xf numFmtId="0" fontId="5" fillId="0" borderId="25" xfId="0" applyFont="1" applyBorder="1" applyAlignment="1">
      <alignment/>
    </xf>
    <xf numFmtId="0" fontId="25" fillId="0" borderId="0" xfId="0" applyFont="1" applyBorder="1" applyAlignment="1">
      <alignment/>
    </xf>
    <xf numFmtId="168" fontId="5" fillId="0" borderId="20" xfId="40" applyNumberFormat="1" applyFont="1" applyBorder="1" applyAlignment="1">
      <alignment/>
    </xf>
    <xf numFmtId="168" fontId="5" fillId="0" borderId="18" xfId="40" applyNumberFormat="1" applyFont="1" applyBorder="1" applyAlignment="1">
      <alignment/>
    </xf>
    <xf numFmtId="168" fontId="5" fillId="0" borderId="19" xfId="40" applyNumberFormat="1" applyFont="1" applyBorder="1" applyAlignment="1">
      <alignment/>
    </xf>
    <xf numFmtId="168" fontId="5" fillId="0" borderId="26" xfId="4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wrapText="1"/>
    </xf>
    <xf numFmtId="168" fontId="5" fillId="0" borderId="28" xfId="40" applyNumberFormat="1" applyFont="1" applyBorder="1" applyAlignment="1">
      <alignment/>
    </xf>
    <xf numFmtId="168" fontId="5" fillId="0" borderId="29" xfId="4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168" fontId="5" fillId="0" borderId="28" xfId="40" applyNumberFormat="1" applyFont="1" applyBorder="1" applyAlignment="1">
      <alignment/>
    </xf>
    <xf numFmtId="0" fontId="5" fillId="0" borderId="28" xfId="0" applyFont="1" applyBorder="1" applyAlignment="1">
      <alignment/>
    </xf>
    <xf numFmtId="168" fontId="0" fillId="0" borderId="28" xfId="40" applyNumberFormat="1" applyFont="1" applyFill="1" applyBorder="1" applyAlignment="1">
      <alignment/>
    </xf>
    <xf numFmtId="168" fontId="0" fillId="0" borderId="30" xfId="40" applyNumberFormat="1" applyFont="1" applyFill="1" applyBorder="1" applyAlignment="1">
      <alignment/>
    </xf>
    <xf numFmtId="168" fontId="5" fillId="0" borderId="28" xfId="40" applyNumberFormat="1" applyFont="1" applyFill="1" applyBorder="1" applyAlignment="1">
      <alignment/>
    </xf>
    <xf numFmtId="168" fontId="5" fillId="0" borderId="30" xfId="40" applyNumberFormat="1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168" fontId="25" fillId="0" borderId="34" xfId="40" applyNumberFormat="1" applyFont="1" applyBorder="1" applyAlignment="1">
      <alignment/>
    </xf>
    <xf numFmtId="168" fontId="25" fillId="0" borderId="33" xfId="4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25" fillId="0" borderId="35" xfId="0" applyFont="1" applyBorder="1" applyAlignment="1">
      <alignment/>
    </xf>
    <xf numFmtId="168" fontId="5" fillId="0" borderId="36" xfId="40" applyNumberFormat="1" applyFont="1" applyBorder="1" applyAlignment="1">
      <alignment/>
    </xf>
    <xf numFmtId="168" fontId="5" fillId="0" borderId="30" xfId="40" applyNumberFormat="1" applyFont="1" applyBorder="1" applyAlignment="1">
      <alignment/>
    </xf>
    <xf numFmtId="0" fontId="5" fillId="0" borderId="33" xfId="0" applyFont="1" applyBorder="1" applyAlignment="1">
      <alignment/>
    </xf>
    <xf numFmtId="0" fontId="25" fillId="0" borderId="37" xfId="0" applyFont="1" applyBorder="1" applyAlignment="1">
      <alignment/>
    </xf>
    <xf numFmtId="168" fontId="5" fillId="0" borderId="38" xfId="40" applyNumberFormat="1" applyFont="1" applyBorder="1" applyAlignment="1">
      <alignment/>
    </xf>
    <xf numFmtId="168" fontId="5" fillId="0" borderId="39" xfId="40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0" xfId="61" applyFont="1" applyFill="1" applyBorder="1">
      <alignment/>
      <protection/>
    </xf>
    <xf numFmtId="0" fontId="15" fillId="0" borderId="0" xfId="61" applyFont="1" applyAlignment="1">
      <alignment horizontal="center" vertical="center"/>
      <protection/>
    </xf>
    <xf numFmtId="0" fontId="11" fillId="0" borderId="0" xfId="56" applyFont="1" applyAlignment="1">
      <alignment horizontal="center" vertic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58" applyFont="1">
      <alignment/>
      <protection/>
    </xf>
    <xf numFmtId="168" fontId="8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0" fontId="29" fillId="0" borderId="0" xfId="58" applyFont="1">
      <alignment/>
      <protection/>
    </xf>
    <xf numFmtId="0" fontId="4" fillId="0" borderId="0" xfId="58" applyFont="1">
      <alignment/>
      <protection/>
    </xf>
    <xf numFmtId="0" fontId="8" fillId="0" borderId="0" xfId="58" applyFont="1" applyAlignment="1">
      <alignment wrapText="1"/>
      <protection/>
    </xf>
    <xf numFmtId="168" fontId="8" fillId="0" borderId="0" xfId="40" applyNumberFormat="1" applyFont="1" applyAlignment="1">
      <alignment wrapText="1"/>
    </xf>
    <xf numFmtId="0" fontId="8" fillId="0" borderId="0" xfId="58" applyFont="1" applyAlignment="1">
      <alignment horizontal="left"/>
      <protection/>
    </xf>
    <xf numFmtId="168" fontId="8" fillId="0" borderId="0" xfId="40" applyNumberFormat="1" applyFont="1" applyAlignment="1">
      <alignment horizontal="right"/>
    </xf>
    <xf numFmtId="0" fontId="4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61" applyFont="1">
      <alignment/>
      <protection/>
    </xf>
    <xf numFmtId="168" fontId="4" fillId="0" borderId="0" xfId="40" applyNumberFormat="1" applyFont="1" applyAlignment="1">
      <alignment horizontal="right"/>
    </xf>
    <xf numFmtId="0" fontId="4" fillId="0" borderId="0" xfId="58" applyFont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 applyAlignment="1">
      <alignment horizontal="right"/>
      <protection/>
    </xf>
    <xf numFmtId="0" fontId="5" fillId="0" borderId="40" xfId="0" applyFont="1" applyBorder="1" applyAlignment="1">
      <alignment horizontal="center" vertical="center"/>
    </xf>
    <xf numFmtId="41" fontId="8" fillId="0" borderId="41" xfId="61" applyNumberFormat="1" applyFont="1" applyBorder="1" applyAlignment="1">
      <alignment horizontal="right" vertical="center"/>
      <protection/>
    </xf>
    <xf numFmtId="0" fontId="5" fillId="0" borderId="42" xfId="0" applyFont="1" applyBorder="1" applyAlignment="1">
      <alignment horizontal="center" vertical="center"/>
    </xf>
    <xf numFmtId="0" fontId="11" fillId="0" borderId="43" xfId="61" applyFont="1" applyBorder="1" applyAlignment="1" quotePrefix="1">
      <alignment horizontal="center" vertical="center" wrapText="1"/>
      <protection/>
    </xf>
    <xf numFmtId="0" fontId="11" fillId="0" borderId="44" xfId="61" applyFont="1" applyBorder="1" applyAlignment="1">
      <alignment horizontal="left" wrapText="1"/>
      <protection/>
    </xf>
    <xf numFmtId="41" fontId="8" fillId="0" borderId="44" xfId="61" applyNumberFormat="1" applyFont="1" applyBorder="1" applyAlignment="1">
      <alignment horizontal="right" vertical="center"/>
      <protection/>
    </xf>
    <xf numFmtId="41" fontId="8" fillId="0" borderId="45" xfId="61" applyNumberFormat="1" applyFont="1" applyBorder="1" applyAlignment="1">
      <alignment horizontal="right" vertical="center"/>
      <protection/>
    </xf>
    <xf numFmtId="0" fontId="8" fillId="0" borderId="46" xfId="61" applyFont="1" applyBorder="1" applyAlignment="1" quotePrefix="1">
      <alignment horizontal="center" vertical="center" wrapText="1"/>
      <protection/>
    </xf>
    <xf numFmtId="0" fontId="8" fillId="0" borderId="42" xfId="61" applyFont="1" applyBorder="1" applyAlignment="1">
      <alignment horizontal="left" wrapText="1"/>
      <protection/>
    </xf>
    <xf numFmtId="41" fontId="8" fillId="0" borderId="47" xfId="61" applyNumberFormat="1" applyFont="1" applyBorder="1" applyAlignment="1">
      <alignment horizontal="right" vertical="center"/>
      <protection/>
    </xf>
    <xf numFmtId="41" fontId="8" fillId="0" borderId="42" xfId="61" applyNumberFormat="1" applyFont="1" applyBorder="1" applyAlignment="1">
      <alignment horizontal="right" vertical="center"/>
      <protection/>
    </xf>
    <xf numFmtId="41" fontId="8" fillId="0" borderId="48" xfId="61" applyNumberFormat="1" applyFont="1" applyBorder="1" applyAlignment="1">
      <alignment horizontal="right" vertical="center"/>
      <protection/>
    </xf>
    <xf numFmtId="0" fontId="11" fillId="0" borderId="46" xfId="61" applyFont="1" applyBorder="1" applyAlignment="1" quotePrefix="1">
      <alignment horizontal="center" vertical="center" wrapText="1"/>
      <protection/>
    </xf>
    <xf numFmtId="0" fontId="11" fillId="0" borderId="42" xfId="61" applyFont="1" applyBorder="1">
      <alignment/>
      <protection/>
    </xf>
    <xf numFmtId="0" fontId="8" fillId="0" borderId="47" xfId="61" applyFont="1" applyBorder="1" applyAlignment="1" quotePrefix="1">
      <alignment horizontal="center" vertical="center" wrapText="1"/>
      <protection/>
    </xf>
    <xf numFmtId="41" fontId="8" fillId="0" borderId="49" xfId="61" applyNumberFormat="1" applyFont="1" applyBorder="1" applyAlignment="1">
      <alignment horizontal="right" vertical="center"/>
      <protection/>
    </xf>
    <xf numFmtId="41" fontId="8" fillId="0" borderId="50" xfId="61" applyNumberFormat="1" applyFont="1" applyBorder="1" applyAlignment="1">
      <alignment horizontal="right" vertical="center"/>
      <protection/>
    </xf>
    <xf numFmtId="0" fontId="5" fillId="0" borderId="33" xfId="0" applyFont="1" applyBorder="1" applyAlignment="1">
      <alignment horizontal="center" vertical="center"/>
    </xf>
    <xf numFmtId="0" fontId="8" fillId="0" borderId="37" xfId="61" applyFont="1" applyBorder="1">
      <alignment/>
      <protection/>
    </xf>
    <xf numFmtId="0" fontId="4" fillId="0" borderId="33" xfId="61" applyFont="1" applyBorder="1">
      <alignment/>
      <protection/>
    </xf>
    <xf numFmtId="41" fontId="4" fillId="0" borderId="51" xfId="61" applyNumberFormat="1" applyFont="1" applyBorder="1" applyAlignment="1">
      <alignment horizontal="right"/>
      <protection/>
    </xf>
    <xf numFmtId="41" fontId="4" fillId="0" borderId="52" xfId="61" applyNumberFormat="1" applyFont="1" applyBorder="1" applyAlignment="1">
      <alignment horizontal="right"/>
      <protection/>
    </xf>
    <xf numFmtId="41" fontId="4" fillId="0" borderId="33" xfId="61" applyNumberFormat="1" applyFont="1" applyBorder="1" applyAlignment="1">
      <alignment horizontal="right"/>
      <protection/>
    </xf>
    <xf numFmtId="0" fontId="11" fillId="0" borderId="0" xfId="61" applyFont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53" xfId="61" applyFont="1" applyBorder="1" applyAlignment="1" quotePrefix="1">
      <alignment horizontal="center" vertical="center" wrapText="1"/>
      <protection/>
    </xf>
    <xf numFmtId="0" fontId="11" fillId="0" borderId="40" xfId="61" applyFont="1" applyBorder="1" applyAlignment="1">
      <alignment horizontal="left" wrapText="1"/>
      <protection/>
    </xf>
    <xf numFmtId="3" fontId="9" fillId="0" borderId="54" xfId="61" applyNumberFormat="1" applyFont="1" applyBorder="1" applyAlignment="1">
      <alignment horizontal="right"/>
      <protection/>
    </xf>
    <xf numFmtId="3" fontId="11" fillId="0" borderId="27" xfId="61" applyNumberFormat="1" applyFont="1" applyBorder="1" applyAlignment="1">
      <alignment horizontal="right"/>
      <protection/>
    </xf>
    <xf numFmtId="3" fontId="11" fillId="0" borderId="28" xfId="61" applyNumberFormat="1" applyFont="1" applyBorder="1" applyAlignment="1">
      <alignment horizontal="right"/>
      <protection/>
    </xf>
    <xf numFmtId="3" fontId="24" fillId="0" borderId="29" xfId="61" applyNumberFormat="1" applyFont="1" applyBorder="1">
      <alignment/>
      <protection/>
    </xf>
    <xf numFmtId="3" fontId="11" fillId="0" borderId="27" xfId="61" applyNumberFormat="1" applyFont="1" applyBorder="1">
      <alignment/>
      <protection/>
    </xf>
    <xf numFmtId="3" fontId="11" fillId="0" borderId="28" xfId="61" applyNumberFormat="1" applyFont="1" applyBorder="1">
      <alignment/>
      <protection/>
    </xf>
    <xf numFmtId="3" fontId="22" fillId="0" borderId="47" xfId="61" applyNumberFormat="1" applyFont="1" applyBorder="1">
      <alignment/>
      <protection/>
    </xf>
    <xf numFmtId="3" fontId="11" fillId="0" borderId="30" xfId="61" applyNumberFormat="1" applyFont="1" applyBorder="1">
      <alignment/>
      <protection/>
    </xf>
    <xf numFmtId="3" fontId="11" fillId="0" borderId="53" xfId="61" applyNumberFormat="1" applyFont="1" applyBorder="1">
      <alignment/>
      <protection/>
    </xf>
    <xf numFmtId="3" fontId="5" fillId="0" borderId="42" xfId="0" applyNumberFormat="1" applyFont="1" applyBorder="1" applyAlignment="1">
      <alignment/>
    </xf>
    <xf numFmtId="0" fontId="11" fillId="0" borderId="42" xfId="61" applyFont="1" applyBorder="1" applyAlignment="1">
      <alignment horizontal="left" wrapText="1"/>
      <protection/>
    </xf>
    <xf numFmtId="3" fontId="9" fillId="0" borderId="47" xfId="61" applyNumberFormat="1" applyFont="1" applyBorder="1" applyAlignment="1">
      <alignment horizontal="right"/>
      <protection/>
    </xf>
    <xf numFmtId="3" fontId="11" fillId="0" borderId="43" xfId="61" applyNumberFormat="1" applyFont="1" applyBorder="1">
      <alignment/>
      <protection/>
    </xf>
    <xf numFmtId="0" fontId="76" fillId="0" borderId="42" xfId="0" applyFont="1" applyBorder="1" applyAlignment="1">
      <alignment horizontal="center" vertical="center"/>
    </xf>
    <xf numFmtId="0" fontId="11" fillId="0" borderId="42" xfId="61" applyFont="1" applyBorder="1" applyAlignment="1">
      <alignment horizontal="left" vertical="center" wrapText="1"/>
      <protection/>
    </xf>
    <xf numFmtId="3" fontId="9" fillId="0" borderId="47" xfId="61" applyNumberFormat="1" applyFont="1" applyBorder="1" applyAlignment="1">
      <alignment horizontal="right" vertical="center"/>
      <protection/>
    </xf>
    <xf numFmtId="3" fontId="11" fillId="0" borderId="27" xfId="61" applyNumberFormat="1" applyFont="1" applyBorder="1" applyAlignment="1">
      <alignment horizontal="right" vertical="center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24" fillId="0" borderId="29" xfId="61" applyNumberFormat="1" applyFont="1" applyBorder="1" applyAlignment="1">
      <alignment vertical="center"/>
      <protection/>
    </xf>
    <xf numFmtId="3" fontId="11" fillId="0" borderId="27" xfId="61" applyNumberFormat="1" applyFont="1" applyBorder="1" applyAlignment="1">
      <alignment vertical="center"/>
      <protection/>
    </xf>
    <xf numFmtId="3" fontId="11" fillId="0" borderId="28" xfId="61" applyNumberFormat="1" applyFont="1" applyBorder="1" applyAlignment="1">
      <alignment vertical="center"/>
      <protection/>
    </xf>
    <xf numFmtId="3" fontId="22" fillId="0" borderId="47" xfId="61" applyNumberFormat="1" applyFont="1" applyBorder="1" applyAlignment="1">
      <alignment vertical="center"/>
      <protection/>
    </xf>
    <xf numFmtId="3" fontId="11" fillId="0" borderId="30" xfId="61" applyNumberFormat="1" applyFont="1" applyBorder="1" applyAlignment="1">
      <alignment vertical="center"/>
      <protection/>
    </xf>
    <xf numFmtId="3" fontId="11" fillId="0" borderId="46" xfId="61" applyNumberFormat="1" applyFont="1" applyBorder="1" applyAlignment="1">
      <alignment vertical="center"/>
      <protection/>
    </xf>
    <xf numFmtId="3" fontId="5" fillId="0" borderId="42" xfId="0" applyNumberFormat="1" applyFont="1" applyBorder="1" applyAlignment="1">
      <alignment vertical="center"/>
    </xf>
    <xf numFmtId="3" fontId="11" fillId="0" borderId="46" xfId="61" applyNumberFormat="1" applyFont="1" applyBorder="1">
      <alignment/>
      <protection/>
    </xf>
    <xf numFmtId="0" fontId="11" fillId="0" borderId="42" xfId="61" applyFont="1" applyBorder="1" applyAlignment="1">
      <alignment wrapText="1"/>
      <protection/>
    </xf>
    <xf numFmtId="3" fontId="22" fillId="0" borderId="55" xfId="61" applyNumberFormat="1" applyFont="1" applyBorder="1">
      <alignment/>
      <protection/>
    </xf>
    <xf numFmtId="3" fontId="11" fillId="0" borderId="31" xfId="61" applyNumberFormat="1" applyFont="1" applyBorder="1" applyAlignment="1">
      <alignment horizontal="right"/>
      <protection/>
    </xf>
    <xf numFmtId="3" fontId="11" fillId="0" borderId="32" xfId="61" applyNumberFormat="1" applyFont="1" applyBorder="1" applyAlignment="1">
      <alignment horizontal="right"/>
      <protection/>
    </xf>
    <xf numFmtId="3" fontId="11" fillId="0" borderId="31" xfId="61" applyNumberFormat="1" applyFont="1" applyBorder="1">
      <alignment/>
      <protection/>
    </xf>
    <xf numFmtId="3" fontId="11" fillId="0" borderId="32" xfId="61" applyNumberFormat="1" applyFont="1" applyBorder="1">
      <alignment/>
      <protection/>
    </xf>
    <xf numFmtId="3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 horizontal="center" vertical="center"/>
    </xf>
    <xf numFmtId="0" fontId="11" fillId="0" borderId="56" xfId="61" applyFont="1" applyBorder="1" applyAlignment="1" quotePrefix="1">
      <alignment horizontal="center" vertical="center" wrapText="1"/>
      <protection/>
    </xf>
    <xf numFmtId="0" fontId="11" fillId="0" borderId="50" xfId="61" applyFont="1" applyBorder="1" applyAlignment="1">
      <alignment wrapText="1"/>
      <protection/>
    </xf>
    <xf numFmtId="3" fontId="9" fillId="0" borderId="57" xfId="61" applyNumberFormat="1" applyFont="1" applyBorder="1" applyAlignment="1">
      <alignment horizontal="right"/>
      <protection/>
    </xf>
    <xf numFmtId="3" fontId="11" fillId="0" borderId="58" xfId="61" applyNumberFormat="1" applyFont="1" applyBorder="1" applyAlignment="1">
      <alignment horizontal="right"/>
      <protection/>
    </xf>
    <xf numFmtId="3" fontId="11" fillId="0" borderId="59" xfId="61" applyNumberFormat="1" applyFont="1" applyBorder="1" applyAlignment="1">
      <alignment horizontal="right"/>
      <protection/>
    </xf>
    <xf numFmtId="3" fontId="24" fillId="0" borderId="60" xfId="61" applyNumberFormat="1" applyFont="1" applyBorder="1">
      <alignment/>
      <protection/>
    </xf>
    <xf numFmtId="3" fontId="11" fillId="0" borderId="58" xfId="61" applyNumberFormat="1" applyFont="1" applyBorder="1">
      <alignment/>
      <protection/>
    </xf>
    <xf numFmtId="3" fontId="11" fillId="0" borderId="59" xfId="61" applyNumberFormat="1" applyFont="1" applyBorder="1">
      <alignment/>
      <protection/>
    </xf>
    <xf numFmtId="0" fontId="8" fillId="0" borderId="21" xfId="61" applyFont="1" applyBorder="1">
      <alignment/>
      <protection/>
    </xf>
    <xf numFmtId="0" fontId="4" fillId="0" borderId="12" xfId="61" applyFont="1" applyBorder="1">
      <alignment/>
      <protection/>
    </xf>
    <xf numFmtId="3" fontId="4" fillId="0" borderId="51" xfId="61" applyNumberFormat="1" applyFont="1" applyBorder="1" applyAlignment="1">
      <alignment horizontal="right"/>
      <protection/>
    </xf>
    <xf numFmtId="3" fontId="4" fillId="0" borderId="37" xfId="61" applyNumberFormat="1" applyFont="1" applyBorder="1" applyAlignment="1">
      <alignment horizontal="right"/>
      <protection/>
    </xf>
    <xf numFmtId="3" fontId="34" fillId="0" borderId="33" xfId="61" applyNumberFormat="1" applyFont="1" applyBorder="1">
      <alignment/>
      <protection/>
    </xf>
    <xf numFmtId="3" fontId="4" fillId="0" borderId="33" xfId="0" applyNumberFormat="1" applyFont="1" applyBorder="1" applyAlignment="1">
      <alignment/>
    </xf>
    <xf numFmtId="0" fontId="8" fillId="0" borderId="40" xfId="61" applyFont="1" applyBorder="1" applyAlignment="1" quotePrefix="1">
      <alignment horizontal="center" vertical="center" wrapText="1"/>
      <protection/>
    </xf>
    <xf numFmtId="0" fontId="8" fillId="0" borderId="61" xfId="61" applyFont="1" applyBorder="1" applyAlignment="1">
      <alignment horizontal="left" wrapText="1"/>
      <protection/>
    </xf>
    <xf numFmtId="41" fontId="8" fillId="0" borderId="40" xfId="61" applyNumberFormat="1" applyFont="1" applyBorder="1" applyAlignment="1">
      <alignment horizontal="right"/>
      <protection/>
    </xf>
    <xf numFmtId="41" fontId="8" fillId="0" borderId="62" xfId="61" applyNumberFormat="1" applyFont="1" applyBorder="1" applyAlignment="1">
      <alignment horizontal="right"/>
      <protection/>
    </xf>
    <xf numFmtId="41" fontId="8" fillId="0" borderId="35" xfId="61" applyNumberFormat="1" applyFont="1" applyBorder="1" applyAlignment="1">
      <alignment horizontal="right"/>
      <protection/>
    </xf>
    <xf numFmtId="41" fontId="8" fillId="0" borderId="63" xfId="61" applyNumberFormat="1" applyFont="1" applyBorder="1" applyAlignment="1">
      <alignment horizontal="right"/>
      <protection/>
    </xf>
    <xf numFmtId="0" fontId="8" fillId="0" borderId="42" xfId="61" applyFont="1" applyBorder="1" applyAlignment="1" quotePrefix="1">
      <alignment horizontal="center" vertical="center" wrapText="1"/>
      <protection/>
    </xf>
    <xf numFmtId="41" fontId="8" fillId="0" borderId="42" xfId="61" applyNumberFormat="1" applyFont="1" applyBorder="1" applyAlignment="1">
      <alignment horizontal="right"/>
      <protection/>
    </xf>
    <xf numFmtId="41" fontId="8" fillId="0" borderId="55" xfId="61" applyNumberFormat="1" applyFont="1" applyBorder="1" applyAlignment="1">
      <alignment horizontal="right"/>
      <protection/>
    </xf>
    <xf numFmtId="41" fontId="8" fillId="0" borderId="28" xfId="61" applyNumberFormat="1" applyFont="1" applyBorder="1" applyAlignment="1">
      <alignment horizontal="right"/>
      <protection/>
    </xf>
    <xf numFmtId="41" fontId="8" fillId="0" borderId="29" xfId="61" applyNumberFormat="1" applyFont="1" applyBorder="1" applyAlignment="1">
      <alignment horizontal="right"/>
      <protection/>
    </xf>
    <xf numFmtId="0" fontId="8" fillId="0" borderId="46" xfId="61" applyFont="1" applyBorder="1" applyAlignment="1">
      <alignment wrapText="1"/>
      <protection/>
    </xf>
    <xf numFmtId="41" fontId="8" fillId="0" borderId="64" xfId="61" applyNumberFormat="1" applyFont="1" applyBorder="1" applyAlignment="1">
      <alignment horizontal="right"/>
      <protection/>
    </xf>
    <xf numFmtId="41" fontId="8" fillId="0" borderId="32" xfId="61" applyNumberFormat="1" applyFont="1" applyBorder="1" applyAlignment="1">
      <alignment horizontal="right"/>
      <protection/>
    </xf>
    <xf numFmtId="41" fontId="8" fillId="0" borderId="65" xfId="61" applyNumberFormat="1" applyFont="1" applyBorder="1" applyAlignment="1">
      <alignment horizontal="right"/>
      <protection/>
    </xf>
    <xf numFmtId="41" fontId="8" fillId="0" borderId="50" xfId="61" applyNumberFormat="1" applyFont="1" applyBorder="1" applyAlignment="1">
      <alignment horizontal="right"/>
      <protection/>
    </xf>
    <xf numFmtId="0" fontId="4" fillId="0" borderId="37" xfId="61" applyFont="1" applyBorder="1">
      <alignment/>
      <protection/>
    </xf>
    <xf numFmtId="41" fontId="4" fillId="0" borderId="37" xfId="61" applyNumberFormat="1" applyFont="1" applyBorder="1" applyAlignment="1">
      <alignment horizontal="right"/>
      <protection/>
    </xf>
    <xf numFmtId="0" fontId="8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31" fillId="0" borderId="0" xfId="56" applyFont="1">
      <alignment/>
      <protection/>
    </xf>
    <xf numFmtId="168" fontId="31" fillId="0" borderId="0" xfId="40" applyNumberFormat="1" applyFont="1" applyAlignment="1">
      <alignment/>
    </xf>
    <xf numFmtId="0" fontId="31" fillId="0" borderId="0" xfId="56" applyFont="1" applyAlignment="1">
      <alignment horizontal="right"/>
      <protection/>
    </xf>
    <xf numFmtId="0" fontId="35" fillId="0" borderId="0" xfId="0" applyFont="1" applyAlignment="1">
      <alignment/>
    </xf>
    <xf numFmtId="0" fontId="32" fillId="0" borderId="0" xfId="56" applyFont="1" applyAlignment="1">
      <alignment/>
      <protection/>
    </xf>
    <xf numFmtId="0" fontId="32" fillId="0" borderId="10" xfId="56" applyFont="1" applyBorder="1" applyAlignment="1">
      <alignment/>
      <protection/>
    </xf>
    <xf numFmtId="0" fontId="32" fillId="0" borderId="10" xfId="56" applyFont="1" applyBorder="1" applyAlignment="1">
      <alignment horizontal="center"/>
      <protection/>
    </xf>
    <xf numFmtId="168" fontId="32" fillId="0" borderId="10" xfId="40" applyNumberFormat="1" applyFont="1" applyBorder="1" applyAlignment="1">
      <alignment horizontal="center"/>
    </xf>
    <xf numFmtId="0" fontId="32" fillId="0" borderId="11" xfId="56" applyFont="1" applyBorder="1">
      <alignment/>
      <protection/>
    </xf>
    <xf numFmtId="0" fontId="32" fillId="0" borderId="11" xfId="56" applyFont="1" applyBorder="1" applyAlignment="1">
      <alignment horizontal="center"/>
      <protection/>
    </xf>
    <xf numFmtId="168" fontId="32" fillId="0" borderId="11" xfId="40" applyNumberFormat="1" applyFont="1" applyBorder="1" applyAlignment="1">
      <alignment horizontal="center"/>
    </xf>
    <xf numFmtId="0" fontId="32" fillId="0" borderId="12" xfId="56" applyFont="1" applyBorder="1">
      <alignment/>
      <protection/>
    </xf>
    <xf numFmtId="0" fontId="32" fillId="0" borderId="12" xfId="56" applyFont="1" applyBorder="1" applyAlignment="1">
      <alignment horizontal="center"/>
      <protection/>
    </xf>
    <xf numFmtId="168" fontId="32" fillId="0" borderId="12" xfId="40" applyNumberFormat="1" applyFont="1" applyBorder="1" applyAlignment="1">
      <alignment horizontal="center"/>
    </xf>
    <xf numFmtId="0" fontId="31" fillId="0" borderId="0" xfId="56" applyFont="1" applyBorder="1" applyAlignment="1">
      <alignment horizontal="right"/>
      <protection/>
    </xf>
    <xf numFmtId="0" fontId="31" fillId="0" borderId="0" xfId="56" applyFont="1" applyBorder="1" applyAlignment="1">
      <alignment/>
      <protection/>
    </xf>
    <xf numFmtId="168" fontId="31" fillId="0" borderId="0" xfId="4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56" applyFont="1" applyBorder="1" applyAlignment="1">
      <alignment wrapText="1"/>
      <protection/>
    </xf>
    <xf numFmtId="0" fontId="32" fillId="0" borderId="28" xfId="56" applyFont="1" applyBorder="1" applyAlignment="1">
      <alignment horizontal="right"/>
      <protection/>
    </xf>
    <xf numFmtId="0" fontId="32" fillId="0" borderId="28" xfId="56" applyFont="1" applyBorder="1" applyAlignment="1">
      <alignment/>
      <protection/>
    </xf>
    <xf numFmtId="168" fontId="32" fillId="0" borderId="28" xfId="40" applyNumberFormat="1" applyFont="1" applyBorder="1" applyAlignment="1">
      <alignment/>
    </xf>
    <xf numFmtId="168" fontId="31" fillId="0" borderId="0" xfId="40" applyNumberFormat="1" applyFont="1" applyAlignment="1">
      <alignment/>
    </xf>
    <xf numFmtId="0" fontId="36" fillId="0" borderId="0" xfId="0" applyFont="1" applyAlignment="1">
      <alignment/>
    </xf>
    <xf numFmtId="168" fontId="31" fillId="0" borderId="0" xfId="40" applyNumberFormat="1" applyFont="1" applyAlignment="1">
      <alignment horizontal="right"/>
    </xf>
    <xf numFmtId="0" fontId="31" fillId="0" borderId="0" xfId="56" applyFont="1" applyAlignment="1">
      <alignment/>
      <protection/>
    </xf>
    <xf numFmtId="0" fontId="36" fillId="0" borderId="0" xfId="0" applyFont="1" applyAlignment="1" quotePrefix="1">
      <alignment/>
    </xf>
    <xf numFmtId="0" fontId="31" fillId="0" borderId="28" xfId="56" applyFont="1" applyBorder="1" applyAlignment="1">
      <alignment horizontal="right"/>
      <protection/>
    </xf>
    <xf numFmtId="0" fontId="32" fillId="0" borderId="33" xfId="56" applyFont="1" applyBorder="1" applyAlignment="1">
      <alignment horizontal="right"/>
      <protection/>
    </xf>
    <xf numFmtId="0" fontId="32" fillId="0" borderId="33" xfId="56" applyFont="1" applyBorder="1">
      <alignment/>
      <protection/>
    </xf>
    <xf numFmtId="168" fontId="32" fillId="0" borderId="33" xfId="40" applyNumberFormat="1" applyFont="1" applyBorder="1" applyAlignment="1">
      <alignment/>
    </xf>
    <xf numFmtId="0" fontId="32" fillId="0" borderId="0" xfId="56" applyFont="1" applyBorder="1" applyAlignment="1">
      <alignment horizontal="right"/>
      <protection/>
    </xf>
    <xf numFmtId="0" fontId="32" fillId="0" borderId="0" xfId="56" applyFont="1" applyBorder="1">
      <alignment/>
      <protection/>
    </xf>
    <xf numFmtId="168" fontId="32" fillId="0" borderId="0" xfId="40" applyNumberFormat="1" applyFont="1" applyBorder="1" applyAlignment="1">
      <alignment/>
    </xf>
    <xf numFmtId="0" fontId="32" fillId="0" borderId="0" xfId="57" applyFont="1" applyBorder="1" applyAlignment="1">
      <alignment horizontal="center"/>
      <protection/>
    </xf>
    <xf numFmtId="0" fontId="36" fillId="0" borderId="28" xfId="0" applyFont="1" applyBorder="1" applyAlignment="1">
      <alignment/>
    </xf>
    <xf numFmtId="168" fontId="31" fillId="0" borderId="28" xfId="40" applyNumberFormat="1" applyFont="1" applyBorder="1" applyAlignment="1">
      <alignment/>
    </xf>
    <xf numFmtId="0" fontId="32" fillId="0" borderId="33" xfId="57" applyFont="1" applyBorder="1" applyAlignment="1">
      <alignment horizontal="right"/>
      <protection/>
    </xf>
    <xf numFmtId="0" fontId="32" fillId="0" borderId="33" xfId="57" applyFont="1" applyBorder="1">
      <alignment/>
      <protection/>
    </xf>
    <xf numFmtId="168" fontId="32" fillId="0" borderId="33" xfId="57" applyNumberFormat="1" applyFont="1" applyBorder="1" applyAlignment="1">
      <alignment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16" fontId="0" fillId="0" borderId="0" xfId="0" applyNumberFormat="1" applyAlignment="1" quotePrefix="1">
      <alignment/>
    </xf>
    <xf numFmtId="3" fontId="37" fillId="0" borderId="0" xfId="0" applyNumberFormat="1" applyFont="1" applyAlignment="1">
      <alignment/>
    </xf>
    <xf numFmtId="0" fontId="37" fillId="0" borderId="0" xfId="0" applyFont="1" applyAlignment="1" quotePrefix="1">
      <alignment/>
    </xf>
    <xf numFmtId="0" fontId="9" fillId="0" borderId="0" xfId="61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quotePrefix="1">
      <alignment/>
    </xf>
    <xf numFmtId="0" fontId="37" fillId="0" borderId="0" xfId="0" applyFont="1" applyAlignment="1">
      <alignment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3" fontId="0" fillId="0" borderId="54" xfId="0" applyNumberFormat="1" applyBorder="1" applyAlignment="1">
      <alignment/>
    </xf>
    <xf numFmtId="0" fontId="37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0" xfId="0" applyFont="1" applyAlignment="1">
      <alignment horizontal="left"/>
    </xf>
    <xf numFmtId="3" fontId="4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8" fillId="0" borderId="0" xfId="60" applyFont="1" applyAlignment="1">
      <alignment horizontal="right" vertical="top"/>
      <protection/>
    </xf>
    <xf numFmtId="0" fontId="5" fillId="0" borderId="0" xfId="0" applyFont="1" applyAlignment="1">
      <alignment horizontal="right"/>
    </xf>
    <xf numFmtId="0" fontId="4" fillId="0" borderId="0" xfId="58" applyFont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1" fillId="0" borderId="0" xfId="56" applyFont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9" fillId="0" borderId="0" xfId="56" applyFont="1" applyAlignment="1">
      <alignment horizontal="center"/>
      <protection/>
    </xf>
    <xf numFmtId="0" fontId="11" fillId="0" borderId="66" xfId="56" applyFont="1" applyBorder="1" applyAlignment="1">
      <alignment horizontal="right"/>
      <protection/>
    </xf>
    <xf numFmtId="0" fontId="11" fillId="0" borderId="13" xfId="56" applyFont="1" applyBorder="1" applyAlignment="1">
      <alignment horizontal="center" vertical="center"/>
      <protection/>
    </xf>
    <xf numFmtId="0" fontId="11" fillId="0" borderId="67" xfId="56" applyFont="1" applyBorder="1" applyAlignment="1">
      <alignment horizontal="center" vertical="center"/>
      <protection/>
    </xf>
    <xf numFmtId="0" fontId="11" fillId="0" borderId="68" xfId="56" applyFont="1" applyBorder="1" applyAlignment="1">
      <alignment horizontal="center" vertical="center"/>
      <protection/>
    </xf>
    <xf numFmtId="0" fontId="11" fillId="0" borderId="17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69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11" fillId="0" borderId="66" xfId="56" applyFont="1" applyBorder="1" applyAlignment="1">
      <alignment horizontal="center" vertical="center"/>
      <protection/>
    </xf>
    <xf numFmtId="0" fontId="11" fillId="0" borderId="70" xfId="56" applyFont="1" applyBorder="1" applyAlignment="1">
      <alignment horizontal="center" vertical="center"/>
      <protection/>
    </xf>
    <xf numFmtId="0" fontId="22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6" applyFont="1" applyAlignment="1">
      <alignment horizontal="left" wrapText="1"/>
      <protection/>
    </xf>
    <xf numFmtId="0" fontId="9" fillId="0" borderId="0" xfId="59" applyFont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66" xfId="0" applyFont="1" applyBorder="1" applyAlignment="1" quotePrefix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1" fillId="0" borderId="0" xfId="56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  <xf numFmtId="0" fontId="11" fillId="0" borderId="0" xfId="59" applyFont="1" applyAlignment="1">
      <alignment horizontal="left" wrapText="1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37" xfId="56" applyFont="1" applyBorder="1" applyAlignment="1">
      <alignment horizontal="center"/>
      <protection/>
    </xf>
    <xf numFmtId="0" fontId="8" fillId="0" borderId="52" xfId="56" applyFont="1" applyBorder="1" applyAlignment="1">
      <alignment horizontal="center"/>
      <protection/>
    </xf>
    <xf numFmtId="0" fontId="8" fillId="0" borderId="51" xfId="56" applyFont="1" applyBorder="1" applyAlignment="1">
      <alignment horizont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0" xfId="60" applyFont="1" applyAlignment="1">
      <alignment horizontal="right"/>
      <protection/>
    </xf>
    <xf numFmtId="0" fontId="5" fillId="0" borderId="0" xfId="0" applyFont="1" applyAlignment="1">
      <alignment/>
    </xf>
    <xf numFmtId="0" fontId="30" fillId="0" borderId="10" xfId="0" applyFont="1" applyBorder="1" applyAlignment="1">
      <alignment horizontal="center" vertical="center" textRotation="255"/>
    </xf>
    <xf numFmtId="0" fontId="30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textRotation="255"/>
    </xf>
    <xf numFmtId="0" fontId="11" fillId="0" borderId="0" xfId="61" applyFont="1" applyAlignment="1">
      <alignment horizontal="right"/>
      <protection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3" fillId="0" borderId="0" xfId="61" applyFont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26" fillId="0" borderId="13" xfId="56" applyFont="1" applyBorder="1" applyAlignment="1">
      <alignment horizontal="center" vertical="center" wrapText="1"/>
      <protection/>
    </xf>
    <xf numFmtId="0" fontId="26" fillId="0" borderId="17" xfId="56" applyFont="1" applyBorder="1" applyAlignment="1">
      <alignment horizontal="center" vertical="center" wrapText="1"/>
      <protection/>
    </xf>
    <xf numFmtId="0" fontId="26" fillId="0" borderId="21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11" fillId="0" borderId="37" xfId="63" applyFont="1" applyBorder="1" applyAlignment="1">
      <alignment horizontal="center"/>
    </xf>
    <xf numFmtId="44" fontId="11" fillId="0" borderId="52" xfId="63" applyFont="1" applyBorder="1" applyAlignment="1">
      <alignment horizontal="center"/>
    </xf>
    <xf numFmtId="44" fontId="11" fillId="0" borderId="51" xfId="63" applyFont="1" applyBorder="1" applyAlignment="1">
      <alignment horizontal="center"/>
    </xf>
    <xf numFmtId="0" fontId="11" fillId="0" borderId="52" xfId="56" applyFont="1" applyBorder="1" applyAlignment="1">
      <alignment horizont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1" xfId="56" applyFont="1" applyBorder="1" applyAlignment="1">
      <alignment horizontal="center" vertical="center" wrapText="1"/>
      <protection/>
    </xf>
    <xf numFmtId="0" fontId="26" fillId="0" borderId="12" xfId="56" applyFont="1" applyBorder="1" applyAlignment="1">
      <alignment horizontal="center" vertical="center" wrapText="1"/>
      <protection/>
    </xf>
    <xf numFmtId="0" fontId="11" fillId="0" borderId="68" xfId="56" applyFont="1" applyBorder="1" applyAlignment="1">
      <alignment horizontal="center" vertical="center" wrapText="1"/>
      <protection/>
    </xf>
    <xf numFmtId="0" fontId="11" fillId="0" borderId="69" xfId="56" applyFont="1" applyBorder="1" applyAlignment="1">
      <alignment horizontal="center" vertical="center" wrapText="1"/>
      <protection/>
    </xf>
    <xf numFmtId="0" fontId="11" fillId="0" borderId="70" xfId="56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1" xfId="60" applyFont="1" applyBorder="1" applyAlignment="1">
      <alignment horizontal="center" vertical="center" wrapText="1"/>
      <protection/>
    </xf>
    <xf numFmtId="0" fontId="26" fillId="0" borderId="12" xfId="60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1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17" xfId="56" applyFont="1" applyBorder="1" applyAlignment="1">
      <alignment horizontal="center" vertical="center" wrapText="1"/>
      <protection/>
    </xf>
    <xf numFmtId="0" fontId="11" fillId="0" borderId="21" xfId="56" applyFont="1" applyBorder="1" applyAlignment="1">
      <alignment horizontal="center" vertical="center" wrapText="1"/>
      <protection/>
    </xf>
    <xf numFmtId="0" fontId="11" fillId="0" borderId="37" xfId="56" applyFont="1" applyBorder="1" applyAlignment="1">
      <alignment horizontal="center"/>
      <protection/>
    </xf>
    <xf numFmtId="0" fontId="11" fillId="0" borderId="5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 vertical="center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11" fillId="0" borderId="51" xfId="56" applyFont="1" applyBorder="1" applyAlignment="1">
      <alignment horizontal="center"/>
      <protection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5" fillId="0" borderId="0" xfId="56" applyFont="1" applyAlignment="1">
      <alignment horizontal="right"/>
      <protection/>
    </xf>
    <xf numFmtId="0" fontId="31" fillId="0" borderId="0" xfId="0" applyFont="1" applyAlignment="1">
      <alignment horizontal="right"/>
    </xf>
    <xf numFmtId="0" fontId="31" fillId="0" borderId="0" xfId="56" applyFont="1" applyAlignment="1">
      <alignment horizontal="right"/>
      <protection/>
    </xf>
    <xf numFmtId="0" fontId="32" fillId="0" borderId="0" xfId="56" applyFont="1" applyAlignment="1">
      <alignment horizontal="center"/>
      <protection/>
    </xf>
    <xf numFmtId="0" fontId="32" fillId="0" borderId="67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32" fillId="0" borderId="0" xfId="56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25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Munka1" xfId="58"/>
    <cellStyle name="Normál_Munka2" xfId="59"/>
    <cellStyle name="Normál_Munka3" xfId="60"/>
    <cellStyle name="Normál_PHKV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1"/>
  <sheetViews>
    <sheetView tabSelected="1" workbookViewId="0" topLeftCell="H1">
      <selection activeCell="L12" sqref="L12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5" spans="2:21" ht="27.75">
      <c r="B5" s="2"/>
      <c r="C5" s="3"/>
      <c r="D5" s="3"/>
      <c r="E5" s="3"/>
      <c r="F5" s="3"/>
      <c r="G5" s="3"/>
      <c r="H5" s="3"/>
      <c r="I5" s="3"/>
      <c r="J5" s="2"/>
      <c r="N5" s="15"/>
      <c r="O5" s="15"/>
      <c r="P5" s="15"/>
      <c r="Q5" s="15"/>
      <c r="R5" s="15"/>
      <c r="S5" s="15"/>
      <c r="T5" s="15"/>
      <c r="U5" s="15"/>
    </row>
    <row r="6" spans="9:21" ht="27.75">
      <c r="I6" s="5"/>
      <c r="J6" s="2"/>
      <c r="N6" s="324" t="s">
        <v>2</v>
      </c>
      <c r="O6" s="324"/>
      <c r="P6" s="324"/>
      <c r="Q6" s="324"/>
      <c r="R6" s="324"/>
      <c r="S6" s="324"/>
      <c r="T6" s="324"/>
      <c r="U6" s="324"/>
    </row>
    <row r="7" spans="9:21" ht="2.25" customHeight="1">
      <c r="I7" s="3"/>
      <c r="J7" s="2"/>
      <c r="N7" s="15"/>
      <c r="O7" s="16"/>
      <c r="P7" s="17"/>
      <c r="Q7" s="17"/>
      <c r="R7" s="17"/>
      <c r="S7" s="17"/>
      <c r="T7" s="17"/>
      <c r="U7" s="17"/>
    </row>
    <row r="8" spans="9:21" ht="27.75">
      <c r="I8" s="4"/>
      <c r="J8" s="2"/>
      <c r="N8" s="324" t="s">
        <v>347</v>
      </c>
      <c r="O8" s="324"/>
      <c r="P8" s="324"/>
      <c r="Q8" s="324"/>
      <c r="R8" s="324"/>
      <c r="S8" s="324"/>
      <c r="T8" s="324"/>
      <c r="U8" s="324"/>
    </row>
    <row r="9" spans="9:21" ht="12.75" customHeight="1" hidden="1">
      <c r="I9" s="3"/>
      <c r="J9" s="2"/>
      <c r="N9" s="15"/>
      <c r="O9" s="16"/>
      <c r="P9" s="17"/>
      <c r="Q9" s="17"/>
      <c r="R9" s="17"/>
      <c r="S9" s="17"/>
      <c r="T9" s="17"/>
      <c r="U9" s="17"/>
    </row>
    <row r="10" spans="9:21" ht="27.75">
      <c r="I10" s="4"/>
      <c r="J10" s="2"/>
      <c r="N10" s="324" t="s">
        <v>269</v>
      </c>
      <c r="O10" s="324"/>
      <c r="P10" s="324"/>
      <c r="Q10" s="324"/>
      <c r="R10" s="324"/>
      <c r="S10" s="324"/>
      <c r="T10" s="324"/>
      <c r="U10" s="324"/>
    </row>
    <row r="11" spans="9:21" ht="27.75">
      <c r="I11" s="4"/>
      <c r="J11" s="2"/>
      <c r="N11" s="142"/>
      <c r="O11" s="142"/>
      <c r="P11" s="142"/>
      <c r="Q11" s="142"/>
      <c r="R11" s="142"/>
      <c r="S11" s="142"/>
      <c r="T11" s="142"/>
      <c r="U11" s="142"/>
    </row>
    <row r="12" spans="2:21" ht="27.75">
      <c r="B12" s="2"/>
      <c r="C12" s="3"/>
      <c r="D12" s="3"/>
      <c r="E12" s="3"/>
      <c r="F12" s="3"/>
      <c r="G12" s="3"/>
      <c r="H12" s="3"/>
      <c r="I12" s="3"/>
      <c r="J12" s="2"/>
      <c r="N12" s="14"/>
      <c r="O12" s="325" t="s">
        <v>399</v>
      </c>
      <c r="P12" s="326"/>
      <c r="Q12" s="326"/>
      <c r="R12" s="326"/>
      <c r="S12" s="326"/>
      <c r="T12" s="326"/>
      <c r="U12" s="14"/>
    </row>
    <row r="13" spans="2:21" ht="27.75">
      <c r="B13" s="2"/>
      <c r="C13" s="3"/>
      <c r="D13" s="3"/>
      <c r="E13" s="3"/>
      <c r="F13" s="3"/>
      <c r="G13" s="3"/>
      <c r="H13" s="3"/>
      <c r="I13" s="3"/>
      <c r="J13" s="2"/>
      <c r="N13" s="14"/>
      <c r="O13" s="327" t="s">
        <v>387</v>
      </c>
      <c r="P13" s="327"/>
      <c r="Q13" s="327"/>
      <c r="R13" s="327"/>
      <c r="S13" s="327"/>
      <c r="T13" s="327"/>
      <c r="U13" s="14"/>
    </row>
    <row r="14" spans="2:10" ht="27.75">
      <c r="B14" s="2"/>
      <c r="C14" s="2"/>
      <c r="D14" s="2"/>
      <c r="E14" s="2"/>
      <c r="F14" s="2"/>
      <c r="G14" s="2"/>
      <c r="H14" s="2"/>
      <c r="I14" s="2"/>
      <c r="J14" s="2"/>
    </row>
    <row r="15" spans="1:10" ht="27.75">
      <c r="A15" s="6"/>
      <c r="B15" s="7"/>
      <c r="C15" s="2"/>
      <c r="D15" s="2"/>
      <c r="E15" s="2"/>
      <c r="F15" s="2"/>
      <c r="G15" s="2"/>
      <c r="H15" s="2"/>
      <c r="I15" s="2"/>
      <c r="J15" s="2"/>
    </row>
    <row r="16" spans="2:10" ht="27.75">
      <c r="B16" s="2"/>
      <c r="C16" s="2"/>
      <c r="D16" s="2"/>
      <c r="E16" s="2"/>
      <c r="F16" s="2"/>
      <c r="G16" s="2"/>
      <c r="H16" s="2"/>
      <c r="I16" s="2"/>
      <c r="J16" s="2"/>
    </row>
    <row r="17" spans="2:10" ht="27.75">
      <c r="B17" s="2"/>
      <c r="C17" s="2"/>
      <c r="D17" s="2"/>
      <c r="E17" s="2"/>
      <c r="F17" s="2"/>
      <c r="G17" s="2"/>
      <c r="H17" s="2"/>
      <c r="I17" s="2"/>
      <c r="J17" s="2"/>
    </row>
    <row r="18" spans="2:10" ht="27.75">
      <c r="B18" s="2"/>
      <c r="C18" s="2"/>
      <c r="D18" s="2"/>
      <c r="E18" s="2"/>
      <c r="F18" s="2"/>
      <c r="G18" s="2"/>
      <c r="H18" s="2"/>
      <c r="I18" s="2"/>
      <c r="J18" s="2"/>
    </row>
    <row r="19" spans="2:10" ht="27.75">
      <c r="B19" s="2"/>
      <c r="C19" s="2"/>
      <c r="D19" s="2"/>
      <c r="E19" s="2"/>
      <c r="F19" s="2"/>
      <c r="G19" s="2"/>
      <c r="H19" s="2"/>
      <c r="I19" s="2"/>
      <c r="J19" s="2"/>
    </row>
    <row r="20" spans="2:10" ht="27.75">
      <c r="B20" s="2"/>
      <c r="C20" s="2"/>
      <c r="D20" s="2"/>
      <c r="E20" s="2"/>
      <c r="F20" s="2"/>
      <c r="G20" s="2"/>
      <c r="H20" s="2"/>
      <c r="I20" s="2"/>
      <c r="J20" s="2"/>
    </row>
    <row r="21" spans="2:10" ht="27.75">
      <c r="B21" s="2"/>
      <c r="C21" s="2"/>
      <c r="D21" s="2"/>
      <c r="E21" s="2"/>
      <c r="F21" s="2"/>
      <c r="G21" s="2"/>
      <c r="H21" s="2"/>
      <c r="I21" s="2"/>
      <c r="J21" s="2"/>
    </row>
    <row r="22" spans="2:10" ht="27.75">
      <c r="B22" s="2"/>
      <c r="C22" s="2"/>
      <c r="D22" s="2"/>
      <c r="E22" s="2"/>
      <c r="F22" s="2"/>
      <c r="G22" s="2"/>
      <c r="H22" s="2"/>
      <c r="I22" s="2"/>
      <c r="J22" s="2"/>
    </row>
    <row r="23" spans="2:10" ht="27.75">
      <c r="B23" s="2"/>
      <c r="C23" s="2"/>
      <c r="D23" s="2"/>
      <c r="E23" s="2"/>
      <c r="F23" s="2"/>
      <c r="G23" s="2"/>
      <c r="H23" s="2"/>
      <c r="I23" s="2"/>
      <c r="J23" s="2"/>
    </row>
    <row r="24" spans="2:10" ht="27.75">
      <c r="B24" s="2"/>
      <c r="C24" s="2"/>
      <c r="D24" s="2"/>
      <c r="E24" s="2"/>
      <c r="F24" s="2"/>
      <c r="G24" s="2"/>
      <c r="H24" s="2"/>
      <c r="I24" s="2"/>
      <c r="J24" s="2"/>
    </row>
    <row r="25" spans="2:10" ht="27.75">
      <c r="B25" s="2"/>
      <c r="C25" s="2"/>
      <c r="D25" s="2"/>
      <c r="E25" s="2"/>
      <c r="F25" s="2"/>
      <c r="G25" s="2"/>
      <c r="H25" s="2"/>
      <c r="I25" s="2"/>
      <c r="J25" s="2"/>
    </row>
    <row r="26" spans="2:10" ht="27.75">
      <c r="B26" s="2"/>
      <c r="C26" s="2"/>
      <c r="D26" s="2"/>
      <c r="E26" s="2"/>
      <c r="F26" s="2"/>
      <c r="G26" s="2"/>
      <c r="H26" s="2"/>
      <c r="I26" s="2"/>
      <c r="J26" s="2"/>
    </row>
    <row r="27" spans="2:10" ht="27.75">
      <c r="B27" s="2"/>
      <c r="C27" s="2"/>
      <c r="D27" s="2"/>
      <c r="E27" s="2"/>
      <c r="F27" s="2"/>
      <c r="G27" s="2"/>
      <c r="H27" s="2"/>
      <c r="I27" s="2"/>
      <c r="J27" s="2"/>
    </row>
    <row r="28" spans="2:10" ht="27.75">
      <c r="B28" s="2"/>
      <c r="C28" s="2"/>
      <c r="D28" s="2"/>
      <c r="E28" s="2"/>
      <c r="F28" s="2"/>
      <c r="G28" s="2"/>
      <c r="H28" s="2"/>
      <c r="I28" s="2"/>
      <c r="J28" s="2"/>
    </row>
    <row r="29" spans="2:10" ht="27.75">
      <c r="B29" s="2"/>
      <c r="C29" s="2"/>
      <c r="D29" s="2"/>
      <c r="E29" s="2"/>
      <c r="F29" s="2"/>
      <c r="G29" s="2"/>
      <c r="H29" s="2"/>
      <c r="I29" s="2"/>
      <c r="J29" s="2"/>
    </row>
    <row r="30" spans="2:10" ht="27.75">
      <c r="B30" s="2"/>
      <c r="C30" s="2"/>
      <c r="D30" s="2"/>
      <c r="E30" s="2"/>
      <c r="F30" s="2"/>
      <c r="G30" s="2"/>
      <c r="H30" s="2"/>
      <c r="I30" s="2"/>
      <c r="J30" s="2"/>
    </row>
    <row r="31" spans="2:10" ht="27.75">
      <c r="B31" s="2"/>
      <c r="C31" s="2"/>
      <c r="D31" s="2"/>
      <c r="E31" s="2"/>
      <c r="F31" s="2"/>
      <c r="G31" s="2"/>
      <c r="H31" s="2"/>
      <c r="I31" s="2"/>
      <c r="J31" s="2"/>
    </row>
  </sheetData>
  <sheetProtection/>
  <mergeCells count="5">
    <mergeCell ref="N6:U6"/>
    <mergeCell ref="N8:U8"/>
    <mergeCell ref="N10:U10"/>
    <mergeCell ref="O12:T12"/>
    <mergeCell ref="O13:T1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C87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18"/>
      <c r="B2" s="18"/>
      <c r="C2" s="19"/>
    </row>
    <row r="3" spans="1:3" ht="15.75">
      <c r="A3" s="445" t="s">
        <v>410</v>
      </c>
      <c r="B3" s="446"/>
      <c r="C3" s="446"/>
    </row>
    <row r="4" spans="1:3" ht="15.75">
      <c r="A4" s="157"/>
      <c r="B4" s="262"/>
      <c r="C4" s="263"/>
    </row>
    <row r="5" spans="1:3" ht="7.5" customHeight="1">
      <c r="A5" s="447"/>
      <c r="B5" s="447"/>
      <c r="C5" s="447"/>
    </row>
    <row r="6" spans="1:3" ht="15.75">
      <c r="A6" s="448"/>
      <c r="B6" s="448"/>
      <c r="C6" s="448"/>
    </row>
    <row r="7" spans="1:3" ht="3" customHeight="1">
      <c r="A7" s="265"/>
      <c r="B7" s="266"/>
      <c r="C7" s="266"/>
    </row>
    <row r="8" spans="1:3" ht="6.75" customHeight="1">
      <c r="A8" s="265"/>
      <c r="B8" s="266"/>
      <c r="C8" s="266"/>
    </row>
    <row r="9" spans="1:3" ht="15.75">
      <c r="A9" s="448" t="s">
        <v>4</v>
      </c>
      <c r="B9" s="448"/>
      <c r="C9" s="448"/>
    </row>
    <row r="10" spans="1:3" ht="15.75">
      <c r="A10" s="448" t="s">
        <v>33</v>
      </c>
      <c r="B10" s="448"/>
      <c r="C10" s="448"/>
    </row>
    <row r="11" spans="1:3" ht="15.75">
      <c r="A11" s="448" t="s">
        <v>34</v>
      </c>
      <c r="B11" s="448"/>
      <c r="C11" s="448"/>
    </row>
    <row r="12" spans="1:3" ht="15.75">
      <c r="A12" s="448" t="s">
        <v>349</v>
      </c>
      <c r="B12" s="448"/>
      <c r="C12" s="448"/>
    </row>
    <row r="13" spans="1:3" ht="16.5" thickBot="1">
      <c r="A13" s="262"/>
      <c r="B13" s="262"/>
      <c r="C13" s="263"/>
    </row>
    <row r="14" spans="1:3" ht="15.75">
      <c r="A14" s="267" t="s">
        <v>5</v>
      </c>
      <c r="B14" s="268"/>
      <c r="C14" s="269" t="s">
        <v>0</v>
      </c>
    </row>
    <row r="15" spans="1:3" ht="15.75">
      <c r="A15" s="270"/>
      <c r="B15" s="271" t="s">
        <v>3</v>
      </c>
      <c r="C15" s="272"/>
    </row>
    <row r="16" spans="1:3" ht="16.5" thickBot="1">
      <c r="A16" s="273" t="s">
        <v>6</v>
      </c>
      <c r="B16" s="274"/>
      <c r="C16" s="275" t="s">
        <v>35</v>
      </c>
    </row>
    <row r="17" spans="1:3" ht="20.25" customHeight="1">
      <c r="A17" s="449" t="s">
        <v>36</v>
      </c>
      <c r="B17" s="449"/>
      <c r="C17" s="449"/>
    </row>
    <row r="18" spans="1:3" ht="22.5" customHeight="1">
      <c r="A18" s="276" t="s">
        <v>7</v>
      </c>
      <c r="B18" s="277" t="s">
        <v>37</v>
      </c>
      <c r="C18" s="278"/>
    </row>
    <row r="19" spans="1:3" ht="22.5" customHeight="1">
      <c r="A19" s="276"/>
      <c r="B19" s="279" t="s">
        <v>38</v>
      </c>
      <c r="C19" s="278">
        <f>Bevételek!H43</f>
        <v>17019436</v>
      </c>
    </row>
    <row r="20" spans="1:3" ht="29.25" customHeight="1">
      <c r="A20" s="276"/>
      <c r="B20" s="280" t="s">
        <v>39</v>
      </c>
      <c r="C20" s="278">
        <f>Bevételek!H52</f>
        <v>1665860</v>
      </c>
    </row>
    <row r="21" spans="1:3" ht="22.5" customHeight="1">
      <c r="A21" s="276" t="s">
        <v>8</v>
      </c>
      <c r="B21" s="277" t="s">
        <v>40</v>
      </c>
      <c r="C21" s="278">
        <f>Bevételek!H74</f>
        <v>1320000</v>
      </c>
    </row>
    <row r="22" spans="1:3" ht="22.5" customHeight="1">
      <c r="A22" s="276" t="s">
        <v>9</v>
      </c>
      <c r="B22" s="277" t="s">
        <v>41</v>
      </c>
      <c r="C22" s="278">
        <f>Bevételek!H83</f>
        <v>17992809</v>
      </c>
    </row>
    <row r="23" spans="1:3" ht="22.5" customHeight="1">
      <c r="A23" s="276" t="s">
        <v>10</v>
      </c>
      <c r="B23" s="281" t="s">
        <v>13</v>
      </c>
      <c r="C23" s="278"/>
    </row>
    <row r="24" spans="1:3" ht="32.25" customHeight="1">
      <c r="A24" s="276"/>
      <c r="B24" s="280" t="s">
        <v>42</v>
      </c>
      <c r="C24" s="278"/>
    </row>
    <row r="25" spans="1:3" ht="22.5" customHeight="1">
      <c r="A25" s="276"/>
      <c r="B25" s="279" t="s">
        <v>43</v>
      </c>
      <c r="C25" s="278"/>
    </row>
    <row r="26" spans="1:3" ht="28.5" customHeight="1">
      <c r="A26" s="282"/>
      <c r="B26" s="283" t="s">
        <v>44</v>
      </c>
      <c r="C26" s="284">
        <f>SUM(C19:C25)</f>
        <v>37998105</v>
      </c>
    </row>
    <row r="27" spans="1:3" ht="22.5" customHeight="1">
      <c r="A27" s="264" t="s">
        <v>11</v>
      </c>
      <c r="B27" s="277" t="s">
        <v>45</v>
      </c>
      <c r="C27" s="285">
        <f>'Korm.funkciók'!E32</f>
        <v>9178949</v>
      </c>
    </row>
    <row r="28" spans="1:3" ht="22.5" customHeight="1">
      <c r="A28" s="264" t="s">
        <v>12</v>
      </c>
      <c r="B28" s="277" t="s">
        <v>46</v>
      </c>
      <c r="C28" s="285">
        <f>'Korm.funkciók'!F32</f>
        <v>1919909</v>
      </c>
    </row>
    <row r="29" spans="1:3" ht="22.5" customHeight="1">
      <c r="A29" s="264" t="s">
        <v>14</v>
      </c>
      <c r="B29" s="286" t="s">
        <v>47</v>
      </c>
      <c r="C29" s="285">
        <f>'Korm.funkciók'!G32</f>
        <v>26291432</v>
      </c>
    </row>
    <row r="30" spans="1:3" ht="22.5" customHeight="1">
      <c r="A30" s="264" t="s">
        <v>15</v>
      </c>
      <c r="B30" s="286" t="s">
        <v>48</v>
      </c>
      <c r="C30" s="285">
        <f>'Korm.funkciók'!H32</f>
        <v>1485000</v>
      </c>
    </row>
    <row r="31" spans="1:3" ht="22.5" customHeight="1">
      <c r="A31" s="264" t="s">
        <v>16</v>
      </c>
      <c r="B31" s="286" t="s">
        <v>49</v>
      </c>
      <c r="C31" s="285"/>
    </row>
    <row r="32" spans="1:3" ht="22.5" customHeight="1">
      <c r="A32" s="264"/>
      <c r="B32" s="286" t="s">
        <v>364</v>
      </c>
      <c r="C32" s="285">
        <v>34478</v>
      </c>
    </row>
    <row r="33" spans="1:3" ht="29.25" customHeight="1">
      <c r="A33" s="264"/>
      <c r="B33" s="280" t="s">
        <v>50</v>
      </c>
      <c r="C33" s="287"/>
    </row>
    <row r="34" spans="1:3" ht="22.5" customHeight="1">
      <c r="A34" s="264"/>
      <c r="B34" s="286" t="s">
        <v>51</v>
      </c>
      <c r="C34" s="285">
        <f>'Korm.funkciók'!I32-C35-C32</f>
        <v>184425</v>
      </c>
    </row>
    <row r="35" spans="1:3" ht="22.5" customHeight="1">
      <c r="A35" s="264"/>
      <c r="B35" s="286" t="s">
        <v>52</v>
      </c>
      <c r="C35" s="263">
        <f>Mérleg!C32</f>
        <v>9897396</v>
      </c>
    </row>
    <row r="36" spans="1:3" ht="32.25" customHeight="1">
      <c r="A36" s="282"/>
      <c r="B36" s="283" t="s">
        <v>53</v>
      </c>
      <c r="C36" s="284">
        <f>SUM(C27:C35)</f>
        <v>48991589</v>
      </c>
    </row>
    <row r="37" spans="1:3" ht="15.75">
      <c r="A37" s="276"/>
      <c r="B37" s="277"/>
      <c r="C37" s="278"/>
    </row>
    <row r="38" spans="1:3" ht="15.75">
      <c r="A38" s="276"/>
      <c r="B38" s="277"/>
      <c r="C38" s="278"/>
    </row>
    <row r="39" spans="1:3" ht="15.75">
      <c r="A39" s="276"/>
      <c r="B39" s="277"/>
      <c r="C39" s="278"/>
    </row>
    <row r="40" spans="1:3" ht="15.75">
      <c r="A40" s="450">
        <v>2</v>
      </c>
      <c r="B40" s="450"/>
      <c r="C40" s="450"/>
    </row>
    <row r="41" spans="1:3" ht="16.5" thickBot="1">
      <c r="A41" s="276"/>
      <c r="B41" s="277"/>
      <c r="C41" s="278"/>
    </row>
    <row r="42" spans="1:3" ht="15.75">
      <c r="A42" s="267" t="s">
        <v>5</v>
      </c>
      <c r="B42" s="268"/>
      <c r="C42" s="269" t="s">
        <v>0</v>
      </c>
    </row>
    <row r="43" spans="1:3" ht="15.75">
      <c r="A43" s="270"/>
      <c r="B43" s="271" t="s">
        <v>3</v>
      </c>
      <c r="C43" s="272"/>
    </row>
    <row r="44" spans="1:3" ht="16.5" thickBot="1">
      <c r="A44" s="273" t="s">
        <v>6</v>
      </c>
      <c r="B44" s="274"/>
      <c r="C44" s="275" t="s">
        <v>35</v>
      </c>
    </row>
    <row r="45" spans="1:3" ht="15.75">
      <c r="A45" s="451" t="s">
        <v>54</v>
      </c>
      <c r="B45" s="451"/>
      <c r="C45" s="451"/>
    </row>
    <row r="46" spans="1:3" ht="22.5" customHeight="1">
      <c r="A46" s="264" t="s">
        <v>17</v>
      </c>
      <c r="B46" s="288" t="s">
        <v>55</v>
      </c>
      <c r="C46" s="263">
        <f>Bevételek!H63</f>
        <v>74618628</v>
      </c>
    </row>
    <row r="47" spans="1:3" ht="22.5" customHeight="1">
      <c r="A47" s="264" t="s">
        <v>19</v>
      </c>
      <c r="B47" s="288" t="s">
        <v>56</v>
      </c>
      <c r="C47" s="263"/>
    </row>
    <row r="48" spans="1:3" ht="22.5" customHeight="1">
      <c r="A48" s="264" t="s">
        <v>20</v>
      </c>
      <c r="B48" s="281" t="s">
        <v>57</v>
      </c>
      <c r="C48" s="263"/>
    </row>
    <row r="49" spans="1:3" ht="31.5" customHeight="1">
      <c r="A49" s="264"/>
      <c r="B49" s="280" t="s">
        <v>58</v>
      </c>
      <c r="C49" s="263">
        <f>Bevételek!H89</f>
        <v>0</v>
      </c>
    </row>
    <row r="50" spans="1:3" ht="22.5" customHeight="1">
      <c r="A50" s="264"/>
      <c r="B50" s="279" t="s">
        <v>59</v>
      </c>
      <c r="C50" s="263"/>
    </row>
    <row r="51" spans="1:3" ht="24.75" customHeight="1">
      <c r="A51" s="282"/>
      <c r="B51" s="283" t="s">
        <v>60</v>
      </c>
      <c r="C51" s="284">
        <f>SUM(C46:C50)</f>
        <v>74618628</v>
      </c>
    </row>
    <row r="52" spans="1:3" ht="22.5" customHeight="1">
      <c r="A52" s="264" t="s">
        <v>22</v>
      </c>
      <c r="B52" s="288" t="s">
        <v>61</v>
      </c>
      <c r="C52" s="263">
        <f>'Korm.funkciók'!K32</f>
        <v>61399732</v>
      </c>
    </row>
    <row r="53" spans="1:3" ht="22.5" customHeight="1">
      <c r="A53" s="264" t="s">
        <v>24</v>
      </c>
      <c r="B53" s="288" t="s">
        <v>62</v>
      </c>
      <c r="C53" s="263">
        <f>'Korm.funkciók'!L32</f>
        <v>15915194</v>
      </c>
    </row>
    <row r="54" spans="1:3" ht="22.5" customHeight="1">
      <c r="A54" s="264" t="s">
        <v>25</v>
      </c>
      <c r="B54" s="281" t="s">
        <v>30</v>
      </c>
      <c r="C54" s="263"/>
    </row>
    <row r="55" spans="1:3" ht="33.75" customHeight="1">
      <c r="A55" s="264"/>
      <c r="B55" s="280" t="s">
        <v>63</v>
      </c>
      <c r="C55" s="263"/>
    </row>
    <row r="56" spans="1:3" ht="22.5" customHeight="1">
      <c r="A56" s="264"/>
      <c r="B56" s="289" t="s">
        <v>268</v>
      </c>
      <c r="C56" s="263"/>
    </row>
    <row r="57" spans="1:3" ht="16.5" thickBot="1">
      <c r="A57" s="290"/>
      <c r="B57" s="283" t="s">
        <v>64</v>
      </c>
      <c r="C57" s="284">
        <f>SUM(C52:C56)</f>
        <v>77314926</v>
      </c>
    </row>
    <row r="58" spans="1:3" ht="28.5" customHeight="1" thickBot="1">
      <c r="A58" s="291"/>
      <c r="B58" s="292" t="s">
        <v>65</v>
      </c>
      <c r="C58" s="293">
        <f>C26+C51</f>
        <v>112616733</v>
      </c>
    </row>
    <row r="59" spans="1:3" ht="27" customHeight="1" thickBot="1">
      <c r="A59" s="291"/>
      <c r="B59" s="292" t="s">
        <v>66</v>
      </c>
      <c r="C59" s="293">
        <f>C36+C57</f>
        <v>126306515</v>
      </c>
    </row>
    <row r="60" spans="1:3" ht="15.75">
      <c r="A60" s="294"/>
      <c r="B60" s="295"/>
      <c r="C60" s="296"/>
    </row>
    <row r="61" spans="1:3" ht="15.75">
      <c r="A61" s="262"/>
      <c r="B61" s="262"/>
      <c r="C61" s="263"/>
    </row>
    <row r="62" spans="1:3" ht="15.75">
      <c r="A62" s="452" t="s">
        <v>67</v>
      </c>
      <c r="B62" s="452"/>
      <c r="C62" s="452"/>
    </row>
    <row r="63" spans="1:3" ht="15.75">
      <c r="A63" s="297"/>
      <c r="B63" s="297"/>
      <c r="C63" s="297"/>
    </row>
    <row r="64" spans="1:3" ht="22.5" customHeight="1">
      <c r="A64" s="290" t="s">
        <v>27</v>
      </c>
      <c r="B64" s="298" t="s">
        <v>68</v>
      </c>
      <c r="C64" s="299">
        <f>Bevételek!H98</f>
        <v>14301974</v>
      </c>
    </row>
    <row r="65" spans="1:3" ht="22.5" customHeight="1">
      <c r="A65" s="290"/>
      <c r="B65" s="283" t="s">
        <v>69</v>
      </c>
      <c r="C65" s="284">
        <f>C64</f>
        <v>14301974</v>
      </c>
    </row>
    <row r="66" spans="1:3" ht="22.5" customHeight="1">
      <c r="A66" s="290" t="s">
        <v>29</v>
      </c>
      <c r="B66" s="298" t="s">
        <v>283</v>
      </c>
      <c r="C66" s="299">
        <f>'Korm.funkciók'!O32</f>
        <v>612192</v>
      </c>
    </row>
    <row r="67" spans="1:3" ht="22.5" customHeight="1">
      <c r="A67" s="290" t="s">
        <v>31</v>
      </c>
      <c r="B67" s="298" t="s">
        <v>70</v>
      </c>
      <c r="C67" s="299">
        <v>0</v>
      </c>
    </row>
    <row r="68" spans="1:3" ht="22.5" customHeight="1" thickBot="1">
      <c r="A68" s="290"/>
      <c r="B68" s="283" t="s">
        <v>71</v>
      </c>
      <c r="C68" s="284">
        <f>SUM(C66:C67)</f>
        <v>612192</v>
      </c>
    </row>
    <row r="69" spans="1:3" ht="24.75" customHeight="1" thickBot="1">
      <c r="A69" s="300"/>
      <c r="B69" s="301" t="s">
        <v>72</v>
      </c>
      <c r="C69" s="302">
        <f>C58+C65</f>
        <v>126918707</v>
      </c>
    </row>
    <row r="70" spans="1:3" ht="27" customHeight="1" thickBot="1">
      <c r="A70" s="300"/>
      <c r="B70" s="301" t="s">
        <v>73</v>
      </c>
      <c r="C70" s="302">
        <f>C59+C68</f>
        <v>126918707</v>
      </c>
    </row>
    <row r="71" spans="1:3" ht="15.75">
      <c r="A71" s="20"/>
      <c r="B71" s="20"/>
      <c r="C71" s="2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</sheetData>
  <sheetProtection/>
  <mergeCells count="11">
    <mergeCell ref="A62:C62"/>
    <mergeCell ref="A9:C9"/>
    <mergeCell ref="A10:C10"/>
    <mergeCell ref="A11:C11"/>
    <mergeCell ref="A12:C12"/>
    <mergeCell ref="A3:C3"/>
    <mergeCell ref="A5:C5"/>
    <mergeCell ref="A6:C6"/>
    <mergeCell ref="A17:C17"/>
    <mergeCell ref="A40:C40"/>
    <mergeCell ref="A45:C45"/>
  </mergeCells>
  <printOptions/>
  <pageMargins left="0.49" right="0.49" top="0.46" bottom="1" header="0.3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56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0" width="14.00390625" style="0" customWidth="1"/>
    <col min="11" max="11" width="14.375" style="0" customWidth="1"/>
    <col min="12" max="12" width="14.00390625" style="0" customWidth="1"/>
    <col min="13" max="13" width="13.125" style="0" customWidth="1"/>
    <col min="14" max="14" width="14.25390625" style="0" customWidth="1"/>
    <col min="15" max="15" width="14.875" style="0" customWidth="1"/>
  </cols>
  <sheetData>
    <row r="1" spans="1:15" ht="21" customHeight="1">
      <c r="A1" s="333" t="s">
        <v>411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3" spans="1:15" ht="12.75">
      <c r="A3" s="1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ht="12.75">
      <c r="A4" s="1"/>
      <c r="B4" s="453" t="s">
        <v>4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</row>
    <row r="5" spans="1:15" ht="12.75">
      <c r="A5" s="1"/>
      <c r="B5" s="453" t="s">
        <v>350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ht="13.5" thickBot="1">
      <c r="A6" s="1"/>
      <c r="B6" s="1"/>
      <c r="C6" s="79"/>
      <c r="D6" s="79"/>
      <c r="E6" s="79"/>
      <c r="F6" s="80"/>
      <c r="G6" s="79"/>
      <c r="H6" s="79"/>
      <c r="I6" s="79"/>
      <c r="J6" s="79"/>
      <c r="K6" s="81"/>
      <c r="L6" s="81"/>
      <c r="M6" s="81"/>
      <c r="N6" s="81"/>
      <c r="O6" s="65" t="s">
        <v>289</v>
      </c>
    </row>
    <row r="7" spans="1:15" ht="12.75">
      <c r="A7" s="82" t="s">
        <v>5</v>
      </c>
      <c r="B7" s="83"/>
      <c r="C7" s="84"/>
      <c r="D7" s="85"/>
      <c r="E7" s="86"/>
      <c r="F7" s="87"/>
      <c r="G7" s="87"/>
      <c r="H7" s="87"/>
      <c r="I7" s="87"/>
      <c r="J7" s="87"/>
      <c r="K7" s="88"/>
      <c r="L7" s="88"/>
      <c r="M7" s="88"/>
      <c r="N7" s="89"/>
      <c r="O7" s="90"/>
    </row>
    <row r="8" spans="1:15" ht="12.75">
      <c r="A8" s="91"/>
      <c r="B8" s="92" t="s">
        <v>3</v>
      </c>
      <c r="C8" s="93" t="s">
        <v>213</v>
      </c>
      <c r="D8" s="94" t="s">
        <v>214</v>
      </c>
      <c r="E8" s="95" t="s">
        <v>215</v>
      </c>
      <c r="F8" s="96" t="s">
        <v>216</v>
      </c>
      <c r="G8" s="96" t="s">
        <v>217</v>
      </c>
      <c r="H8" s="96" t="s">
        <v>218</v>
      </c>
      <c r="I8" s="96" t="s">
        <v>219</v>
      </c>
      <c r="J8" s="96" t="s">
        <v>220</v>
      </c>
      <c r="K8" s="96" t="s">
        <v>221</v>
      </c>
      <c r="L8" s="96" t="s">
        <v>222</v>
      </c>
      <c r="M8" s="96" t="s">
        <v>223</v>
      </c>
      <c r="N8" s="95" t="s">
        <v>224</v>
      </c>
      <c r="O8" s="97" t="s">
        <v>225</v>
      </c>
    </row>
    <row r="9" spans="1:15" ht="13.5" thickBot="1">
      <c r="A9" s="98" t="s">
        <v>6</v>
      </c>
      <c r="B9" s="99"/>
      <c r="C9" s="100"/>
      <c r="D9" s="101"/>
      <c r="E9" s="102"/>
      <c r="F9" s="103"/>
      <c r="G9" s="103"/>
      <c r="H9" s="103"/>
      <c r="I9" s="103"/>
      <c r="J9" s="103"/>
      <c r="K9" s="103"/>
      <c r="L9" s="103"/>
      <c r="M9" s="103"/>
      <c r="N9" s="102"/>
      <c r="O9" s="100"/>
    </row>
    <row r="10" spans="1:15" ht="12.75">
      <c r="A10" s="104"/>
      <c r="B10" s="105" t="s">
        <v>226</v>
      </c>
      <c r="C10" s="106"/>
      <c r="D10" s="107"/>
      <c r="E10" s="108"/>
      <c r="F10" s="106"/>
      <c r="G10" s="106"/>
      <c r="H10" s="106"/>
      <c r="I10" s="106"/>
      <c r="J10" s="106"/>
      <c r="K10" s="106"/>
      <c r="L10" s="106"/>
      <c r="M10" s="106"/>
      <c r="N10" s="108"/>
      <c r="O10" s="109"/>
    </row>
    <row r="11" spans="1:15" ht="25.5">
      <c r="A11" s="110" t="s">
        <v>7</v>
      </c>
      <c r="B11" s="111" t="s">
        <v>227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</row>
    <row r="12" spans="1:15" ht="25.5">
      <c r="A12" s="110"/>
      <c r="B12" s="111" t="s">
        <v>228</v>
      </c>
      <c r="C12" s="112">
        <f>1275410+15999</f>
        <v>1291409</v>
      </c>
      <c r="D12" s="112">
        <f>1275400+15998</f>
        <v>1291398</v>
      </c>
      <c r="E12" s="112">
        <f>1275400+15999</f>
        <v>1291399</v>
      </c>
      <c r="F12" s="112">
        <f>1275400+15999</f>
        <v>1291399</v>
      </c>
      <c r="G12" s="112">
        <f>1275400+16000</f>
        <v>1291400</v>
      </c>
      <c r="H12" s="112">
        <f>1275400+15998</f>
        <v>1291398</v>
      </c>
      <c r="I12" s="112">
        <f>1275400+15999</f>
        <v>1291399</v>
      </c>
      <c r="J12" s="112">
        <f>1275400+15731+60000+1150000+345440</f>
        <v>2846571</v>
      </c>
      <c r="K12" s="112">
        <f>1275400+31463</f>
        <v>1306863</v>
      </c>
      <c r="L12" s="112">
        <v>1275400</v>
      </c>
      <c r="M12" s="112">
        <v>1275400</v>
      </c>
      <c r="N12" s="112">
        <v>1275400</v>
      </c>
      <c r="O12" s="113">
        <f>SUM(C12:N12)</f>
        <v>17019436</v>
      </c>
    </row>
    <row r="13" spans="1:15" ht="25.5">
      <c r="A13" s="110"/>
      <c r="B13" s="114" t="s">
        <v>229</v>
      </c>
      <c r="C13" s="112"/>
      <c r="D13" s="112"/>
      <c r="E13" s="112"/>
      <c r="F13" s="112">
        <v>505557</v>
      </c>
      <c r="G13" s="112"/>
      <c r="H13" s="112">
        <v>400000</v>
      </c>
      <c r="I13" s="112"/>
      <c r="J13" s="112">
        <f>65000+422177</f>
        <v>487177</v>
      </c>
      <c r="K13" s="112">
        <v>273126</v>
      </c>
      <c r="L13" s="112"/>
      <c r="M13" s="112"/>
      <c r="N13" s="112"/>
      <c r="O13" s="113">
        <f>SUM(C13:N13)</f>
        <v>1665860</v>
      </c>
    </row>
    <row r="14" spans="1:15" ht="25.5">
      <c r="A14" s="110" t="s">
        <v>8</v>
      </c>
      <c r="B14" s="114" t="s">
        <v>230</v>
      </c>
      <c r="C14" s="112">
        <f>15697553-1126372-1268000-555490</f>
        <v>12747691</v>
      </c>
      <c r="D14" s="112"/>
      <c r="E14" s="112"/>
      <c r="F14" s="112"/>
      <c r="G14" s="112"/>
      <c r="H14" s="112">
        <f>13735678+9556400</f>
        <v>23292078</v>
      </c>
      <c r="I14" s="112">
        <v>14046748</v>
      </c>
      <c r="J14" s="112"/>
      <c r="K14" s="112"/>
      <c r="L14" s="112"/>
      <c r="M14" s="112"/>
      <c r="N14" s="112">
        <f>24532111</f>
        <v>24532111</v>
      </c>
      <c r="O14" s="113">
        <f aca="true" t="shared" si="0" ref="O14:O24">SUM(C14:N14)</f>
        <v>74618628</v>
      </c>
    </row>
    <row r="15" spans="1:15" ht="12.75">
      <c r="A15" s="110" t="s">
        <v>9</v>
      </c>
      <c r="B15" s="114" t="s">
        <v>231</v>
      </c>
      <c r="C15" s="115"/>
      <c r="D15" s="115">
        <v>30000</v>
      </c>
      <c r="E15" s="115">
        <v>300000</v>
      </c>
      <c r="F15" s="115">
        <v>100000</v>
      </c>
      <c r="G15" s="115">
        <v>40000</v>
      </c>
      <c r="H15" s="115">
        <v>30000</v>
      </c>
      <c r="I15" s="115">
        <v>40000</v>
      </c>
      <c r="J15" s="115">
        <v>80000</v>
      </c>
      <c r="K15" s="115">
        <v>420000</v>
      </c>
      <c r="L15" s="115">
        <v>90000</v>
      </c>
      <c r="M15" s="115">
        <v>140000</v>
      </c>
      <c r="N15" s="115">
        <v>50000</v>
      </c>
      <c r="O15" s="113">
        <f t="shared" si="0"/>
        <v>1320000</v>
      </c>
    </row>
    <row r="16" spans="1:15" ht="12.75">
      <c r="A16" s="110" t="s">
        <v>10</v>
      </c>
      <c r="B16" s="116" t="s">
        <v>232</v>
      </c>
      <c r="C16" s="115">
        <v>75630</v>
      </c>
      <c r="D16" s="115">
        <v>75630</v>
      </c>
      <c r="E16" s="115">
        <v>75630</v>
      </c>
      <c r="F16" s="115">
        <v>75630</v>
      </c>
      <c r="G16" s="115">
        <f>630000+263418-54531</f>
        <v>838887</v>
      </c>
      <c r="H16" s="115">
        <f>75630+3708633+3438548</f>
        <v>7222811</v>
      </c>
      <c r="I16" s="115">
        <v>75630</v>
      </c>
      <c r="J16" s="115">
        <f>75630+46991</f>
        <v>122621</v>
      </c>
      <c r="K16" s="115">
        <v>75630</v>
      </c>
      <c r="L16" s="115">
        <v>75630</v>
      </c>
      <c r="M16" s="115">
        <v>75630</v>
      </c>
      <c r="N16" s="115">
        <f>77630+5689255-1982+3438547</f>
        <v>9203450</v>
      </c>
      <c r="O16" s="113">
        <f>SUM(C16:N16)</f>
        <v>17992809</v>
      </c>
    </row>
    <row r="17" spans="1:15" ht="12.75">
      <c r="A17" s="110" t="s">
        <v>11</v>
      </c>
      <c r="B17" s="116" t="s">
        <v>233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3">
        <f t="shared" si="0"/>
        <v>0</v>
      </c>
    </row>
    <row r="18" spans="1:15" ht="12.75">
      <c r="A18" s="110" t="s">
        <v>12</v>
      </c>
      <c r="B18" s="116" t="s">
        <v>13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  <c r="O18" s="113">
        <f t="shared" si="0"/>
        <v>0</v>
      </c>
    </row>
    <row r="19" spans="1:15" ht="25.5">
      <c r="A19" s="110"/>
      <c r="B19" s="114" t="s">
        <v>234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20"/>
      <c r="O19" s="113">
        <f t="shared" si="0"/>
        <v>0</v>
      </c>
    </row>
    <row r="20" spans="1:15" ht="12.75">
      <c r="A20" s="110"/>
      <c r="B20" s="114" t="s">
        <v>235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/>
      <c r="O20" s="113">
        <f t="shared" si="0"/>
        <v>0</v>
      </c>
    </row>
    <row r="21" spans="1:15" ht="12.75">
      <c r="A21" s="110" t="s">
        <v>14</v>
      </c>
      <c r="B21" s="116" t="s">
        <v>236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13">
        <f t="shared" si="0"/>
        <v>0</v>
      </c>
    </row>
    <row r="22" spans="1:15" ht="25.5">
      <c r="A22" s="110"/>
      <c r="B22" s="114" t="s">
        <v>237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13"/>
    </row>
    <row r="23" spans="1:15" ht="12.75">
      <c r="A23" s="110"/>
      <c r="B23" s="114" t="s">
        <v>238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13">
        <f t="shared" si="0"/>
        <v>0</v>
      </c>
    </row>
    <row r="24" spans="1:15" ht="12.75">
      <c r="A24" s="110" t="s">
        <v>15</v>
      </c>
      <c r="B24" s="116" t="s">
        <v>239</v>
      </c>
      <c r="C24" s="119">
        <v>498541</v>
      </c>
      <c r="D24" s="119">
        <f>2950000-1162090</f>
        <v>1787910</v>
      </c>
      <c r="E24" s="119">
        <v>812190</v>
      </c>
      <c r="F24" s="119"/>
      <c r="G24" s="119">
        <f>335151+300000+11935438-1367256</f>
        <v>11203333</v>
      </c>
      <c r="H24" s="119"/>
      <c r="I24" s="119"/>
      <c r="J24" s="119"/>
      <c r="K24" s="119"/>
      <c r="L24" s="119"/>
      <c r="M24" s="119"/>
      <c r="N24" s="120"/>
      <c r="O24" s="113">
        <f t="shared" si="0"/>
        <v>14301974</v>
      </c>
    </row>
    <row r="25" spans="1:15" ht="13.5" thickBot="1">
      <c r="A25" s="121" t="s">
        <v>16</v>
      </c>
      <c r="B25" s="122" t="s">
        <v>240</v>
      </c>
      <c r="C25" s="119"/>
      <c r="D25" s="119">
        <f>C46</f>
        <v>12887014</v>
      </c>
      <c r="E25" s="119">
        <f aca="true" t="shared" si="1" ref="E25:N25">D46</f>
        <v>14656393</v>
      </c>
      <c r="F25" s="119">
        <f t="shared" si="1"/>
        <v>15514730</v>
      </c>
      <c r="G25" s="119">
        <f t="shared" si="1"/>
        <v>15874553</v>
      </c>
      <c r="H25" s="119">
        <f t="shared" si="1"/>
        <v>15331092</v>
      </c>
      <c r="I25" s="119">
        <f t="shared" si="1"/>
        <v>13340497</v>
      </c>
      <c r="J25" s="119">
        <f t="shared" si="1"/>
        <v>24676402</v>
      </c>
      <c r="K25" s="119">
        <f t="shared" si="1"/>
        <v>24770497</v>
      </c>
      <c r="L25" s="119">
        <f t="shared" si="1"/>
        <v>24458283</v>
      </c>
      <c r="M25" s="119">
        <f t="shared" si="1"/>
        <v>23950344</v>
      </c>
      <c r="N25" s="119">
        <f t="shared" si="1"/>
        <v>8993148</v>
      </c>
      <c r="O25" s="113"/>
    </row>
    <row r="26" spans="1:15" ht="13.5" thickBot="1">
      <c r="A26" s="123"/>
      <c r="B26" s="123" t="s">
        <v>241</v>
      </c>
      <c r="C26" s="124">
        <f>SUM(C12:C25)</f>
        <v>14613271</v>
      </c>
      <c r="D26" s="124">
        <f aca="true" t="shared" si="2" ref="D26:N26">SUM(D12:D25)</f>
        <v>16071952</v>
      </c>
      <c r="E26" s="124">
        <f t="shared" si="2"/>
        <v>17135612</v>
      </c>
      <c r="F26" s="124">
        <f t="shared" si="2"/>
        <v>17487316</v>
      </c>
      <c r="G26" s="124">
        <f t="shared" si="2"/>
        <v>29248173</v>
      </c>
      <c r="H26" s="124">
        <f t="shared" si="2"/>
        <v>47567379</v>
      </c>
      <c r="I26" s="124">
        <f t="shared" si="2"/>
        <v>28794274</v>
      </c>
      <c r="J26" s="124">
        <f t="shared" si="2"/>
        <v>28212771</v>
      </c>
      <c r="K26" s="124">
        <f t="shared" si="2"/>
        <v>26846116</v>
      </c>
      <c r="L26" s="124">
        <f t="shared" si="2"/>
        <v>25899313</v>
      </c>
      <c r="M26" s="124">
        <f t="shared" si="2"/>
        <v>25441374</v>
      </c>
      <c r="N26" s="124">
        <f t="shared" si="2"/>
        <v>44054109</v>
      </c>
      <c r="O26" s="125">
        <f>SUM(O12:O25)</f>
        <v>126918707</v>
      </c>
    </row>
    <row r="27" spans="1:15" ht="12.75">
      <c r="A27" s="126"/>
      <c r="B27" s="127" t="s">
        <v>242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28"/>
    </row>
    <row r="28" spans="1:15" ht="12.75">
      <c r="A28" s="110" t="s">
        <v>17</v>
      </c>
      <c r="B28" s="116" t="s">
        <v>18</v>
      </c>
      <c r="C28" s="112">
        <f>533178+10+12559+20000+111083</f>
        <v>676830</v>
      </c>
      <c r="D28" s="112">
        <f>533178+41457+12559+163061+111084</f>
        <v>861339</v>
      </c>
      <c r="E28" s="112">
        <f>533178+41457+12559+163062+111083</f>
        <v>861339</v>
      </c>
      <c r="F28" s="112">
        <f>533178+41459+12560+163061+111085</f>
        <v>861343</v>
      </c>
      <c r="G28" s="112">
        <f>533178+41457+13389</f>
        <v>588024</v>
      </c>
      <c r="H28" s="112">
        <f>533178+41457+13387+458960</f>
        <v>1046982</v>
      </c>
      <c r="I28" s="112">
        <f>533178+41457+13388+384672-7606</f>
        <v>965089</v>
      </c>
      <c r="J28" s="112">
        <f>533178+41457+13388</f>
        <v>588023</v>
      </c>
      <c r="K28" s="112">
        <f>533178+41457+250924</f>
        <v>825559</v>
      </c>
      <c r="L28" s="112">
        <f>533178+41457</f>
        <v>574635</v>
      </c>
      <c r="M28" s="112">
        <f>533178+41457</f>
        <v>574635</v>
      </c>
      <c r="N28" s="112">
        <f>533178+41457</f>
        <v>574635</v>
      </c>
      <c r="O28" s="113">
        <f aca="true" t="shared" si="3" ref="O28:O43">SUM(C28:N28)</f>
        <v>8998433</v>
      </c>
    </row>
    <row r="29" spans="1:15" ht="25.5">
      <c r="A29" s="110" t="s">
        <v>19</v>
      </c>
      <c r="B29" s="114" t="s">
        <v>243</v>
      </c>
      <c r="C29" s="112">
        <f>130703+2449+6844+16239</f>
        <v>156235</v>
      </c>
      <c r="D29" s="112">
        <f>130703-10869+2449+15897+16240</f>
        <v>154420</v>
      </c>
      <c r="E29" s="112">
        <f>130703-10869+2449+15898+16240</f>
        <v>154421</v>
      </c>
      <c r="F29" s="112">
        <f>130703-10869+2449+15897+16240</f>
        <v>154420</v>
      </c>
      <c r="G29" s="112">
        <f aca="true" t="shared" si="4" ref="G29:M29">130703-10869</f>
        <v>119834</v>
      </c>
      <c r="H29" s="112">
        <f>130703-10869+2611+219378</f>
        <v>341823</v>
      </c>
      <c r="I29" s="112">
        <f>130703-10869+37505+2611+4954</f>
        <v>164904</v>
      </c>
      <c r="J29" s="112">
        <f t="shared" si="4"/>
        <v>119834</v>
      </c>
      <c r="K29" s="112">
        <f>130703-10869+26776+22202</f>
        <v>168812</v>
      </c>
      <c r="L29" s="112">
        <f t="shared" si="4"/>
        <v>119834</v>
      </c>
      <c r="M29" s="112">
        <f t="shared" si="4"/>
        <v>119834</v>
      </c>
      <c r="N29" s="112">
        <f>130703-10870</f>
        <v>119833</v>
      </c>
      <c r="O29" s="113">
        <f t="shared" si="3"/>
        <v>1894204</v>
      </c>
    </row>
    <row r="30" spans="1:15" ht="12.75">
      <c r="A30" s="110" t="s">
        <v>20</v>
      </c>
      <c r="B30" s="116" t="s">
        <v>21</v>
      </c>
      <c r="C30" s="112">
        <v>210000</v>
      </c>
      <c r="D30" s="112">
        <v>337000</v>
      </c>
      <c r="E30" s="112">
        <f>547000-34478</f>
        <v>512522</v>
      </c>
      <c r="F30" s="112">
        <v>547000</v>
      </c>
      <c r="G30" s="112">
        <f>757000+154775+2611</f>
        <v>914386</v>
      </c>
      <c r="H30" s="112">
        <f>547000+3708633-1154920-104993+3670341+60000+130000+190000</f>
        <v>7046061</v>
      </c>
      <c r="I30" s="112">
        <f>447000+561000+190500+24588+13117+87606+153701+15367</f>
        <v>1492879</v>
      </c>
      <c r="J30" s="112">
        <f>839000+2343+550000+199275</f>
        <v>1590618</v>
      </c>
      <c r="K30" s="112">
        <f>547000+250000+199275+4687</f>
        <v>1000962</v>
      </c>
      <c r="L30" s="112">
        <f>720000+88900+199275</f>
        <v>1008175</v>
      </c>
      <c r="M30" s="112">
        <f>519000+414094+345440+199275</f>
        <v>1477809</v>
      </c>
      <c r="N30" s="112">
        <f>547000+5882171+3670341+199275</f>
        <v>10298787</v>
      </c>
      <c r="O30" s="113">
        <f t="shared" si="3"/>
        <v>26436199</v>
      </c>
    </row>
    <row r="31" spans="1:15" ht="12.75">
      <c r="A31" s="110" t="s">
        <v>22</v>
      </c>
      <c r="B31" s="116" t="s">
        <v>23</v>
      </c>
      <c r="C31" s="112">
        <v>50000</v>
      </c>
      <c r="D31" s="112">
        <f>50000+12800</f>
        <v>62800</v>
      </c>
      <c r="E31" s="112">
        <v>50000</v>
      </c>
      <c r="F31" s="112">
        <v>50000</v>
      </c>
      <c r="G31" s="112">
        <v>50000</v>
      </c>
      <c r="H31" s="112">
        <v>50000</v>
      </c>
      <c r="I31" s="112">
        <v>50000</v>
      </c>
      <c r="J31" s="112">
        <f>220000-50000</f>
        <v>170000</v>
      </c>
      <c r="K31" s="112">
        <v>50000</v>
      </c>
      <c r="L31" s="112">
        <v>200000</v>
      </c>
      <c r="M31" s="112">
        <f>300000-70800</f>
        <v>229200</v>
      </c>
      <c r="N31" s="112">
        <v>473000</v>
      </c>
      <c r="O31" s="113">
        <f t="shared" si="3"/>
        <v>1485000</v>
      </c>
    </row>
    <row r="32" spans="1:15" ht="12.75">
      <c r="A32" s="110" t="s">
        <v>24</v>
      </c>
      <c r="B32" s="116" t="s">
        <v>244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29"/>
      <c r="O32" s="113"/>
    </row>
    <row r="33" spans="1:15" ht="12.75">
      <c r="A33" s="110"/>
      <c r="B33" s="116" t="s">
        <v>245</v>
      </c>
      <c r="C33" s="112"/>
      <c r="D33" s="112"/>
      <c r="E33" s="112"/>
      <c r="F33" s="112"/>
      <c r="G33" s="112">
        <v>34478</v>
      </c>
      <c r="H33" s="112"/>
      <c r="I33" s="112">
        <v>0</v>
      </c>
      <c r="J33" s="112">
        <v>0</v>
      </c>
      <c r="K33" s="112"/>
      <c r="L33" s="112">
        <v>0</v>
      </c>
      <c r="M33" s="112">
        <v>0</v>
      </c>
      <c r="N33" s="112">
        <v>0</v>
      </c>
      <c r="O33" s="113">
        <f t="shared" si="3"/>
        <v>34478</v>
      </c>
    </row>
    <row r="34" spans="1:15" ht="12.75">
      <c r="A34" s="110"/>
      <c r="B34" s="116" t="s">
        <v>246</v>
      </c>
      <c r="C34" s="112">
        <f>12500+8500</f>
        <v>21000</v>
      </c>
      <c r="D34" s="112"/>
      <c r="E34" s="112">
        <f>43000-400</f>
        <v>42600</v>
      </c>
      <c r="F34" s="112"/>
      <c r="G34" s="112"/>
      <c r="H34" s="112">
        <v>22000</v>
      </c>
      <c r="I34" s="112"/>
      <c r="J34" s="112">
        <f>15000+12500</f>
        <v>27500</v>
      </c>
      <c r="K34" s="112">
        <v>25000</v>
      </c>
      <c r="L34" s="112">
        <v>46325</v>
      </c>
      <c r="M34" s="112"/>
      <c r="N34" s="112"/>
      <c r="O34" s="113">
        <f t="shared" si="3"/>
        <v>184425</v>
      </c>
    </row>
    <row r="35" spans="1:15" ht="12.75">
      <c r="A35" s="110" t="s">
        <v>25</v>
      </c>
      <c r="B35" s="116" t="s">
        <v>26</v>
      </c>
      <c r="C35" s="112"/>
      <c r="D35" s="112"/>
      <c r="E35" s="112"/>
      <c r="F35" s="112"/>
      <c r="G35" s="112">
        <v>2000000</v>
      </c>
      <c r="H35" s="112">
        <f>13735678+11984338</f>
        <v>25720016</v>
      </c>
      <c r="I35" s="112">
        <v>175000</v>
      </c>
      <c r="J35" s="112">
        <f>500000+600000-153701</f>
        <v>946299</v>
      </c>
      <c r="K35" s="112">
        <v>317500</v>
      </c>
      <c r="L35" s="112"/>
      <c r="M35" s="112"/>
      <c r="N35" s="112">
        <f>20796433-192916+11984337</f>
        <v>32587854</v>
      </c>
      <c r="O35" s="113">
        <f t="shared" si="3"/>
        <v>61746669</v>
      </c>
    </row>
    <row r="36" spans="1:15" ht="12.75">
      <c r="A36" s="110" t="s">
        <v>27</v>
      </c>
      <c r="B36" s="116" t="s">
        <v>28</v>
      </c>
      <c r="C36" s="112"/>
      <c r="D36" s="112"/>
      <c r="E36" s="112"/>
      <c r="F36" s="112"/>
      <c r="G36" s="112"/>
      <c r="H36" s="112"/>
      <c r="I36" s="112">
        <v>1270000</v>
      </c>
      <c r="J36" s="112"/>
      <c r="K36" s="112"/>
      <c r="L36" s="112"/>
      <c r="M36" s="112">
        <v>14046748</v>
      </c>
      <c r="N36" s="112"/>
      <c r="O36" s="113">
        <f t="shared" si="3"/>
        <v>15316748</v>
      </c>
    </row>
    <row r="37" spans="1:15" ht="12.75">
      <c r="A37" s="110" t="s">
        <v>29</v>
      </c>
      <c r="B37" s="116" t="s">
        <v>30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>
        <f t="shared" si="3"/>
        <v>0</v>
      </c>
    </row>
    <row r="38" spans="1:15" ht="12.75">
      <c r="A38" s="110"/>
      <c r="B38" s="116" t="s">
        <v>245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</row>
    <row r="39" spans="1:15" ht="12.75">
      <c r="A39" s="110"/>
      <c r="B39" s="116" t="s">
        <v>246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3"/>
    </row>
    <row r="40" spans="1:15" ht="12.75">
      <c r="A40" s="110" t="s">
        <v>31</v>
      </c>
      <c r="B40" s="116" t="s">
        <v>32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>
        <f t="shared" si="3"/>
        <v>0</v>
      </c>
    </row>
    <row r="41" spans="1:15" ht="12.75">
      <c r="A41" s="110"/>
      <c r="B41" s="116" t="s">
        <v>284</v>
      </c>
      <c r="C41" s="112">
        <v>612192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>
        <f t="shared" si="3"/>
        <v>612192</v>
      </c>
    </row>
    <row r="42" spans="1:15" ht="12.75">
      <c r="A42" s="110"/>
      <c r="B42" s="116" t="s">
        <v>247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3">
        <f t="shared" si="3"/>
        <v>0</v>
      </c>
    </row>
    <row r="43" spans="1:15" ht="12.75">
      <c r="A43" s="110" t="s">
        <v>248</v>
      </c>
      <c r="B43" s="116" t="s">
        <v>249</v>
      </c>
      <c r="C43" s="112"/>
      <c r="D43" s="112"/>
      <c r="E43" s="112"/>
      <c r="F43" s="112"/>
      <c r="G43" s="112">
        <f>12308598+-1081543-996376-20320</f>
        <v>10210359</v>
      </c>
      <c r="H43" s="112"/>
      <c r="I43" s="112"/>
      <c r="J43" s="112"/>
      <c r="K43" s="112"/>
      <c r="L43" s="112"/>
      <c r="M43" s="112"/>
      <c r="N43" s="112"/>
      <c r="O43" s="113">
        <f t="shared" si="3"/>
        <v>10210359</v>
      </c>
    </row>
    <row r="44" spans="1:15" ht="13.5" thickBot="1">
      <c r="A44" s="121" t="s">
        <v>250</v>
      </c>
      <c r="B44" s="122" t="s">
        <v>251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3"/>
    </row>
    <row r="45" spans="1:15" ht="13.5" thickBot="1">
      <c r="A45" s="123"/>
      <c r="B45" s="123" t="s">
        <v>252</v>
      </c>
      <c r="C45" s="124">
        <f>SUM(C28:C44)</f>
        <v>1726257</v>
      </c>
      <c r="D45" s="124">
        <f aca="true" t="shared" si="5" ref="D45:N45">SUM(D28:D44)</f>
        <v>1415559</v>
      </c>
      <c r="E45" s="124">
        <f t="shared" si="5"/>
        <v>1620882</v>
      </c>
      <c r="F45" s="124">
        <f t="shared" si="5"/>
        <v>1612763</v>
      </c>
      <c r="G45" s="124">
        <f t="shared" si="5"/>
        <v>13917081</v>
      </c>
      <c r="H45" s="124">
        <f t="shared" si="5"/>
        <v>34226882</v>
      </c>
      <c r="I45" s="124">
        <f t="shared" si="5"/>
        <v>4117872</v>
      </c>
      <c r="J45" s="124">
        <f t="shared" si="5"/>
        <v>3442274</v>
      </c>
      <c r="K45" s="124">
        <f t="shared" si="5"/>
        <v>2387833</v>
      </c>
      <c r="L45" s="124">
        <f t="shared" si="5"/>
        <v>1948969</v>
      </c>
      <c r="M45" s="124">
        <f t="shared" si="5"/>
        <v>16448226</v>
      </c>
      <c r="N45" s="124">
        <f t="shared" si="5"/>
        <v>44054109</v>
      </c>
      <c r="O45" s="125">
        <f>SUM(O28:O44)</f>
        <v>126918707</v>
      </c>
    </row>
    <row r="46" spans="1:15" ht="13.5" thickBot="1">
      <c r="A46" s="130"/>
      <c r="B46" s="131" t="s">
        <v>253</v>
      </c>
      <c r="C46" s="132">
        <f>C26-C45</f>
        <v>12887014</v>
      </c>
      <c r="D46" s="132">
        <f aca="true" t="shared" si="6" ref="D46:N46">D26-D45</f>
        <v>14656393</v>
      </c>
      <c r="E46" s="132">
        <f t="shared" si="6"/>
        <v>15514730</v>
      </c>
      <c r="F46" s="132">
        <f t="shared" si="6"/>
        <v>15874553</v>
      </c>
      <c r="G46" s="132">
        <f t="shared" si="6"/>
        <v>15331092</v>
      </c>
      <c r="H46" s="132">
        <f t="shared" si="6"/>
        <v>13340497</v>
      </c>
      <c r="I46" s="132">
        <f t="shared" si="6"/>
        <v>24676402</v>
      </c>
      <c r="J46" s="132">
        <f t="shared" si="6"/>
        <v>24770497</v>
      </c>
      <c r="K46" s="132">
        <f t="shared" si="6"/>
        <v>24458283</v>
      </c>
      <c r="L46" s="132">
        <f t="shared" si="6"/>
        <v>23950344</v>
      </c>
      <c r="M46" s="132">
        <f t="shared" si="6"/>
        <v>8993148</v>
      </c>
      <c r="N46" s="132">
        <f t="shared" si="6"/>
        <v>0</v>
      </c>
      <c r="O46" s="133"/>
    </row>
    <row r="47" spans="1:15" ht="12.75">
      <c r="A47" s="1"/>
      <c r="B47" s="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1:15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1:15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</row>
    <row r="51" spans="1:15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1:15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</row>
    <row r="54" spans="1:15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1:15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1:15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</sheetData>
  <sheetProtection/>
  <mergeCells count="4">
    <mergeCell ref="B3:O3"/>
    <mergeCell ref="B4:O4"/>
    <mergeCell ref="B5:O5"/>
    <mergeCell ref="A1:O1"/>
  </mergeCells>
  <printOptions/>
  <pageMargins left="0.2362204724409449" right="0.2362204724409449" top="0.35433070866141736" bottom="0.5511811023622047" header="0.2362204724409449" footer="0.35433070866141736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6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9.125" style="141" customWidth="1"/>
    <col min="2" max="2" width="58.625" style="0" customWidth="1"/>
    <col min="3" max="3" width="16.375" style="0" customWidth="1"/>
    <col min="4" max="4" width="4.375" style="0" customWidth="1"/>
    <col min="5" max="5" width="16.875" style="0" customWidth="1"/>
    <col min="6" max="6" width="6.75390625" style="0" customWidth="1"/>
  </cols>
  <sheetData>
    <row r="1" spans="1:7" ht="15.75">
      <c r="A1" s="328" t="s">
        <v>402</v>
      </c>
      <c r="B1" s="329"/>
      <c r="C1" s="329"/>
      <c r="D1" s="329"/>
      <c r="E1" s="329"/>
      <c r="F1" s="329"/>
      <c r="G1" s="143"/>
    </row>
    <row r="2" spans="1:6" ht="12.75">
      <c r="A2" s="145"/>
      <c r="B2" s="146"/>
      <c r="C2" s="146"/>
      <c r="D2" s="146"/>
      <c r="E2" s="146"/>
      <c r="F2" s="146"/>
    </row>
    <row r="3" spans="1:6" ht="14.25">
      <c r="A3" s="145"/>
      <c r="B3" s="331"/>
      <c r="C3" s="331"/>
      <c r="D3" s="331"/>
      <c r="E3" s="331"/>
      <c r="F3" s="331"/>
    </row>
    <row r="4" spans="1:6" ht="15.75">
      <c r="A4" s="145"/>
      <c r="B4" s="330" t="s">
        <v>4</v>
      </c>
      <c r="C4" s="330"/>
      <c r="D4" s="330"/>
      <c r="E4" s="330"/>
      <c r="F4" s="330"/>
    </row>
    <row r="5" spans="1:6" ht="15.75">
      <c r="A5" s="145"/>
      <c r="B5" s="330" t="s">
        <v>74</v>
      </c>
      <c r="C5" s="330"/>
      <c r="D5" s="330"/>
      <c r="E5" s="330"/>
      <c r="F5" s="330"/>
    </row>
    <row r="6" spans="1:6" ht="15.75">
      <c r="A6" s="145"/>
      <c r="B6" s="330" t="s">
        <v>348</v>
      </c>
      <c r="C6" s="330"/>
      <c r="D6" s="330"/>
      <c r="E6" s="330"/>
      <c r="F6" s="330"/>
    </row>
    <row r="7" spans="1:6" ht="7.5" customHeight="1">
      <c r="A7" s="145"/>
      <c r="B7" s="147"/>
      <c r="C7" s="148"/>
      <c r="D7" s="147"/>
      <c r="E7" s="149"/>
      <c r="F7" s="147"/>
    </row>
    <row r="8" spans="1:6" ht="15.75">
      <c r="A8" s="145" t="s">
        <v>7</v>
      </c>
      <c r="B8" s="150" t="s">
        <v>75</v>
      </c>
      <c r="C8" s="148"/>
      <c r="D8" s="147"/>
      <c r="E8" s="149"/>
      <c r="F8" s="147"/>
    </row>
    <row r="9" spans="1:6" ht="15.75">
      <c r="A9" s="145" t="s">
        <v>296</v>
      </c>
      <c r="B9" s="151" t="s">
        <v>76</v>
      </c>
      <c r="C9" s="148"/>
      <c r="D9" s="147"/>
      <c r="E9" s="149">
        <f>C10+C11</f>
        <v>18685296</v>
      </c>
      <c r="F9" s="147" t="s">
        <v>212</v>
      </c>
    </row>
    <row r="10" spans="1:6" ht="31.5">
      <c r="A10" s="145"/>
      <c r="B10" s="152" t="s">
        <v>77</v>
      </c>
      <c r="C10" s="153">
        <f>Bevételek!$H$43</f>
        <v>17019436</v>
      </c>
      <c r="D10" s="152" t="s">
        <v>212</v>
      </c>
      <c r="E10" s="149"/>
      <c r="F10" s="147"/>
    </row>
    <row r="11" spans="1:6" ht="31.5">
      <c r="A11" s="145"/>
      <c r="B11" s="152" t="s">
        <v>78</v>
      </c>
      <c r="C11" s="153">
        <f>Bevételek!$H$52</f>
        <v>1665860</v>
      </c>
      <c r="D11" s="152" t="s">
        <v>212</v>
      </c>
      <c r="E11" s="149"/>
      <c r="F11" s="147"/>
    </row>
    <row r="12" spans="1:6" ht="15.75">
      <c r="A12" s="145" t="s">
        <v>300</v>
      </c>
      <c r="B12" s="151" t="s">
        <v>79</v>
      </c>
      <c r="C12" s="148"/>
      <c r="D12" s="147"/>
      <c r="E12" s="149">
        <f>Bevételek!$H$57+Bevételek!H62</f>
        <v>74618628</v>
      </c>
      <c r="F12" s="147" t="s">
        <v>212</v>
      </c>
    </row>
    <row r="13" spans="1:6" ht="15.75">
      <c r="A13" s="145" t="s">
        <v>301</v>
      </c>
      <c r="B13" s="151" t="s">
        <v>80</v>
      </c>
      <c r="C13" s="148"/>
      <c r="D13" s="147"/>
      <c r="E13" s="149">
        <f>Bevételek!$H$74</f>
        <v>1320000</v>
      </c>
      <c r="F13" s="147" t="s">
        <v>212</v>
      </c>
    </row>
    <row r="14" spans="1:6" ht="15.75">
      <c r="A14" s="145" t="s">
        <v>302</v>
      </c>
      <c r="B14" s="151" t="s">
        <v>81</v>
      </c>
      <c r="C14" s="148"/>
      <c r="D14" s="147"/>
      <c r="E14" s="149">
        <f>Bevételek!$H$83</f>
        <v>17992809</v>
      </c>
      <c r="F14" s="147" t="s">
        <v>212</v>
      </c>
    </row>
    <row r="15" spans="1:6" ht="3" customHeight="1">
      <c r="A15" s="145"/>
      <c r="B15" s="151"/>
      <c r="C15" s="149"/>
      <c r="D15" s="151"/>
      <c r="E15" s="149">
        <v>0</v>
      </c>
      <c r="F15" s="147" t="s">
        <v>212</v>
      </c>
    </row>
    <row r="16" spans="1:6" ht="15.75">
      <c r="A16" s="145" t="s">
        <v>330</v>
      </c>
      <c r="B16" s="151" t="s">
        <v>82</v>
      </c>
      <c r="C16" s="148"/>
      <c r="D16" s="147"/>
      <c r="E16" s="149">
        <v>0</v>
      </c>
      <c r="F16" s="147" t="s">
        <v>212</v>
      </c>
    </row>
    <row r="17" spans="1:6" ht="31.5">
      <c r="A17" s="145"/>
      <c r="B17" s="152" t="s">
        <v>83</v>
      </c>
      <c r="C17" s="153">
        <v>0</v>
      </c>
      <c r="D17" s="152" t="s">
        <v>212</v>
      </c>
      <c r="E17" s="152"/>
      <c r="F17" s="147"/>
    </row>
    <row r="18" spans="1:6" ht="15.75">
      <c r="A18" s="145"/>
      <c r="B18" s="154" t="s">
        <v>84</v>
      </c>
      <c r="C18" s="153">
        <v>0</v>
      </c>
      <c r="D18" s="147" t="s">
        <v>212</v>
      </c>
      <c r="E18" s="149"/>
      <c r="F18" s="147"/>
    </row>
    <row r="19" spans="1:6" ht="15.75">
      <c r="A19" s="145" t="s">
        <v>329</v>
      </c>
      <c r="B19" s="151" t="s">
        <v>85</v>
      </c>
      <c r="C19" s="148"/>
      <c r="D19" s="147"/>
      <c r="E19" s="149">
        <f>C20+C21</f>
        <v>0</v>
      </c>
      <c r="F19" s="147" t="s">
        <v>212</v>
      </c>
    </row>
    <row r="20" spans="1:6" ht="31.5">
      <c r="A20" s="145"/>
      <c r="B20" s="152" t="s">
        <v>86</v>
      </c>
      <c r="C20" s="148">
        <f>Bevételek!H87</f>
        <v>0</v>
      </c>
      <c r="D20" s="147" t="s">
        <v>212</v>
      </c>
      <c r="E20" s="149"/>
      <c r="F20" s="147"/>
    </row>
    <row r="21" spans="1:6" ht="15.75">
      <c r="A21" s="145"/>
      <c r="B21" s="147" t="s">
        <v>87</v>
      </c>
      <c r="C21" s="155"/>
      <c r="D21" s="147" t="s">
        <v>212</v>
      </c>
      <c r="E21" s="149"/>
      <c r="F21" s="147"/>
    </row>
    <row r="22" spans="1:6" ht="15.75">
      <c r="A22" s="145" t="s">
        <v>328</v>
      </c>
      <c r="B22" s="151" t="s">
        <v>88</v>
      </c>
      <c r="C22" s="149"/>
      <c r="D22" s="151"/>
      <c r="E22" s="149">
        <f>E9+E13+E14+E12+E19</f>
        <v>112616733</v>
      </c>
      <c r="F22" s="151" t="s">
        <v>286</v>
      </c>
    </row>
    <row r="23" spans="1:6" ht="15.75">
      <c r="A23" s="145"/>
      <c r="B23" s="151"/>
      <c r="C23" s="149"/>
      <c r="D23" s="151"/>
      <c r="E23" s="149"/>
      <c r="F23" s="151"/>
    </row>
    <row r="24" spans="1:6" ht="15.75">
      <c r="A24" s="145" t="s">
        <v>8</v>
      </c>
      <c r="B24" s="150" t="s">
        <v>89</v>
      </c>
      <c r="C24" s="148"/>
      <c r="D24" s="147"/>
      <c r="E24" s="149"/>
      <c r="F24" s="147"/>
    </row>
    <row r="25" spans="1:6" ht="15.75">
      <c r="A25" s="145" t="s">
        <v>303</v>
      </c>
      <c r="B25" s="156" t="s">
        <v>90</v>
      </c>
      <c r="C25" s="148"/>
      <c r="D25" s="147"/>
      <c r="E25" s="149">
        <f>C27+C28+C29+C30+C31+C32</f>
        <v>48991589</v>
      </c>
      <c r="F25" s="147" t="s">
        <v>212</v>
      </c>
    </row>
    <row r="26" spans="1:6" ht="15.75">
      <c r="A26" s="145"/>
      <c r="B26" s="157" t="s">
        <v>91</v>
      </c>
      <c r="C26" s="148"/>
      <c r="D26" s="147"/>
      <c r="E26" s="149"/>
      <c r="F26" s="147"/>
    </row>
    <row r="27" spans="1:6" ht="15.75">
      <c r="A27" s="145" t="s">
        <v>304</v>
      </c>
      <c r="B27" s="147" t="s">
        <v>309</v>
      </c>
      <c r="C27" s="148">
        <f>'Korm.funkciók'!E32</f>
        <v>9178949</v>
      </c>
      <c r="D27" s="147" t="s">
        <v>212</v>
      </c>
      <c r="E27" s="149"/>
      <c r="F27" s="147"/>
    </row>
    <row r="28" spans="1:6" ht="15.75">
      <c r="A28" s="145" t="s">
        <v>305</v>
      </c>
      <c r="B28" s="147" t="s">
        <v>310</v>
      </c>
      <c r="C28" s="148">
        <f>'Korm.funkciók'!F32</f>
        <v>1919909</v>
      </c>
      <c r="D28" s="147" t="s">
        <v>212</v>
      </c>
      <c r="E28" s="149"/>
      <c r="F28" s="147"/>
    </row>
    <row r="29" spans="1:6" ht="15.75">
      <c r="A29" s="145" t="s">
        <v>306</v>
      </c>
      <c r="B29" s="147" t="s">
        <v>311</v>
      </c>
      <c r="C29" s="148">
        <f>'Korm.funkciók'!G32</f>
        <v>26291432</v>
      </c>
      <c r="D29" s="147" t="s">
        <v>212</v>
      </c>
      <c r="E29" s="149"/>
      <c r="F29" s="147"/>
    </row>
    <row r="30" spans="1:6" ht="15.75">
      <c r="A30" s="145" t="s">
        <v>307</v>
      </c>
      <c r="B30" s="158" t="s">
        <v>312</v>
      </c>
      <c r="C30" s="148">
        <f>'Korm.funkciók'!H32</f>
        <v>1485000</v>
      </c>
      <c r="D30" s="147" t="s">
        <v>212</v>
      </c>
      <c r="E30" s="149"/>
      <c r="F30" s="147"/>
    </row>
    <row r="31" spans="1:6" ht="15.75">
      <c r="A31" s="145" t="s">
        <v>308</v>
      </c>
      <c r="B31" s="147" t="s">
        <v>313</v>
      </c>
      <c r="C31" s="148">
        <f>'Korm.funkciók'!I32-C32</f>
        <v>218903</v>
      </c>
      <c r="D31" s="147" t="s">
        <v>212</v>
      </c>
      <c r="E31" s="149"/>
      <c r="F31" s="147"/>
    </row>
    <row r="32" spans="1:6" ht="15.75">
      <c r="A32" s="145" t="s">
        <v>339</v>
      </c>
      <c r="B32" s="147" t="s">
        <v>321</v>
      </c>
      <c r="C32" s="148">
        <f>12308598-1081543-996376-20320-70850-153740-67113-21260</f>
        <v>9897396</v>
      </c>
      <c r="D32" s="147" t="s">
        <v>340</v>
      </c>
      <c r="E32" s="149"/>
      <c r="F32" s="147"/>
    </row>
    <row r="33" spans="1:6" ht="15.75">
      <c r="A33" s="145" t="s">
        <v>297</v>
      </c>
      <c r="B33" s="156" t="s">
        <v>92</v>
      </c>
      <c r="C33" s="149"/>
      <c r="D33" s="151"/>
      <c r="E33" s="159">
        <f>C35+C36</f>
        <v>77314926</v>
      </c>
      <c r="F33" s="151" t="s">
        <v>212</v>
      </c>
    </row>
    <row r="34" spans="1:6" ht="15.75">
      <c r="A34" s="145"/>
      <c r="B34" s="157" t="s">
        <v>91</v>
      </c>
      <c r="C34" s="148"/>
      <c r="D34" s="147"/>
      <c r="E34" s="149"/>
      <c r="F34" s="147"/>
    </row>
    <row r="35" spans="1:6" ht="15.75">
      <c r="A35" s="145" t="s">
        <v>314</v>
      </c>
      <c r="B35" s="147" t="s">
        <v>318</v>
      </c>
      <c r="C35" s="155">
        <f>'Korm.funkciók'!K32</f>
        <v>61399732</v>
      </c>
      <c r="D35" s="147" t="s">
        <v>212</v>
      </c>
      <c r="E35" s="149"/>
      <c r="F35" s="147"/>
    </row>
    <row r="36" spans="1:6" ht="15.75">
      <c r="A36" s="145" t="s">
        <v>315</v>
      </c>
      <c r="B36" s="147" t="s">
        <v>319</v>
      </c>
      <c r="C36" s="155">
        <f>'Korm.funkciók'!L32</f>
        <v>15915194</v>
      </c>
      <c r="D36" s="147" t="s">
        <v>212</v>
      </c>
      <c r="E36" s="149"/>
      <c r="F36" s="147"/>
    </row>
    <row r="37" spans="1:6" ht="15.75">
      <c r="A37" s="145" t="s">
        <v>316</v>
      </c>
      <c r="B37" s="147" t="s">
        <v>320</v>
      </c>
      <c r="C37" s="155"/>
      <c r="D37" s="147" t="s">
        <v>212</v>
      </c>
      <c r="E37" s="149"/>
      <c r="F37" s="147"/>
    </row>
    <row r="38" spans="1:6" ht="15.75">
      <c r="A38" s="145" t="s">
        <v>317</v>
      </c>
      <c r="B38" s="147" t="s">
        <v>321</v>
      </c>
      <c r="C38" s="155"/>
      <c r="D38" s="147" t="s">
        <v>212</v>
      </c>
      <c r="E38" s="149"/>
      <c r="F38" s="147"/>
    </row>
    <row r="39" spans="1:6" ht="15.75">
      <c r="A39" s="145" t="s">
        <v>322</v>
      </c>
      <c r="B39" s="151" t="s">
        <v>93</v>
      </c>
      <c r="C39" s="155"/>
      <c r="D39" s="147"/>
      <c r="E39" s="149">
        <f>C40+C41</f>
        <v>612192</v>
      </c>
      <c r="F39" s="147" t="s">
        <v>212</v>
      </c>
    </row>
    <row r="40" spans="1:6" ht="15.75">
      <c r="A40" s="145"/>
      <c r="B40" s="147" t="s">
        <v>285</v>
      </c>
      <c r="C40" s="148">
        <f>'Korm.funkciók'!O32</f>
        <v>612192</v>
      </c>
      <c r="D40" s="147" t="s">
        <v>212</v>
      </c>
      <c r="E40" s="149"/>
      <c r="F40" s="147"/>
    </row>
    <row r="41" spans="1:6" ht="15.75">
      <c r="A41" s="145"/>
      <c r="B41" s="147" t="s">
        <v>94</v>
      </c>
      <c r="C41" s="148"/>
      <c r="D41" s="147" t="s">
        <v>212</v>
      </c>
      <c r="E41" s="149"/>
      <c r="F41" s="147"/>
    </row>
    <row r="42" spans="1:6" ht="23.25" customHeight="1">
      <c r="A42" s="145" t="s">
        <v>323</v>
      </c>
      <c r="B42" s="151" t="s">
        <v>95</v>
      </c>
      <c r="C42" s="149"/>
      <c r="D42" s="151"/>
      <c r="E42" s="149">
        <f>E25+E33+E39</f>
        <v>126918707</v>
      </c>
      <c r="F42" s="151" t="s">
        <v>286</v>
      </c>
    </row>
    <row r="43" spans="1:6" ht="23.25" customHeight="1">
      <c r="A43" s="145" t="s">
        <v>9</v>
      </c>
      <c r="B43" s="151" t="s">
        <v>96</v>
      </c>
      <c r="C43" s="149"/>
      <c r="D43" s="151"/>
      <c r="E43" s="149">
        <f>E22-E42</f>
        <v>-14301974</v>
      </c>
      <c r="F43" s="151" t="s">
        <v>212</v>
      </c>
    </row>
    <row r="44" spans="1:6" ht="23.25" customHeight="1">
      <c r="A44" s="145"/>
      <c r="B44" s="151"/>
      <c r="C44" s="149"/>
      <c r="D44" s="151"/>
      <c r="E44" s="149"/>
      <c r="F44" s="151"/>
    </row>
    <row r="45" spans="1:6" ht="31.5">
      <c r="A45" s="145" t="s">
        <v>10</v>
      </c>
      <c r="B45" s="160" t="s">
        <v>97</v>
      </c>
      <c r="C45" s="149"/>
      <c r="D45" s="151"/>
      <c r="E45" s="149">
        <f>Bevételek!H100</f>
        <v>14301974</v>
      </c>
      <c r="F45" s="161" t="s">
        <v>212</v>
      </c>
    </row>
    <row r="46" spans="1:6" ht="25.5" customHeight="1">
      <c r="A46" s="145" t="s">
        <v>11</v>
      </c>
      <c r="B46" s="151" t="s">
        <v>98</v>
      </c>
      <c r="C46" s="149"/>
      <c r="D46" s="151"/>
      <c r="E46" s="149">
        <f>E43+E45</f>
        <v>0</v>
      </c>
      <c r="F46" s="151" t="s">
        <v>212</v>
      </c>
    </row>
  </sheetData>
  <sheetProtection/>
  <mergeCells count="5">
    <mergeCell ref="A1:F1"/>
    <mergeCell ref="B4:F4"/>
    <mergeCell ref="B5:F5"/>
    <mergeCell ref="B6:F6"/>
    <mergeCell ref="B3:F3"/>
  </mergeCells>
  <printOptions/>
  <pageMargins left="0.5511811023622047" right="0.35433070866141736" top="0.7086614173228347" bottom="0.4724409448818898" header="0.5118110236220472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193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6.25390625" style="0" customWidth="1"/>
    <col min="8" max="8" width="16.7539062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332" t="s">
        <v>403</v>
      </c>
      <c r="B1" s="333"/>
      <c r="C1" s="333"/>
      <c r="D1" s="333"/>
      <c r="E1" s="333"/>
      <c r="F1" s="333"/>
      <c r="G1" s="333"/>
      <c r="H1" s="333"/>
      <c r="I1" s="333"/>
    </row>
    <row r="3" spans="1:9" ht="14.25">
      <c r="A3" s="338"/>
      <c r="B3" s="338"/>
      <c r="C3" s="338"/>
      <c r="D3" s="338"/>
      <c r="E3" s="338"/>
      <c r="F3" s="338"/>
      <c r="G3" s="338"/>
      <c r="H3" s="338"/>
      <c r="I3" s="338"/>
    </row>
    <row r="4" spans="1:9" ht="14.25">
      <c r="A4" s="338" t="s">
        <v>185</v>
      </c>
      <c r="B4" s="338"/>
      <c r="C4" s="338"/>
      <c r="D4" s="338"/>
      <c r="E4" s="338"/>
      <c r="F4" s="338"/>
      <c r="G4" s="338"/>
      <c r="H4" s="338"/>
      <c r="I4" s="338"/>
    </row>
    <row r="5" spans="1:9" ht="14.25">
      <c r="A5" s="338" t="s">
        <v>99</v>
      </c>
      <c r="B5" s="338"/>
      <c r="C5" s="338"/>
      <c r="D5" s="338"/>
      <c r="E5" s="338"/>
      <c r="F5" s="338"/>
      <c r="G5" s="338"/>
      <c r="H5" s="338"/>
      <c r="I5" s="338"/>
    </row>
    <row r="6" spans="1:9" ht="12.75" customHeight="1">
      <c r="A6" s="338" t="s">
        <v>349</v>
      </c>
      <c r="B6" s="338"/>
      <c r="C6" s="338"/>
      <c r="D6" s="338"/>
      <c r="E6" s="338"/>
      <c r="F6" s="338"/>
      <c r="G6" s="338"/>
      <c r="H6" s="338"/>
      <c r="I6" s="338"/>
    </row>
    <row r="7" spans="1:9" ht="15.75" thickBot="1">
      <c r="A7" s="50"/>
      <c r="B7" s="50"/>
      <c r="C7" s="49"/>
      <c r="D7" s="49"/>
      <c r="E7" s="49"/>
      <c r="F7" s="44"/>
      <c r="G7" s="26"/>
      <c r="H7" s="339" t="s">
        <v>288</v>
      </c>
      <c r="I7" s="339"/>
    </row>
    <row r="8" spans="1:9" ht="15">
      <c r="A8" s="340" t="s">
        <v>100</v>
      </c>
      <c r="B8" s="341"/>
      <c r="C8" s="341"/>
      <c r="D8" s="341"/>
      <c r="E8" s="341"/>
      <c r="F8" s="342"/>
      <c r="G8" s="51" t="s">
        <v>0</v>
      </c>
      <c r="H8" s="51" t="s">
        <v>0</v>
      </c>
      <c r="I8" s="41" t="s">
        <v>186</v>
      </c>
    </row>
    <row r="9" spans="1:9" ht="15">
      <c r="A9" s="343"/>
      <c r="B9" s="344"/>
      <c r="C9" s="344"/>
      <c r="D9" s="344"/>
      <c r="E9" s="344"/>
      <c r="F9" s="345"/>
      <c r="G9" s="52" t="s">
        <v>35</v>
      </c>
      <c r="H9" s="52" t="s">
        <v>35</v>
      </c>
      <c r="I9" s="53"/>
    </row>
    <row r="10" spans="1:9" ht="15.75" thickBot="1">
      <c r="A10" s="346"/>
      <c r="B10" s="347"/>
      <c r="C10" s="347"/>
      <c r="D10" s="347"/>
      <c r="E10" s="347"/>
      <c r="F10" s="348"/>
      <c r="G10" s="54" t="s">
        <v>331</v>
      </c>
      <c r="H10" s="54" t="s">
        <v>349</v>
      </c>
      <c r="I10" s="55" t="s">
        <v>1</v>
      </c>
    </row>
    <row r="11" spans="1:9" ht="33" customHeight="1">
      <c r="A11" s="56" t="s">
        <v>101</v>
      </c>
      <c r="B11" s="334" t="s">
        <v>102</v>
      </c>
      <c r="C11" s="334"/>
      <c r="D11" s="334"/>
      <c r="E11" s="334"/>
      <c r="F11" s="334"/>
      <c r="G11" s="23"/>
      <c r="H11" s="22"/>
      <c r="I11" s="23"/>
    </row>
    <row r="12" spans="1:9" ht="15.75" customHeight="1">
      <c r="A12" s="9"/>
      <c r="B12" s="9" t="s">
        <v>101</v>
      </c>
      <c r="C12" s="9" t="s">
        <v>103</v>
      </c>
      <c r="D12" s="9"/>
      <c r="E12" s="9"/>
      <c r="F12" s="9"/>
      <c r="G12" s="31"/>
      <c r="H12" s="31"/>
      <c r="I12" s="9"/>
    </row>
    <row r="13" spans="1:9" ht="29.25" customHeight="1">
      <c r="A13" s="9"/>
      <c r="B13" s="9"/>
      <c r="C13" s="56" t="s">
        <v>7</v>
      </c>
      <c r="D13" s="334" t="s">
        <v>104</v>
      </c>
      <c r="E13" s="334"/>
      <c r="F13" s="334"/>
      <c r="G13" s="22"/>
      <c r="H13" s="22"/>
      <c r="I13" s="23"/>
    </row>
    <row r="14" spans="1:9" ht="28.5" customHeight="1">
      <c r="A14" s="9"/>
      <c r="B14" s="9"/>
      <c r="C14" s="9"/>
      <c r="D14" s="56" t="s">
        <v>7</v>
      </c>
      <c r="E14" s="334" t="s">
        <v>105</v>
      </c>
      <c r="F14" s="334"/>
      <c r="G14" s="22"/>
      <c r="H14" s="22"/>
      <c r="I14" s="23"/>
    </row>
    <row r="15" spans="1:9" ht="30.75" customHeight="1">
      <c r="A15" s="8"/>
      <c r="B15" s="8"/>
      <c r="C15" s="8"/>
      <c r="D15" s="57" t="s">
        <v>106</v>
      </c>
      <c r="E15" s="335" t="s">
        <v>107</v>
      </c>
      <c r="F15" s="336"/>
      <c r="G15" s="24"/>
      <c r="H15" s="24"/>
      <c r="I15" s="25"/>
    </row>
    <row r="16" spans="1:9" ht="29.25" customHeight="1">
      <c r="A16" s="8"/>
      <c r="B16" s="8"/>
      <c r="C16" s="8"/>
      <c r="D16" s="8"/>
      <c r="E16" s="57" t="s">
        <v>108</v>
      </c>
      <c r="F16" s="33" t="s">
        <v>109</v>
      </c>
      <c r="G16" s="26">
        <v>863010</v>
      </c>
      <c r="H16" s="26">
        <v>863010</v>
      </c>
      <c r="I16" s="25">
        <f aca="true" t="shared" si="0" ref="I16:I23">(H16/G16)*100</f>
        <v>100</v>
      </c>
    </row>
    <row r="17" spans="1:9" ht="19.5" customHeight="1">
      <c r="A17" s="8"/>
      <c r="B17" s="8"/>
      <c r="C17" s="8"/>
      <c r="D17" s="8"/>
      <c r="E17" s="8" t="s">
        <v>110</v>
      </c>
      <c r="F17" s="33" t="s">
        <v>111</v>
      </c>
      <c r="G17" s="26">
        <v>576000</v>
      </c>
      <c r="H17" s="26">
        <v>576000</v>
      </c>
      <c r="I17" s="25">
        <f t="shared" si="0"/>
        <v>100</v>
      </c>
    </row>
    <row r="18" spans="1:9" ht="27.75" customHeight="1">
      <c r="A18" s="8"/>
      <c r="B18" s="8"/>
      <c r="C18" s="8"/>
      <c r="D18" s="8"/>
      <c r="E18" s="57" t="s">
        <v>112</v>
      </c>
      <c r="F18" s="33" t="s">
        <v>113</v>
      </c>
      <c r="G18" s="26"/>
      <c r="H18" s="26">
        <v>107041</v>
      </c>
      <c r="I18" s="25"/>
    </row>
    <row r="19" spans="1:9" ht="17.25" customHeight="1">
      <c r="A19" s="8"/>
      <c r="B19" s="8"/>
      <c r="C19" s="8"/>
      <c r="D19" s="8"/>
      <c r="E19" s="8" t="s">
        <v>114</v>
      </c>
      <c r="F19" s="33" t="s">
        <v>115</v>
      </c>
      <c r="G19" s="26">
        <v>808120</v>
      </c>
      <c r="H19" s="26">
        <v>808120</v>
      </c>
      <c r="I19" s="25">
        <f t="shared" si="0"/>
        <v>100</v>
      </c>
    </row>
    <row r="20" spans="1:9" ht="18" customHeight="1">
      <c r="A20" s="8"/>
      <c r="B20" s="8"/>
      <c r="C20" s="8"/>
      <c r="D20" s="8" t="s">
        <v>116</v>
      </c>
      <c r="E20" s="8" t="s">
        <v>187</v>
      </c>
      <c r="F20" s="8"/>
      <c r="G20" s="26">
        <v>5000000</v>
      </c>
      <c r="H20" s="26">
        <v>5000000</v>
      </c>
      <c r="I20" s="25">
        <f t="shared" si="0"/>
        <v>100</v>
      </c>
    </row>
    <row r="21" spans="1:9" ht="14.25" customHeight="1">
      <c r="A21" s="8"/>
      <c r="B21" s="8"/>
      <c r="C21" s="8"/>
      <c r="D21" s="8"/>
      <c r="E21" s="8"/>
      <c r="F21" s="58" t="s">
        <v>202</v>
      </c>
      <c r="G21" s="26"/>
      <c r="H21" s="26"/>
      <c r="I21" s="25"/>
    </row>
    <row r="22" spans="1:9" ht="18" customHeight="1">
      <c r="A22" s="8"/>
      <c r="B22" s="8"/>
      <c r="C22" s="8"/>
      <c r="D22" s="8" t="s">
        <v>188</v>
      </c>
      <c r="E22" s="8"/>
      <c r="F22" s="8"/>
      <c r="G22" s="27">
        <v>43350</v>
      </c>
      <c r="H22" s="26">
        <v>45900</v>
      </c>
      <c r="I22" s="25">
        <f t="shared" si="0"/>
        <v>105.88235294117648</v>
      </c>
    </row>
    <row r="23" spans="1:9" ht="18" customHeight="1">
      <c r="A23" s="8"/>
      <c r="B23" s="8"/>
      <c r="C23" s="9" t="s">
        <v>12</v>
      </c>
      <c r="D23" s="9" t="s">
        <v>332</v>
      </c>
      <c r="E23" s="9"/>
      <c r="F23" s="9"/>
      <c r="G23" s="27">
        <v>1009100</v>
      </c>
      <c r="H23" s="26">
        <v>990400</v>
      </c>
      <c r="I23" s="25">
        <f t="shared" si="0"/>
        <v>98.14686354176989</v>
      </c>
    </row>
    <row r="24" spans="1:9" ht="8.25" customHeight="1" hidden="1">
      <c r="A24" s="337" t="s">
        <v>117</v>
      </c>
      <c r="B24" s="337"/>
      <c r="C24" s="337"/>
      <c r="D24" s="337"/>
      <c r="E24" s="337"/>
      <c r="F24" s="337"/>
      <c r="G24" s="26"/>
      <c r="H24" s="26"/>
      <c r="I24" s="25"/>
    </row>
    <row r="25" spans="1:9" ht="15.75" customHeight="1">
      <c r="A25" s="337"/>
      <c r="B25" s="337"/>
      <c r="C25" s="337"/>
      <c r="D25" s="337"/>
      <c r="E25" s="337"/>
      <c r="F25" s="337"/>
      <c r="G25" s="36">
        <f>SUM(G15:G24)</f>
        <v>8299580</v>
      </c>
      <c r="H25" s="36">
        <f>SUM(H15:H24)</f>
        <v>8390471</v>
      </c>
      <c r="I25" s="30">
        <f>(H25/G25)*100</f>
        <v>101.09512770525737</v>
      </c>
    </row>
    <row r="26" spans="1:9" ht="32.25" customHeight="1">
      <c r="A26" s="56"/>
      <c r="B26" s="334" t="s">
        <v>200</v>
      </c>
      <c r="C26" s="334"/>
      <c r="D26" s="334"/>
      <c r="E26" s="334"/>
      <c r="F26" s="334"/>
      <c r="G26" s="22"/>
      <c r="H26" s="22"/>
      <c r="I26" s="25"/>
    </row>
    <row r="27" spans="1:9" ht="29.25" customHeight="1">
      <c r="A27" s="8"/>
      <c r="B27" s="8"/>
      <c r="C27" s="8"/>
      <c r="D27" s="57" t="s">
        <v>8</v>
      </c>
      <c r="E27" s="335" t="s">
        <v>189</v>
      </c>
      <c r="F27" s="335"/>
      <c r="G27" s="26">
        <v>1120000</v>
      </c>
      <c r="H27" s="26">
        <v>1583000</v>
      </c>
      <c r="I27" s="25">
        <f>(H27/G27)*100</f>
        <v>141.33928571428572</v>
      </c>
    </row>
    <row r="28" spans="1:9" ht="29.25" customHeight="1">
      <c r="A28" s="8"/>
      <c r="B28" s="8"/>
      <c r="C28" s="8"/>
      <c r="D28" s="57" t="s">
        <v>9</v>
      </c>
      <c r="E28" s="335" t="s">
        <v>274</v>
      </c>
      <c r="F28" s="335"/>
      <c r="G28" s="26">
        <v>387520</v>
      </c>
      <c r="H28" s="26">
        <f>332160+60000</f>
        <v>392160</v>
      </c>
      <c r="I28" s="25">
        <f>(H28/G28)*100</f>
        <v>101.19735755573906</v>
      </c>
    </row>
    <row r="29" spans="1:9" ht="15" customHeight="1">
      <c r="A29" s="8"/>
      <c r="B29" s="8"/>
      <c r="C29" s="8"/>
      <c r="D29" s="57"/>
      <c r="E29" s="335" t="s">
        <v>275</v>
      </c>
      <c r="F29" s="335"/>
      <c r="G29" s="26">
        <v>3100000</v>
      </c>
      <c r="H29" s="26">
        <f>3100000+1150000</f>
        <v>4250000</v>
      </c>
      <c r="I29" s="25">
        <f>(H29/G29)*100</f>
        <v>137.09677419354838</v>
      </c>
    </row>
    <row r="30" spans="1:9" ht="15" customHeight="1">
      <c r="A30" s="8"/>
      <c r="B30" s="8"/>
      <c r="C30" s="8"/>
      <c r="D30" s="57" t="s">
        <v>10</v>
      </c>
      <c r="E30" s="335" t="s">
        <v>341</v>
      </c>
      <c r="F30" s="358"/>
      <c r="G30" s="26"/>
      <c r="H30" s="26">
        <f>63994+63728+31463</f>
        <v>159185</v>
      </c>
      <c r="I30" s="25"/>
    </row>
    <row r="31" spans="1:9" ht="15" customHeight="1">
      <c r="A31" s="8"/>
      <c r="B31" s="8"/>
      <c r="C31" s="8"/>
      <c r="D31" s="57" t="s">
        <v>11</v>
      </c>
      <c r="E31" s="335" t="s">
        <v>276</v>
      </c>
      <c r="F31" s="335"/>
      <c r="G31" s="26"/>
      <c r="H31" s="26"/>
      <c r="I31" s="25"/>
    </row>
    <row r="32" spans="1:9" ht="30" customHeight="1">
      <c r="A32" s="8"/>
      <c r="B32" s="8"/>
      <c r="C32" s="8"/>
      <c r="D32" s="57"/>
      <c r="E32" s="335" t="s">
        <v>277</v>
      </c>
      <c r="F32" s="335"/>
      <c r="G32" s="26"/>
      <c r="H32" s="26">
        <v>99180</v>
      </c>
      <c r="I32" s="25"/>
    </row>
    <row r="33" spans="1:9" ht="28.5" customHeight="1">
      <c r="A33" s="59"/>
      <c r="B33" s="59"/>
      <c r="C33" s="349" t="s">
        <v>118</v>
      </c>
      <c r="D33" s="349"/>
      <c r="E33" s="349"/>
      <c r="F33" s="349"/>
      <c r="G33" s="37">
        <f>SUM(G27:G32)</f>
        <v>4607520</v>
      </c>
      <c r="H33" s="37">
        <f>SUM(H27:H32)</f>
        <v>6483525</v>
      </c>
      <c r="I33" s="38">
        <f>(H33/G33)*100</f>
        <v>140.71615532868006</v>
      </c>
    </row>
    <row r="34" spans="1:9" ht="6" customHeight="1" hidden="1">
      <c r="A34" s="8"/>
      <c r="B34" s="8"/>
      <c r="C34" s="8"/>
      <c r="D34" s="8"/>
      <c r="E34" s="8"/>
      <c r="F34" s="8"/>
      <c r="G34" s="26"/>
      <c r="H34" s="26"/>
      <c r="I34" s="25"/>
    </row>
    <row r="35" spans="1:9" ht="26.25" customHeight="1">
      <c r="A35" s="56"/>
      <c r="B35" s="334" t="s">
        <v>201</v>
      </c>
      <c r="C35" s="334"/>
      <c r="D35" s="334"/>
      <c r="E35" s="334"/>
      <c r="F35" s="334"/>
      <c r="G35" s="22"/>
      <c r="H35" s="22"/>
      <c r="I35" s="25"/>
    </row>
    <row r="36" spans="1:9" ht="27" customHeight="1">
      <c r="A36" s="8"/>
      <c r="B36" s="8"/>
      <c r="C36" s="8"/>
      <c r="D36" s="8" t="s">
        <v>7</v>
      </c>
      <c r="E36" s="362" t="s">
        <v>119</v>
      </c>
      <c r="F36" s="362"/>
      <c r="G36" s="24"/>
      <c r="H36" s="24"/>
      <c r="I36" s="25"/>
    </row>
    <row r="37" spans="1:9" ht="33.75" customHeight="1">
      <c r="A37" s="8"/>
      <c r="B37" s="8"/>
      <c r="C37" s="8"/>
      <c r="D37" s="8"/>
      <c r="E37" s="57" t="s">
        <v>120</v>
      </c>
      <c r="F37" s="61" t="s">
        <v>199</v>
      </c>
      <c r="G37" s="24">
        <v>1800000</v>
      </c>
      <c r="H37" s="24">
        <v>1800000</v>
      </c>
      <c r="I37" s="25">
        <f>(H37/G37)*100</f>
        <v>100</v>
      </c>
    </row>
    <row r="38" spans="1:9" ht="27.75" customHeight="1">
      <c r="A38" s="8"/>
      <c r="B38" s="337" t="s">
        <v>203</v>
      </c>
      <c r="C38" s="337"/>
      <c r="D38" s="337"/>
      <c r="E38" s="337"/>
      <c r="F38" s="337"/>
      <c r="G38" s="31">
        <f>SUM(G37:G37)</f>
        <v>1800000</v>
      </c>
      <c r="H38" s="31">
        <f>SUM(H37:H37)</f>
        <v>1800000</v>
      </c>
      <c r="I38" s="30">
        <f>(H38/G38)*100</f>
        <v>100</v>
      </c>
    </row>
    <row r="39" spans="1:9" ht="13.5" customHeight="1">
      <c r="A39" s="8"/>
      <c r="B39" s="144" t="s">
        <v>145</v>
      </c>
      <c r="C39" s="337" t="s">
        <v>342</v>
      </c>
      <c r="D39" s="361"/>
      <c r="E39" s="361"/>
      <c r="F39" s="361"/>
      <c r="G39" s="28"/>
      <c r="H39" s="28"/>
      <c r="I39" s="25"/>
    </row>
    <row r="40" spans="1:9" ht="15" customHeight="1">
      <c r="A40" s="8"/>
      <c r="B40" s="9"/>
      <c r="C40" s="9"/>
      <c r="D40" s="33" t="s">
        <v>8</v>
      </c>
      <c r="E40" s="335" t="s">
        <v>343</v>
      </c>
      <c r="F40" s="359"/>
      <c r="G40" s="24"/>
      <c r="H40" s="24">
        <v>345440</v>
      </c>
      <c r="I40" s="25"/>
    </row>
    <row r="41" spans="1:9" ht="15" customHeight="1">
      <c r="A41" s="8"/>
      <c r="B41" s="9" t="s">
        <v>344</v>
      </c>
      <c r="C41" s="23"/>
      <c r="D41" s="23"/>
      <c r="E41" s="24"/>
      <c r="G41" s="22">
        <f>G40</f>
        <v>0</v>
      </c>
      <c r="H41" s="22">
        <f>H40</f>
        <v>345440</v>
      </c>
      <c r="I41" s="25"/>
    </row>
    <row r="42" spans="1:9" ht="4.5" customHeight="1">
      <c r="A42" s="8"/>
      <c r="B42" s="8"/>
      <c r="C42" s="8"/>
      <c r="D42" s="8"/>
      <c r="E42" s="8"/>
      <c r="F42" s="33"/>
      <c r="G42" s="24"/>
      <c r="H42" s="24"/>
      <c r="I42" s="25"/>
    </row>
    <row r="43" spans="1:9" ht="28.5" customHeight="1">
      <c r="A43" s="354" t="s">
        <v>190</v>
      </c>
      <c r="B43" s="355"/>
      <c r="C43" s="355"/>
      <c r="D43" s="355"/>
      <c r="E43" s="355"/>
      <c r="F43" s="355"/>
      <c r="G43" s="29">
        <f>G25+G33+G38+G42+G39+G41</f>
        <v>14707100</v>
      </c>
      <c r="H43" s="29">
        <f>H25+H33+H38+H39+H41</f>
        <v>17019436</v>
      </c>
      <c r="I43" s="30">
        <f>(H43/G43)*100</f>
        <v>115.72258297013008</v>
      </c>
    </row>
    <row r="44" spans="1:9" ht="24.75" customHeight="1" thickBot="1">
      <c r="A44" s="356" t="s">
        <v>198</v>
      </c>
      <c r="B44" s="356"/>
      <c r="C44" s="356"/>
      <c r="D44" s="356"/>
      <c r="E44" s="356"/>
      <c r="F44" s="356"/>
      <c r="G44" s="356"/>
      <c r="H44" s="356"/>
      <c r="I44" s="356"/>
    </row>
    <row r="45" spans="1:9" ht="17.25" customHeight="1">
      <c r="A45" s="340" t="s">
        <v>100</v>
      </c>
      <c r="B45" s="341"/>
      <c r="C45" s="341"/>
      <c r="D45" s="341"/>
      <c r="E45" s="341"/>
      <c r="F45" s="342"/>
      <c r="G45" s="51" t="s">
        <v>0</v>
      </c>
      <c r="H45" s="51" t="s">
        <v>0</v>
      </c>
      <c r="I45" s="41" t="s">
        <v>186</v>
      </c>
    </row>
    <row r="46" spans="1:9" ht="14.25" customHeight="1">
      <c r="A46" s="343"/>
      <c r="B46" s="344"/>
      <c r="C46" s="344"/>
      <c r="D46" s="344"/>
      <c r="E46" s="344"/>
      <c r="F46" s="345"/>
      <c r="G46" s="52" t="s">
        <v>35</v>
      </c>
      <c r="H46" s="52" t="s">
        <v>35</v>
      </c>
      <c r="I46" s="53"/>
    </row>
    <row r="47" spans="1:9" ht="16.5" customHeight="1" thickBot="1">
      <c r="A47" s="346"/>
      <c r="B47" s="347"/>
      <c r="C47" s="347"/>
      <c r="D47" s="347"/>
      <c r="E47" s="347"/>
      <c r="F47" s="348"/>
      <c r="G47" s="54" t="s">
        <v>331</v>
      </c>
      <c r="H47" s="54" t="s">
        <v>349</v>
      </c>
      <c r="I47" s="55" t="s">
        <v>1</v>
      </c>
    </row>
    <row r="48" spans="1:9" ht="33" customHeight="1">
      <c r="A48" s="46"/>
      <c r="B48" s="353" t="s">
        <v>204</v>
      </c>
      <c r="C48" s="336"/>
      <c r="D48" s="336"/>
      <c r="E48" s="336"/>
      <c r="F48" s="336"/>
      <c r="G48" s="27"/>
      <c r="H48" s="27"/>
      <c r="I48" s="30"/>
    </row>
    <row r="49" spans="1:9" ht="15">
      <c r="A49" s="43"/>
      <c r="B49" s="43"/>
      <c r="C49" s="137" t="s">
        <v>7</v>
      </c>
      <c r="D49" s="45" t="s">
        <v>122</v>
      </c>
      <c r="E49" s="43"/>
      <c r="F49" s="43"/>
      <c r="G49" s="27">
        <v>52200</v>
      </c>
      <c r="H49" s="27">
        <v>65000</v>
      </c>
      <c r="I49" s="25">
        <f>(H49/G49)*100</f>
        <v>124.52107279693487</v>
      </c>
    </row>
    <row r="50" spans="1:9" ht="15">
      <c r="A50" s="43"/>
      <c r="B50" s="43"/>
      <c r="C50" s="43" t="s">
        <v>8</v>
      </c>
      <c r="D50" s="352" t="s">
        <v>123</v>
      </c>
      <c r="E50" s="352"/>
      <c r="F50" s="352"/>
      <c r="G50" s="29"/>
      <c r="H50" s="27">
        <f>505557+422177+273126</f>
        <v>1200860</v>
      </c>
      <c r="I50" s="30"/>
    </row>
    <row r="51" spans="1:9" ht="15.75" customHeight="1">
      <c r="A51" s="43"/>
      <c r="B51" s="43"/>
      <c r="C51" s="43" t="s">
        <v>9</v>
      </c>
      <c r="D51" s="352" t="s">
        <v>389</v>
      </c>
      <c r="E51" s="357"/>
      <c r="F51" s="357"/>
      <c r="G51" s="29"/>
      <c r="H51" s="27">
        <v>400000</v>
      </c>
      <c r="I51" s="30"/>
    </row>
    <row r="52" spans="1:9" ht="29.25" customHeight="1">
      <c r="A52" s="43"/>
      <c r="B52" s="353" t="s">
        <v>124</v>
      </c>
      <c r="C52" s="353"/>
      <c r="D52" s="353"/>
      <c r="E52" s="353"/>
      <c r="F52" s="353"/>
      <c r="G52" s="29">
        <f>G49</f>
        <v>52200</v>
      </c>
      <c r="H52" s="29">
        <f>H49+H50+H51</f>
        <v>1665860</v>
      </c>
      <c r="I52" s="25">
        <f>(H52/G52)*100</f>
        <v>3191.302681992337</v>
      </c>
    </row>
    <row r="53" spans="1:9" ht="33.75" customHeight="1">
      <c r="A53" s="353" t="s">
        <v>125</v>
      </c>
      <c r="B53" s="353"/>
      <c r="C53" s="353"/>
      <c r="D53" s="353"/>
      <c r="E53" s="353"/>
      <c r="F53" s="353"/>
      <c r="G53" s="34">
        <f>G43+G52</f>
        <v>14759300</v>
      </c>
      <c r="H53" s="34">
        <f>H43+H52</f>
        <v>18685296</v>
      </c>
      <c r="I53" s="30">
        <f>(H53/G53)*100</f>
        <v>126.60015041363751</v>
      </c>
    </row>
    <row r="54" spans="1:9" ht="30.75" customHeight="1">
      <c r="A54" s="46" t="s">
        <v>121</v>
      </c>
      <c r="B54" s="353" t="s">
        <v>126</v>
      </c>
      <c r="C54" s="353"/>
      <c r="D54" s="353"/>
      <c r="E54" s="353"/>
      <c r="F54" s="353"/>
      <c r="G54" s="34"/>
      <c r="H54" s="29"/>
      <c r="I54" s="30"/>
    </row>
    <row r="55" spans="1:9" ht="15">
      <c r="A55" s="46"/>
      <c r="B55" s="42" t="s">
        <v>7</v>
      </c>
      <c r="C55" s="353" t="s">
        <v>191</v>
      </c>
      <c r="D55" s="353"/>
      <c r="E55" s="353"/>
      <c r="F55" s="353"/>
      <c r="G55" s="27"/>
      <c r="H55" s="27"/>
      <c r="I55" s="25"/>
    </row>
    <row r="56" spans="1:9" ht="30.75" customHeight="1">
      <c r="A56" s="46"/>
      <c r="B56" s="42"/>
      <c r="C56" s="42" t="s">
        <v>7</v>
      </c>
      <c r="D56" s="363" t="s">
        <v>335</v>
      </c>
      <c r="E56" s="357"/>
      <c r="F56" s="357"/>
      <c r="G56" s="27">
        <v>5697553</v>
      </c>
      <c r="H56" s="27"/>
      <c r="I56" s="25"/>
    </row>
    <row r="57" spans="1:9" ht="30.75" customHeight="1">
      <c r="A57" s="46"/>
      <c r="B57" s="42"/>
      <c r="C57" s="353" t="s">
        <v>192</v>
      </c>
      <c r="D57" s="353"/>
      <c r="E57" s="353"/>
      <c r="F57" s="353"/>
      <c r="G57" s="34">
        <f>G56</f>
        <v>5697553</v>
      </c>
      <c r="H57" s="34">
        <f>H56</f>
        <v>0</v>
      </c>
      <c r="I57" s="8"/>
    </row>
    <row r="58" spans="1:9" ht="15" customHeight="1">
      <c r="A58" s="46"/>
      <c r="B58" s="42" t="s">
        <v>8</v>
      </c>
      <c r="C58" s="353" t="s">
        <v>334</v>
      </c>
      <c r="D58" s="357"/>
      <c r="E58" s="357"/>
      <c r="F58" s="357"/>
      <c r="G58" s="34"/>
      <c r="H58" s="34"/>
      <c r="I58" s="8"/>
    </row>
    <row r="59" spans="1:9" ht="18.75" customHeight="1">
      <c r="A59" s="46"/>
      <c r="B59" s="42"/>
      <c r="C59" s="42" t="s">
        <v>7</v>
      </c>
      <c r="D59" s="47" t="s">
        <v>298</v>
      </c>
      <c r="E59" s="42"/>
      <c r="F59" s="42"/>
      <c r="G59" s="27">
        <v>31078900</v>
      </c>
      <c r="H59" s="27">
        <v>57502275</v>
      </c>
      <c r="I59" s="25">
        <f>(H59/G59)*100</f>
        <v>185.0203031638829</v>
      </c>
    </row>
    <row r="60" spans="1:9" ht="18.75" customHeight="1">
      <c r="A60" s="46"/>
      <c r="B60" s="42"/>
      <c r="C60" s="42" t="s">
        <v>8</v>
      </c>
      <c r="D60" s="47" t="s">
        <v>299</v>
      </c>
      <c r="E60" s="42"/>
      <c r="F60" s="42"/>
      <c r="G60" s="27">
        <v>3453211</v>
      </c>
      <c r="H60" s="27">
        <v>3069605</v>
      </c>
      <c r="I60" s="25">
        <f>(H60/G60)*100</f>
        <v>88.89132462510979</v>
      </c>
    </row>
    <row r="61" spans="1:9" ht="18.75" customHeight="1">
      <c r="A61" s="46"/>
      <c r="B61" s="42"/>
      <c r="C61" s="42" t="s">
        <v>9</v>
      </c>
      <c r="D61" s="47" t="s">
        <v>388</v>
      </c>
      <c r="E61" s="42"/>
      <c r="F61" s="42"/>
      <c r="G61" s="27"/>
      <c r="H61" s="27">
        <v>14046748</v>
      </c>
      <c r="I61" s="25"/>
    </row>
    <row r="62" spans="1:9" ht="28.5" customHeight="1">
      <c r="A62" s="46"/>
      <c r="B62" s="42"/>
      <c r="C62" s="353" t="s">
        <v>333</v>
      </c>
      <c r="D62" s="353"/>
      <c r="E62" s="353"/>
      <c r="F62" s="353"/>
      <c r="G62" s="34">
        <f>G59+G60</f>
        <v>34532111</v>
      </c>
      <c r="H62" s="34">
        <f>H59+H60+H61</f>
        <v>74618628</v>
      </c>
      <c r="I62" s="25">
        <f>(H62/G62)*100</f>
        <v>216.0847565907569</v>
      </c>
    </row>
    <row r="63" spans="1:9" ht="30" customHeight="1">
      <c r="A63" s="353" t="s">
        <v>126</v>
      </c>
      <c r="B63" s="353"/>
      <c r="C63" s="353"/>
      <c r="D63" s="353"/>
      <c r="E63" s="353"/>
      <c r="F63" s="357"/>
      <c r="G63" s="34">
        <f>G57+G62</f>
        <v>40229664</v>
      </c>
      <c r="H63" s="34">
        <f>H57+H62</f>
        <v>74618628</v>
      </c>
      <c r="I63" s="25">
        <f>(H63/G63)*100</f>
        <v>185.48160879494296</v>
      </c>
    </row>
    <row r="64" spans="1:19" ht="15">
      <c r="A64" s="9" t="s">
        <v>127</v>
      </c>
      <c r="B64" s="9" t="s">
        <v>80</v>
      </c>
      <c r="C64" s="9"/>
      <c r="D64" s="9"/>
      <c r="E64" s="9"/>
      <c r="F64" s="9"/>
      <c r="G64" s="9"/>
      <c r="H64" s="31"/>
      <c r="I64" s="25"/>
      <c r="L64" s="350"/>
      <c r="M64" s="351"/>
      <c r="N64" s="351"/>
      <c r="O64" s="351"/>
      <c r="P64" s="351"/>
      <c r="Q64" s="351"/>
      <c r="R64" s="351"/>
      <c r="S64" s="351"/>
    </row>
    <row r="65" spans="1:9" ht="15">
      <c r="A65" s="8"/>
      <c r="B65" s="8" t="s">
        <v>135</v>
      </c>
      <c r="C65" s="8" t="s">
        <v>128</v>
      </c>
      <c r="D65" s="8"/>
      <c r="E65" s="8"/>
      <c r="F65" s="8"/>
      <c r="G65" s="8"/>
      <c r="H65" s="26"/>
      <c r="I65" s="25"/>
    </row>
    <row r="66" spans="1:9" ht="15">
      <c r="A66" s="8"/>
      <c r="B66" s="8"/>
      <c r="C66" s="8" t="s">
        <v>7</v>
      </c>
      <c r="D66" s="8" t="s">
        <v>129</v>
      </c>
      <c r="E66" s="8"/>
      <c r="F66" s="8"/>
      <c r="G66" s="26">
        <v>110000</v>
      </c>
      <c r="H66" s="26">
        <v>110000</v>
      </c>
      <c r="I66" s="25">
        <f>H66/G66*100</f>
        <v>100</v>
      </c>
    </row>
    <row r="67" spans="1:9" ht="15">
      <c r="A67" s="9"/>
      <c r="B67" s="9" t="s">
        <v>7</v>
      </c>
      <c r="C67" s="9" t="s">
        <v>130</v>
      </c>
      <c r="D67" s="9"/>
      <c r="E67" s="9"/>
      <c r="F67" s="9"/>
      <c r="G67" s="9"/>
      <c r="H67" s="31"/>
      <c r="I67" s="25"/>
    </row>
    <row r="68" spans="1:9" ht="15">
      <c r="A68" s="8"/>
      <c r="B68" s="8"/>
      <c r="C68" s="8" t="s">
        <v>7</v>
      </c>
      <c r="D68" s="8" t="s">
        <v>131</v>
      </c>
      <c r="E68" s="8"/>
      <c r="F68" s="8"/>
      <c r="G68" s="26">
        <v>1000000</v>
      </c>
      <c r="H68" s="26">
        <v>1000000</v>
      </c>
      <c r="I68" s="25">
        <f>H68/G68*100</f>
        <v>100</v>
      </c>
    </row>
    <row r="69" spans="1:9" ht="15">
      <c r="A69" s="9"/>
      <c r="B69" s="9" t="s">
        <v>8</v>
      </c>
      <c r="C69" s="9" t="s">
        <v>132</v>
      </c>
      <c r="D69" s="9"/>
      <c r="E69" s="9"/>
      <c r="F69" s="9"/>
      <c r="G69" s="31"/>
      <c r="H69" s="31"/>
      <c r="I69" s="25"/>
    </row>
    <row r="70" spans="1:9" ht="15">
      <c r="A70" s="8"/>
      <c r="B70" s="8"/>
      <c r="C70" s="8" t="s">
        <v>7</v>
      </c>
      <c r="D70" s="8" t="s">
        <v>133</v>
      </c>
      <c r="E70" s="8"/>
      <c r="F70" s="8"/>
      <c r="G70" s="26">
        <v>200000</v>
      </c>
      <c r="H70" s="26">
        <v>200000</v>
      </c>
      <c r="I70" s="25">
        <f>H70/G70*100</f>
        <v>100</v>
      </c>
    </row>
    <row r="71" spans="1:9" ht="15">
      <c r="A71" s="9"/>
      <c r="B71" s="9" t="s">
        <v>10</v>
      </c>
      <c r="C71" s="9" t="s">
        <v>134</v>
      </c>
      <c r="D71" s="9"/>
      <c r="E71" s="9"/>
      <c r="F71" s="9"/>
      <c r="G71" s="31"/>
      <c r="H71" s="31"/>
      <c r="I71" s="25"/>
    </row>
    <row r="72" spans="1:9" ht="15">
      <c r="A72" s="8"/>
      <c r="B72" s="8"/>
      <c r="C72" s="9" t="s">
        <v>7</v>
      </c>
      <c r="D72" s="8" t="s">
        <v>136</v>
      </c>
      <c r="E72" s="8"/>
      <c r="F72" s="8"/>
      <c r="G72" s="26">
        <v>5000</v>
      </c>
      <c r="H72" s="26">
        <v>5000</v>
      </c>
      <c r="I72" s="25">
        <f>H72/G72*100</f>
        <v>100</v>
      </c>
    </row>
    <row r="73" spans="1:9" ht="15">
      <c r="A73" s="8"/>
      <c r="B73" s="8"/>
      <c r="C73" s="9" t="s">
        <v>9</v>
      </c>
      <c r="D73" s="8" t="s">
        <v>137</v>
      </c>
      <c r="E73" s="8"/>
      <c r="F73" s="8"/>
      <c r="G73" s="26">
        <v>5000</v>
      </c>
      <c r="H73" s="26">
        <v>5000</v>
      </c>
      <c r="I73" s="25">
        <f>H73/G73*100</f>
        <v>100</v>
      </c>
    </row>
    <row r="74" spans="1:9" ht="15">
      <c r="A74" s="9" t="s">
        <v>138</v>
      </c>
      <c r="B74" s="43"/>
      <c r="C74" s="43"/>
      <c r="D74" s="43"/>
      <c r="E74" s="43"/>
      <c r="F74" s="43"/>
      <c r="G74" s="29">
        <f>SUM(G66:G73)</f>
        <v>1320000</v>
      </c>
      <c r="H74" s="29">
        <f>SUM(H66:H73)</f>
        <v>1320000</v>
      </c>
      <c r="I74" s="30">
        <f>H74/G74*100</f>
        <v>100</v>
      </c>
    </row>
    <row r="75" spans="1:9" ht="15">
      <c r="A75" s="9" t="s">
        <v>139</v>
      </c>
      <c r="B75" s="9" t="s">
        <v>81</v>
      </c>
      <c r="C75" s="9"/>
      <c r="D75" s="9"/>
      <c r="E75" s="9"/>
      <c r="F75" s="9"/>
      <c r="G75" s="9"/>
      <c r="H75" s="31"/>
      <c r="I75" s="25"/>
    </row>
    <row r="76" spans="1:9" ht="6" customHeight="1">
      <c r="A76" s="43"/>
      <c r="B76" s="43"/>
      <c r="C76" s="43"/>
      <c r="D76" s="43"/>
      <c r="E76" s="43"/>
      <c r="F76" s="43"/>
      <c r="G76" s="27"/>
      <c r="H76" s="27"/>
      <c r="I76" s="25"/>
    </row>
    <row r="77" spans="1:9" ht="15">
      <c r="A77" s="43"/>
      <c r="B77" s="43" t="s">
        <v>7</v>
      </c>
      <c r="C77" s="360" t="s">
        <v>140</v>
      </c>
      <c r="D77" s="360"/>
      <c r="E77" s="360"/>
      <c r="F77" s="360"/>
      <c r="G77" s="27"/>
      <c r="H77" s="27"/>
      <c r="I77" s="25"/>
    </row>
    <row r="78" spans="1:9" ht="15">
      <c r="A78" s="43"/>
      <c r="B78" s="43"/>
      <c r="C78" s="48" t="s">
        <v>7</v>
      </c>
      <c r="D78" s="48" t="s">
        <v>141</v>
      </c>
      <c r="E78" s="48"/>
      <c r="F78" s="48"/>
      <c r="G78" s="27">
        <v>596046</v>
      </c>
      <c r="H78" s="27">
        <f>562424+23622+10000</f>
        <v>596046</v>
      </c>
      <c r="I78" s="25">
        <f>H78/G78*100</f>
        <v>100</v>
      </c>
    </row>
    <row r="79" spans="1:9" ht="15">
      <c r="A79" s="43"/>
      <c r="B79" s="43"/>
      <c r="C79" s="48" t="s">
        <v>8</v>
      </c>
      <c r="D79" s="48" t="s">
        <v>142</v>
      </c>
      <c r="E79" s="48"/>
      <c r="F79" s="48"/>
      <c r="G79" s="27">
        <v>578690</v>
      </c>
      <c r="H79" s="27">
        <v>448788</v>
      </c>
      <c r="I79" s="25">
        <f>H79/G79*100</f>
        <v>77.55240284089928</v>
      </c>
    </row>
    <row r="80" spans="1:9" ht="15">
      <c r="A80" s="43"/>
      <c r="B80" s="43"/>
      <c r="C80" s="48" t="s">
        <v>9</v>
      </c>
      <c r="D80" s="48" t="s">
        <v>143</v>
      </c>
      <c r="E80" s="43"/>
      <c r="F80" s="43"/>
      <c r="G80" s="27">
        <v>2000</v>
      </c>
      <c r="H80" s="27"/>
      <c r="I80" s="25"/>
    </row>
    <row r="81" spans="1:9" ht="15.75">
      <c r="A81" s="43"/>
      <c r="B81" s="43"/>
      <c r="C81" s="48" t="s">
        <v>10</v>
      </c>
      <c r="D81" s="48" t="s">
        <v>290</v>
      </c>
      <c r="E81" s="43"/>
      <c r="F81" s="43"/>
      <c r="G81" s="27">
        <v>391396</v>
      </c>
      <c r="H81" s="27">
        <v>365592</v>
      </c>
      <c r="I81" s="32">
        <f>H81/G81*100</f>
        <v>93.40718862737484</v>
      </c>
    </row>
    <row r="82" spans="1:9" ht="15.75">
      <c r="A82" s="43"/>
      <c r="B82" s="43"/>
      <c r="C82" s="48" t="s">
        <v>11</v>
      </c>
      <c r="D82" s="48" t="s">
        <v>293</v>
      </c>
      <c r="E82" s="43"/>
      <c r="F82" s="43"/>
      <c r="G82" s="27">
        <v>9547582</v>
      </c>
      <c r="H82" s="27">
        <v>16582383</v>
      </c>
      <c r="I82" s="32">
        <f>H82/G82*100</f>
        <v>173.68149338754043</v>
      </c>
    </row>
    <row r="83" spans="1:9" ht="15.75" customHeight="1">
      <c r="A83" s="9" t="s">
        <v>144</v>
      </c>
      <c r="B83" s="43"/>
      <c r="C83" s="43"/>
      <c r="D83" s="43"/>
      <c r="E83" s="43"/>
      <c r="F83" s="43"/>
      <c r="G83" s="29">
        <f>G78+G79+G80+G81+G82</f>
        <v>11115714</v>
      </c>
      <c r="H83" s="29">
        <f>H78+H79+H80+H81+H82</f>
        <v>17992809</v>
      </c>
      <c r="I83" s="30">
        <f>H83/G83*100</f>
        <v>161.86822546891725</v>
      </c>
    </row>
    <row r="84" spans="1:9" ht="6" customHeight="1" hidden="1">
      <c r="A84" s="9"/>
      <c r="B84" s="43"/>
      <c r="C84" s="43"/>
      <c r="D84" s="43"/>
      <c r="E84" s="43"/>
      <c r="F84" s="43"/>
      <c r="G84" s="29"/>
      <c r="H84" s="29"/>
      <c r="I84" s="30"/>
    </row>
    <row r="85" spans="1:9" ht="15">
      <c r="A85" s="9" t="s">
        <v>145</v>
      </c>
      <c r="B85" s="9" t="s">
        <v>85</v>
      </c>
      <c r="C85" s="9"/>
      <c r="D85" s="9"/>
      <c r="E85" s="9"/>
      <c r="F85" s="9"/>
      <c r="G85" s="9"/>
      <c r="H85" s="31"/>
      <c r="I85" s="25"/>
    </row>
    <row r="86" spans="1:9" ht="27.75" customHeight="1">
      <c r="A86" s="8"/>
      <c r="B86" s="57" t="s">
        <v>7</v>
      </c>
      <c r="C86" s="362" t="s">
        <v>197</v>
      </c>
      <c r="D86" s="362"/>
      <c r="E86" s="362"/>
      <c r="F86" s="362"/>
      <c r="G86" s="33"/>
      <c r="H86" s="24"/>
      <c r="I86" s="25"/>
    </row>
    <row r="87" spans="1:9" ht="30" customHeight="1">
      <c r="A87" s="8"/>
      <c r="B87" s="8"/>
      <c r="C87" s="57" t="s">
        <v>7</v>
      </c>
      <c r="D87" s="362" t="s">
        <v>193</v>
      </c>
      <c r="E87" s="362"/>
      <c r="F87" s="362"/>
      <c r="G87" s="27"/>
      <c r="H87" s="39"/>
      <c r="I87" s="25"/>
    </row>
    <row r="88" spans="1:9" ht="0.75" customHeight="1">
      <c r="A88" s="8"/>
      <c r="B88" s="8"/>
      <c r="C88" s="8"/>
      <c r="D88" s="8"/>
      <c r="E88" s="8"/>
      <c r="F88" s="8"/>
      <c r="G88" s="8"/>
      <c r="H88" s="26"/>
      <c r="I88" s="25"/>
    </row>
    <row r="89" spans="1:9" ht="27.75" customHeight="1">
      <c r="A89" s="334" t="s">
        <v>194</v>
      </c>
      <c r="B89" s="334"/>
      <c r="C89" s="334"/>
      <c r="D89" s="334"/>
      <c r="E89" s="334"/>
      <c r="F89" s="334"/>
      <c r="G89" s="34">
        <f>SUM(G87:G88)</f>
        <v>0</v>
      </c>
      <c r="H89" s="34">
        <f>SUM(H87:H88)</f>
        <v>0</v>
      </c>
      <c r="I89" s="30"/>
    </row>
    <row r="90" spans="1:9" ht="17.25" customHeight="1">
      <c r="A90" s="9" t="s">
        <v>146</v>
      </c>
      <c r="B90" s="9"/>
      <c r="C90" s="9"/>
      <c r="D90" s="9"/>
      <c r="E90" s="9"/>
      <c r="F90" s="9"/>
      <c r="G90" s="34">
        <f>G53+G74+G83+G89+G63</f>
        <v>67424678</v>
      </c>
      <c r="H90" s="34">
        <f>H53+H74+H83+H89+H63</f>
        <v>112616733</v>
      </c>
      <c r="I90" s="30">
        <f>H90/G90*100</f>
        <v>167.0259856487561</v>
      </c>
    </row>
    <row r="91" spans="1:9" ht="26.25" customHeight="1" thickBot="1">
      <c r="A91" s="356" t="s">
        <v>345</v>
      </c>
      <c r="B91" s="356"/>
      <c r="C91" s="356"/>
      <c r="D91" s="356"/>
      <c r="E91" s="356"/>
      <c r="F91" s="356"/>
      <c r="G91" s="356"/>
      <c r="H91" s="356"/>
      <c r="I91" s="356"/>
    </row>
    <row r="92" spans="1:9" ht="17.25" customHeight="1">
      <c r="A92" s="340" t="s">
        <v>100</v>
      </c>
      <c r="B92" s="341"/>
      <c r="C92" s="341"/>
      <c r="D92" s="341"/>
      <c r="E92" s="341"/>
      <c r="F92" s="342"/>
      <c r="G92" s="51" t="s">
        <v>0</v>
      </c>
      <c r="H92" s="51" t="s">
        <v>0</v>
      </c>
      <c r="I92" s="41" t="s">
        <v>186</v>
      </c>
    </row>
    <row r="93" spans="1:9" ht="17.25" customHeight="1">
      <c r="A93" s="343"/>
      <c r="B93" s="344"/>
      <c r="C93" s="344"/>
      <c r="D93" s="344"/>
      <c r="E93" s="344"/>
      <c r="F93" s="345"/>
      <c r="G93" s="52" t="s">
        <v>35</v>
      </c>
      <c r="H93" s="52" t="s">
        <v>35</v>
      </c>
      <c r="I93" s="53"/>
    </row>
    <row r="94" spans="1:9" ht="17.25" customHeight="1" thickBot="1">
      <c r="A94" s="346"/>
      <c r="B94" s="347"/>
      <c r="C94" s="347"/>
      <c r="D94" s="347"/>
      <c r="E94" s="347"/>
      <c r="F94" s="348"/>
      <c r="G94" s="54" t="s">
        <v>331</v>
      </c>
      <c r="H94" s="54" t="s">
        <v>349</v>
      </c>
      <c r="I94" s="55" t="s">
        <v>1</v>
      </c>
    </row>
    <row r="95" spans="1:9" ht="17.25" customHeight="1">
      <c r="A95" s="9"/>
      <c r="B95" s="9"/>
      <c r="C95" s="9"/>
      <c r="D95" s="9"/>
      <c r="E95" s="9"/>
      <c r="F95" s="9"/>
      <c r="G95" s="34"/>
      <c r="H95" s="34"/>
      <c r="I95" s="30"/>
    </row>
    <row r="96" spans="1:9" ht="15">
      <c r="A96" s="9" t="s">
        <v>147</v>
      </c>
      <c r="B96" s="334" t="s">
        <v>148</v>
      </c>
      <c r="C96" s="334"/>
      <c r="D96" s="334"/>
      <c r="E96" s="334"/>
      <c r="F96" s="334"/>
      <c r="G96" s="9"/>
      <c r="H96" s="24"/>
      <c r="I96" s="25"/>
    </row>
    <row r="97" spans="1:9" ht="15">
      <c r="A97" s="9"/>
      <c r="B97" s="40" t="s">
        <v>7</v>
      </c>
      <c r="C97" s="334" t="s">
        <v>195</v>
      </c>
      <c r="D97" s="334"/>
      <c r="E97" s="334"/>
      <c r="F97" s="334"/>
      <c r="G97" s="27"/>
      <c r="H97" s="24"/>
      <c r="I97" s="25"/>
    </row>
    <row r="98" spans="1:9" ht="15.75">
      <c r="A98" s="9"/>
      <c r="B98" s="40"/>
      <c r="C98" s="60" t="s">
        <v>7</v>
      </c>
      <c r="D98" s="362" t="s">
        <v>205</v>
      </c>
      <c r="E98" s="362"/>
      <c r="F98" s="362"/>
      <c r="G98" s="24">
        <v>3098641</v>
      </c>
      <c r="H98" s="24">
        <f>1656758+78740+40000+183400+34478+12308598</f>
        <v>14301974</v>
      </c>
      <c r="I98" s="32">
        <f>H98/G98*100</f>
        <v>461.55634034404113</v>
      </c>
    </row>
    <row r="99" spans="1:9" ht="15" customHeight="1">
      <c r="A99" s="9"/>
      <c r="B99" s="40"/>
      <c r="C99" s="60" t="s">
        <v>8</v>
      </c>
      <c r="D99" s="362" t="s">
        <v>196</v>
      </c>
      <c r="E99" s="362"/>
      <c r="F99" s="362"/>
      <c r="G99" s="24"/>
      <c r="H99" s="8"/>
      <c r="I99" s="25"/>
    </row>
    <row r="100" spans="1:9" ht="15.75">
      <c r="A100" s="9" t="s">
        <v>148</v>
      </c>
      <c r="B100" s="9"/>
      <c r="C100" s="9"/>
      <c r="D100" s="9"/>
      <c r="E100" s="9"/>
      <c r="F100" s="9"/>
      <c r="G100" s="34">
        <f>G98+G99</f>
        <v>3098641</v>
      </c>
      <c r="H100" s="34">
        <f>H98+H99</f>
        <v>14301974</v>
      </c>
      <c r="I100" s="32">
        <f>H100/G100*100</f>
        <v>461.55634034404113</v>
      </c>
    </row>
    <row r="101" spans="1:9" ht="6" customHeight="1">
      <c r="A101" s="9"/>
      <c r="B101" s="9"/>
      <c r="C101" s="9"/>
      <c r="D101" s="9"/>
      <c r="E101" s="9"/>
      <c r="F101" s="9"/>
      <c r="G101" s="34"/>
      <c r="H101" s="34"/>
      <c r="I101" s="30"/>
    </row>
    <row r="102" spans="1:9" ht="15.75">
      <c r="A102" s="10" t="s">
        <v>149</v>
      </c>
      <c r="B102" s="10"/>
      <c r="C102" s="10"/>
      <c r="D102" s="10"/>
      <c r="E102" s="10"/>
      <c r="F102" s="10"/>
      <c r="G102" s="62">
        <f>G90+G100</f>
        <v>70523319</v>
      </c>
      <c r="H102" s="62">
        <f>H90+H100</f>
        <v>126918707</v>
      </c>
      <c r="I102" s="32">
        <f>H102/G102*100</f>
        <v>179.96700779213185</v>
      </c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8"/>
      <c r="C193" s="8"/>
      <c r="D193" s="8"/>
      <c r="E193" s="8"/>
      <c r="F193" s="8"/>
      <c r="G193" s="8"/>
      <c r="H193" s="8"/>
      <c r="I193" s="8"/>
    </row>
  </sheetData>
  <sheetProtection/>
  <mergeCells count="51">
    <mergeCell ref="D99:F99"/>
    <mergeCell ref="D87:F87"/>
    <mergeCell ref="A89:F89"/>
    <mergeCell ref="B96:F96"/>
    <mergeCell ref="C97:F97"/>
    <mergeCell ref="C86:F86"/>
    <mergeCell ref="A91:I91"/>
    <mergeCell ref="C39:F39"/>
    <mergeCell ref="A92:F94"/>
    <mergeCell ref="B35:F35"/>
    <mergeCell ref="E36:F36"/>
    <mergeCell ref="D98:F98"/>
    <mergeCell ref="C58:F58"/>
    <mergeCell ref="D56:F56"/>
    <mergeCell ref="A63:F63"/>
    <mergeCell ref="E30:F30"/>
    <mergeCell ref="B54:F54"/>
    <mergeCell ref="B48:F48"/>
    <mergeCell ref="B38:F38"/>
    <mergeCell ref="E40:F40"/>
    <mergeCell ref="C77:F77"/>
    <mergeCell ref="L64:S64"/>
    <mergeCell ref="D50:F50"/>
    <mergeCell ref="B52:F52"/>
    <mergeCell ref="A53:F53"/>
    <mergeCell ref="C62:F62"/>
    <mergeCell ref="A43:F43"/>
    <mergeCell ref="A44:I44"/>
    <mergeCell ref="C55:F55"/>
    <mergeCell ref="C57:F57"/>
    <mergeCell ref="D51:F51"/>
    <mergeCell ref="H7:I7"/>
    <mergeCell ref="A8:F10"/>
    <mergeCell ref="B11:F11"/>
    <mergeCell ref="A45:F47"/>
    <mergeCell ref="E27:F27"/>
    <mergeCell ref="C33:F33"/>
    <mergeCell ref="E28:F28"/>
    <mergeCell ref="E29:F29"/>
    <mergeCell ref="E31:F31"/>
    <mergeCell ref="E32:F32"/>
    <mergeCell ref="A1:I1"/>
    <mergeCell ref="E14:F14"/>
    <mergeCell ref="E15:F15"/>
    <mergeCell ref="A24:F25"/>
    <mergeCell ref="B26:F26"/>
    <mergeCell ref="A3:I3"/>
    <mergeCell ref="A4:I4"/>
    <mergeCell ref="A5:I5"/>
    <mergeCell ref="D13:F13"/>
    <mergeCell ref="A6:I6"/>
  </mergeCells>
  <printOptions/>
  <pageMargins left="0.3937007874015748" right="0.5118110236220472" top="0.2755905511811024" bottom="0.3937007874015748" header="0.31496062992125984" footer="0.3937007874015748"/>
  <pageSetup fitToHeight="0" fitToWidth="1" horizontalDpi="300" verticalDpi="3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P29"/>
  <sheetViews>
    <sheetView zoomScalePageLayoutView="0" workbookViewId="0" topLeftCell="A1">
      <selection activeCell="A4" sqref="A4:IV4"/>
    </sheetView>
  </sheetViews>
  <sheetFormatPr defaultColWidth="9.00390625" defaultRowHeight="12.75"/>
  <cols>
    <col min="3" max="3" width="53.625" style="0" customWidth="1"/>
    <col min="4" max="4" width="16.125" style="0" customWidth="1"/>
    <col min="5" max="5" width="17.375" style="0" customWidth="1"/>
    <col min="6" max="6" width="19.00390625" style="0" customWidth="1"/>
    <col min="7" max="7" width="25.375" style="0" customWidth="1"/>
  </cols>
  <sheetData>
    <row r="2" spans="1:16" ht="15.75">
      <c r="A2" s="387" t="s">
        <v>404</v>
      </c>
      <c r="B2" s="388"/>
      <c r="C2" s="388"/>
      <c r="D2" s="388"/>
      <c r="E2" s="388"/>
      <c r="F2" s="388"/>
      <c r="G2" s="388"/>
      <c r="H2" s="64"/>
      <c r="I2" s="66"/>
      <c r="J2" s="66"/>
      <c r="K2" s="66"/>
      <c r="L2" s="66"/>
      <c r="M2" s="66"/>
      <c r="N2" s="66"/>
      <c r="O2" s="66"/>
      <c r="P2" s="66"/>
    </row>
    <row r="3" spans="1:16" ht="15.75">
      <c r="A3" s="146"/>
      <c r="B3" s="162"/>
      <c r="C3" s="162"/>
      <c r="D3" s="162"/>
      <c r="E3" s="162"/>
      <c r="F3" s="162"/>
      <c r="G3" s="162"/>
      <c r="H3" s="67"/>
      <c r="I3" s="67"/>
      <c r="J3" s="67"/>
      <c r="K3" s="67"/>
      <c r="L3" s="67"/>
      <c r="M3" s="67"/>
      <c r="N3" s="67"/>
      <c r="O3" s="67"/>
      <c r="P3" s="67"/>
    </row>
    <row r="4" spans="1:16" ht="15.75">
      <c r="A4" s="146"/>
      <c r="B4" s="365"/>
      <c r="C4" s="366"/>
      <c r="D4" s="366"/>
      <c r="E4" s="366"/>
      <c r="F4" s="366"/>
      <c r="G4" s="366"/>
      <c r="H4" s="136"/>
      <c r="I4" s="136"/>
      <c r="J4" s="136"/>
      <c r="K4" s="136"/>
      <c r="L4" s="136"/>
      <c r="M4" s="136"/>
      <c r="N4" s="136"/>
      <c r="O4" s="136"/>
      <c r="P4" s="136"/>
    </row>
    <row r="5" spans="1:16" ht="15.75">
      <c r="A5" s="146"/>
      <c r="B5" s="364" t="s">
        <v>254</v>
      </c>
      <c r="C5" s="364"/>
      <c r="D5" s="364"/>
      <c r="E5" s="364"/>
      <c r="F5" s="364"/>
      <c r="G5" s="364"/>
      <c r="H5" s="68"/>
      <c r="I5" s="68"/>
      <c r="J5" s="68"/>
      <c r="K5" s="68"/>
      <c r="L5" s="68"/>
      <c r="M5" s="68"/>
      <c r="N5" s="68"/>
      <c r="O5" s="68"/>
      <c r="P5" s="68"/>
    </row>
    <row r="6" spans="1:16" ht="15.75">
      <c r="A6" s="146"/>
      <c r="B6" s="364" t="s">
        <v>255</v>
      </c>
      <c r="C6" s="364"/>
      <c r="D6" s="364"/>
      <c r="E6" s="364"/>
      <c r="F6" s="364"/>
      <c r="G6" s="364"/>
      <c r="H6" s="68"/>
      <c r="I6" s="68"/>
      <c r="J6" s="68"/>
      <c r="K6" s="68"/>
      <c r="L6" s="68"/>
      <c r="M6" s="68"/>
      <c r="N6" s="68"/>
      <c r="O6" s="68"/>
      <c r="P6" s="68"/>
    </row>
    <row r="7" spans="1:16" ht="15.75">
      <c r="A7" s="146"/>
      <c r="B7" s="364" t="s">
        <v>349</v>
      </c>
      <c r="C7" s="364"/>
      <c r="D7" s="364"/>
      <c r="E7" s="364"/>
      <c r="F7" s="364"/>
      <c r="G7" s="364"/>
      <c r="H7" s="68"/>
      <c r="I7" s="68"/>
      <c r="J7" s="68"/>
      <c r="K7" s="68"/>
      <c r="L7" s="68"/>
      <c r="M7" s="68"/>
      <c r="N7" s="68"/>
      <c r="O7" s="68"/>
      <c r="P7" s="68"/>
    </row>
    <row r="8" spans="1:16" ht="16.5" thickBot="1">
      <c r="A8" s="146"/>
      <c r="B8" s="162"/>
      <c r="C8" s="162"/>
      <c r="D8" s="162"/>
      <c r="E8" s="162"/>
      <c r="F8" s="162"/>
      <c r="G8" s="163" t="s">
        <v>287</v>
      </c>
      <c r="H8" s="67"/>
      <c r="I8" s="67"/>
      <c r="J8" s="69"/>
      <c r="K8" s="67"/>
      <c r="L8" s="67"/>
      <c r="M8" s="67"/>
      <c r="N8" s="69"/>
      <c r="O8" s="69"/>
      <c r="P8" s="67"/>
    </row>
    <row r="9" spans="1:16" ht="16.5" thickBot="1">
      <c r="A9" s="389" t="s">
        <v>294</v>
      </c>
      <c r="B9" s="367" t="s">
        <v>256</v>
      </c>
      <c r="C9" s="370" t="s">
        <v>152</v>
      </c>
      <c r="D9" s="373" t="s">
        <v>257</v>
      </c>
      <c r="E9" s="376" t="s">
        <v>258</v>
      </c>
      <c r="F9" s="377"/>
      <c r="G9" s="378"/>
      <c r="H9" s="63"/>
      <c r="I9" s="63"/>
      <c r="J9" s="63"/>
      <c r="K9" s="63"/>
      <c r="L9" s="63"/>
      <c r="M9" s="63"/>
      <c r="N9" s="63"/>
      <c r="O9" s="63"/>
      <c r="P9" s="63"/>
    </row>
    <row r="10" spans="1:16" ht="15.75">
      <c r="A10" s="390"/>
      <c r="B10" s="368"/>
      <c r="C10" s="371"/>
      <c r="D10" s="374"/>
      <c r="E10" s="379" t="s">
        <v>259</v>
      </c>
      <c r="F10" s="379" t="s">
        <v>260</v>
      </c>
      <c r="G10" s="380" t="s">
        <v>261</v>
      </c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6.5" thickBot="1">
      <c r="A11" s="390"/>
      <c r="B11" s="368"/>
      <c r="C11" s="371"/>
      <c r="D11" s="374"/>
      <c r="E11" s="379"/>
      <c r="F11" s="379"/>
      <c r="G11" s="38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5.75">
      <c r="A12" s="390"/>
      <c r="B12" s="368"/>
      <c r="C12" s="371"/>
      <c r="D12" s="374"/>
      <c r="E12" s="381" t="s">
        <v>262</v>
      </c>
      <c r="F12" s="382"/>
      <c r="G12" s="383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9.5" customHeight="1" thickBot="1">
      <c r="A13" s="391"/>
      <c r="B13" s="369"/>
      <c r="C13" s="372"/>
      <c r="D13" s="375"/>
      <c r="E13" s="384"/>
      <c r="F13" s="385"/>
      <c r="G13" s="386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5.75">
      <c r="A14" s="304" t="s">
        <v>7</v>
      </c>
      <c r="B14" s="167" t="s">
        <v>336</v>
      </c>
      <c r="C14" s="168" t="s">
        <v>337</v>
      </c>
      <c r="D14" s="165">
        <f aca="true" t="shared" si="0" ref="D14:D22">E14+F14+G14</f>
        <v>1200860</v>
      </c>
      <c r="E14" s="169">
        <f>505557+422177+273126</f>
        <v>1200860</v>
      </c>
      <c r="F14" s="169"/>
      <c r="G14" s="170"/>
      <c r="H14" s="71"/>
      <c r="I14" s="71"/>
      <c r="J14" s="72"/>
      <c r="K14" s="73"/>
      <c r="L14" s="13"/>
      <c r="M14" s="13"/>
      <c r="N14" s="72"/>
      <c r="O14" s="72"/>
      <c r="P14" s="13"/>
    </row>
    <row r="15" spans="1:16" ht="15.75">
      <c r="A15" s="166" t="s">
        <v>8</v>
      </c>
      <c r="B15" s="171" t="s">
        <v>263</v>
      </c>
      <c r="C15" s="172" t="s">
        <v>264</v>
      </c>
      <c r="D15" s="173">
        <f t="shared" si="0"/>
        <v>31066184</v>
      </c>
      <c r="E15" s="174">
        <f>15304811+63994+63728+1150000+345440+60000+14046748+31463</f>
        <v>31066184</v>
      </c>
      <c r="F15" s="174"/>
      <c r="G15" s="175"/>
      <c r="H15" s="71"/>
      <c r="I15" s="71"/>
      <c r="J15" s="72"/>
      <c r="K15" s="13"/>
      <c r="L15" s="13"/>
      <c r="M15" s="13"/>
      <c r="N15" s="72"/>
      <c r="O15" s="72"/>
      <c r="P15" s="13"/>
    </row>
    <row r="16" spans="1:16" ht="15.75">
      <c r="A16" s="166" t="s">
        <v>9</v>
      </c>
      <c r="B16" s="171" t="s">
        <v>291</v>
      </c>
      <c r="C16" s="172" t="s">
        <v>292</v>
      </c>
      <c r="D16" s="173">
        <f t="shared" si="0"/>
        <v>14301974</v>
      </c>
      <c r="E16" s="174">
        <f>14301974</f>
        <v>14301974</v>
      </c>
      <c r="F16" s="174"/>
      <c r="G16" s="175"/>
      <c r="H16" s="71"/>
      <c r="I16" s="71"/>
      <c r="J16" s="72"/>
      <c r="K16" s="13"/>
      <c r="L16" s="13"/>
      <c r="M16" s="13"/>
      <c r="N16" s="72"/>
      <c r="O16" s="72"/>
      <c r="P16" s="13"/>
    </row>
    <row r="17" spans="1:16" ht="15.75">
      <c r="A17" s="166" t="s">
        <v>10</v>
      </c>
      <c r="B17" s="176" t="s">
        <v>170</v>
      </c>
      <c r="C17" s="177" t="s">
        <v>171</v>
      </c>
      <c r="D17" s="173">
        <f t="shared" si="0"/>
        <v>77009776</v>
      </c>
      <c r="E17" s="174">
        <v>77009776</v>
      </c>
      <c r="F17" s="174"/>
      <c r="G17" s="175"/>
      <c r="H17" s="71"/>
      <c r="I17" s="71"/>
      <c r="J17" s="72"/>
      <c r="K17" s="13"/>
      <c r="L17" s="13"/>
      <c r="M17" s="13"/>
      <c r="N17" s="72"/>
      <c r="O17" s="72"/>
      <c r="P17" s="13"/>
    </row>
    <row r="18" spans="1:16" ht="15.75">
      <c r="A18" s="166" t="s">
        <v>11</v>
      </c>
      <c r="B18" s="171" t="s">
        <v>174</v>
      </c>
      <c r="C18" s="172" t="s">
        <v>175</v>
      </c>
      <c r="D18" s="173">
        <f t="shared" si="0"/>
        <v>756978</v>
      </c>
      <c r="E18" s="174"/>
      <c r="F18" s="174">
        <v>756978</v>
      </c>
      <c r="G18" s="175"/>
      <c r="H18" s="71"/>
      <c r="I18" s="71"/>
      <c r="J18" s="72"/>
      <c r="K18" s="13"/>
      <c r="L18" s="13"/>
      <c r="M18" s="13"/>
      <c r="N18" s="72"/>
      <c r="O18" s="72"/>
      <c r="P18" s="13"/>
    </row>
    <row r="19" spans="1:16" ht="30">
      <c r="A19" s="166" t="s">
        <v>12</v>
      </c>
      <c r="B19" s="176" t="s">
        <v>208</v>
      </c>
      <c r="C19" s="202" t="s">
        <v>209</v>
      </c>
      <c r="D19" s="173">
        <f t="shared" si="0"/>
        <v>400000</v>
      </c>
      <c r="E19" s="174">
        <v>400000</v>
      </c>
      <c r="F19" s="174"/>
      <c r="G19" s="175"/>
      <c r="H19" s="71"/>
      <c r="I19" s="71"/>
      <c r="J19" s="72"/>
      <c r="K19" s="13"/>
      <c r="L19" s="13"/>
      <c r="M19" s="13"/>
      <c r="N19" s="72"/>
      <c r="O19" s="72"/>
      <c r="P19" s="13"/>
    </row>
    <row r="20" spans="1:16" ht="15.75">
      <c r="A20" s="166" t="s">
        <v>14</v>
      </c>
      <c r="B20" s="171">
        <v>104051</v>
      </c>
      <c r="C20" s="172" t="s">
        <v>270</v>
      </c>
      <c r="D20" s="173">
        <f t="shared" si="0"/>
        <v>65000</v>
      </c>
      <c r="E20" s="174"/>
      <c r="F20" s="174"/>
      <c r="G20" s="175">
        <v>65000</v>
      </c>
      <c r="H20" s="71"/>
      <c r="I20" s="71"/>
      <c r="J20" s="72"/>
      <c r="K20" s="13"/>
      <c r="L20" s="13"/>
      <c r="M20" s="13"/>
      <c r="N20" s="72"/>
      <c r="O20" s="72"/>
      <c r="P20" s="13"/>
    </row>
    <row r="21" spans="1:16" ht="15.75">
      <c r="A21" s="166" t="s">
        <v>15</v>
      </c>
      <c r="B21" s="178">
        <v>107051</v>
      </c>
      <c r="C21" s="172" t="s">
        <v>181</v>
      </c>
      <c r="D21" s="173">
        <f t="shared" si="0"/>
        <v>797935</v>
      </c>
      <c r="E21" s="179">
        <v>797935</v>
      </c>
      <c r="F21" s="174"/>
      <c r="G21" s="175"/>
      <c r="H21" s="71"/>
      <c r="I21" s="71"/>
      <c r="J21" s="72"/>
      <c r="K21" s="13"/>
      <c r="L21" s="13"/>
      <c r="M21" s="13"/>
      <c r="N21" s="72"/>
      <c r="O21" s="72"/>
      <c r="P21" s="13"/>
    </row>
    <row r="22" spans="1:16" ht="32.25" thickBot="1">
      <c r="A22" s="225" t="s">
        <v>16</v>
      </c>
      <c r="B22" s="171">
        <v>900020</v>
      </c>
      <c r="C22" s="172" t="s">
        <v>271</v>
      </c>
      <c r="D22" s="173">
        <f t="shared" si="0"/>
        <v>1320000</v>
      </c>
      <c r="E22" s="180">
        <v>1320000</v>
      </c>
      <c r="F22" s="174"/>
      <c r="G22" s="175"/>
      <c r="H22" s="71"/>
      <c r="I22" s="71"/>
      <c r="J22" s="72"/>
      <c r="K22" s="13"/>
      <c r="L22" s="13"/>
      <c r="M22" s="13"/>
      <c r="N22" s="72"/>
      <c r="O22" s="72"/>
      <c r="P22" s="13"/>
    </row>
    <row r="23" spans="1:16" ht="16.5" thickBot="1">
      <c r="A23" s="225" t="s">
        <v>17</v>
      </c>
      <c r="B23" s="182"/>
      <c r="C23" s="183" t="s">
        <v>225</v>
      </c>
      <c r="D23" s="184">
        <f>SUM(D14:D22)</f>
        <v>126918707</v>
      </c>
      <c r="E23" s="185">
        <f>SUM(E14:E22)</f>
        <v>126096729</v>
      </c>
      <c r="F23" s="186">
        <f>SUM(F14:F22)</f>
        <v>756978</v>
      </c>
      <c r="G23" s="184">
        <f>SUM(G14:G22)</f>
        <v>65000</v>
      </c>
      <c r="H23" s="71"/>
      <c r="I23" s="71"/>
      <c r="J23" s="74"/>
      <c r="K23" s="71"/>
      <c r="L23" s="71"/>
      <c r="M23" s="71"/>
      <c r="N23" s="74"/>
      <c r="O23" s="71"/>
      <c r="P23" s="71"/>
    </row>
    <row r="24" spans="1:16" ht="15.75">
      <c r="A24" s="303"/>
      <c r="B24" s="66"/>
      <c r="C24" s="66"/>
      <c r="D24" s="66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6" ht="15.75">
      <c r="B25" s="66"/>
      <c r="C25" s="66"/>
      <c r="D25" s="66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6" ht="15.75">
      <c r="B26" s="12"/>
      <c r="C26" s="76"/>
      <c r="D26" s="12"/>
      <c r="E26" s="13"/>
      <c r="F26" s="13"/>
      <c r="G26" s="13"/>
      <c r="H26" s="13"/>
      <c r="I26" s="13"/>
      <c r="J26" s="72"/>
      <c r="K26" s="13"/>
      <c r="L26" s="13"/>
      <c r="M26" s="13"/>
      <c r="N26" s="72"/>
      <c r="O26" s="72"/>
      <c r="P26" s="13"/>
    </row>
    <row r="27" spans="2:16" ht="15.75">
      <c r="B27" s="66"/>
      <c r="C27" s="66"/>
      <c r="D27" s="66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5.75">
      <c r="B28" s="66"/>
      <c r="C28" s="66"/>
      <c r="D28" s="66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2:16" ht="12.75">
      <c r="B29" s="77"/>
      <c r="C29" s="77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</sheetData>
  <sheetProtection/>
  <mergeCells count="14">
    <mergeCell ref="A2:G2"/>
    <mergeCell ref="A9:A13"/>
    <mergeCell ref="B5:G5"/>
    <mergeCell ref="B6:G6"/>
    <mergeCell ref="B7:G7"/>
    <mergeCell ref="B4:G4"/>
    <mergeCell ref="B9:B13"/>
    <mergeCell ref="C9:C13"/>
    <mergeCell ref="D9:D13"/>
    <mergeCell ref="E9:G9"/>
    <mergeCell ref="E10:E11"/>
    <mergeCell ref="F10:F11"/>
    <mergeCell ref="G10:G11"/>
    <mergeCell ref="E12:G13"/>
  </mergeCells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="90" zoomScaleNormal="90" zoomScalePageLayoutView="0" workbookViewId="0" topLeftCell="A1">
      <selection activeCell="A1" sqref="A1:S1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3.00390625" style="0" customWidth="1"/>
    <col min="5" max="6" width="10.125" style="0" bestFit="1" customWidth="1"/>
    <col min="7" max="7" width="11.75390625" style="0" customWidth="1"/>
    <col min="8" max="8" width="10.125" style="0" bestFit="1" customWidth="1"/>
    <col min="9" max="9" width="11.25390625" style="0" bestFit="1" customWidth="1"/>
    <col min="10" max="10" width="13.125" style="0" customWidth="1"/>
    <col min="11" max="11" width="12.25390625" style="0" customWidth="1"/>
    <col min="12" max="12" width="11.375" style="0" customWidth="1"/>
    <col min="13" max="13" width="9.375" style="0" bestFit="1" customWidth="1"/>
    <col min="14" max="14" width="13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375" style="0" bestFit="1" customWidth="1"/>
    <col min="19" max="19" width="5.25390625" style="0" customWidth="1"/>
  </cols>
  <sheetData>
    <row r="1" spans="1:19" ht="15" customHeight="1">
      <c r="A1" s="392" t="s">
        <v>405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</row>
    <row r="2" spans="1:19" ht="1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6.5" customHeight="1">
      <c r="A3" s="14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</row>
    <row r="4" spans="1:19" ht="18.75">
      <c r="A4" s="146"/>
      <c r="B4" s="396" t="s">
        <v>150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</row>
    <row r="5" spans="1:19" ht="18.75">
      <c r="A5" s="146"/>
      <c r="B5" s="396" t="s">
        <v>184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</row>
    <row r="6" spans="1:19" ht="18.75">
      <c r="A6" s="146"/>
      <c r="B6" s="396" t="s">
        <v>349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</row>
    <row r="7" spans="1:19" ht="15.75" thickBot="1">
      <c r="A7" s="146"/>
      <c r="B7" s="187"/>
      <c r="C7" s="187"/>
      <c r="D7" s="187"/>
      <c r="E7" s="187"/>
      <c r="F7" s="187"/>
      <c r="G7" s="187"/>
      <c r="H7" s="187"/>
      <c r="I7" s="187"/>
      <c r="J7" s="188"/>
      <c r="K7" s="187"/>
      <c r="L7" s="187"/>
      <c r="M7" s="187"/>
      <c r="N7" s="188"/>
      <c r="O7" s="188"/>
      <c r="P7" s="187"/>
      <c r="Q7" s="189"/>
      <c r="R7" s="189" t="s">
        <v>287</v>
      </c>
      <c r="S7" s="146"/>
    </row>
    <row r="8" spans="1:19" ht="15.75" thickBot="1">
      <c r="A8" s="393" t="s">
        <v>294</v>
      </c>
      <c r="B8" s="418" t="s">
        <v>151</v>
      </c>
      <c r="C8" s="420" t="s">
        <v>152</v>
      </c>
      <c r="D8" s="397" t="s">
        <v>153</v>
      </c>
      <c r="E8" s="424" t="s">
        <v>154</v>
      </c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03" t="s">
        <v>327</v>
      </c>
    </row>
    <row r="9" spans="1:19" ht="15.75" thickBot="1">
      <c r="A9" s="394"/>
      <c r="B9" s="419"/>
      <c r="C9" s="421"/>
      <c r="D9" s="398"/>
      <c r="E9" s="405" t="s">
        <v>155</v>
      </c>
      <c r="F9" s="406"/>
      <c r="G9" s="406"/>
      <c r="H9" s="406"/>
      <c r="I9" s="406"/>
      <c r="J9" s="407"/>
      <c r="K9" s="424" t="s">
        <v>156</v>
      </c>
      <c r="L9" s="425"/>
      <c r="M9" s="425"/>
      <c r="N9" s="431"/>
      <c r="O9" s="408" t="s">
        <v>32</v>
      </c>
      <c r="P9" s="408"/>
      <c r="Q9" s="408"/>
      <c r="R9" s="408"/>
      <c r="S9" s="404"/>
    </row>
    <row r="10" spans="1:19" ht="12.75">
      <c r="A10" s="394"/>
      <c r="B10" s="419"/>
      <c r="C10" s="421"/>
      <c r="D10" s="422"/>
      <c r="E10" s="397" t="s">
        <v>18</v>
      </c>
      <c r="F10" s="397" t="s">
        <v>157</v>
      </c>
      <c r="G10" s="397" t="s">
        <v>21</v>
      </c>
      <c r="H10" s="397" t="s">
        <v>23</v>
      </c>
      <c r="I10" s="397" t="s">
        <v>158</v>
      </c>
      <c r="J10" s="415" t="s">
        <v>159</v>
      </c>
      <c r="K10" s="426" t="s">
        <v>26</v>
      </c>
      <c r="L10" s="426" t="s">
        <v>28</v>
      </c>
      <c r="M10" s="397" t="s">
        <v>160</v>
      </c>
      <c r="N10" s="409" t="s">
        <v>161</v>
      </c>
      <c r="O10" s="412" t="s">
        <v>282</v>
      </c>
      <c r="P10" s="397" t="s">
        <v>324</v>
      </c>
      <c r="Q10" s="397" t="s">
        <v>325</v>
      </c>
      <c r="R10" s="400" t="s">
        <v>326</v>
      </c>
      <c r="S10" s="404"/>
    </row>
    <row r="11" spans="1:19" ht="12.75">
      <c r="A11" s="394"/>
      <c r="B11" s="419"/>
      <c r="C11" s="421"/>
      <c r="D11" s="422"/>
      <c r="E11" s="398"/>
      <c r="F11" s="398"/>
      <c r="G11" s="398"/>
      <c r="H11" s="398"/>
      <c r="I11" s="398"/>
      <c r="J11" s="416"/>
      <c r="K11" s="427"/>
      <c r="L11" s="429"/>
      <c r="M11" s="398"/>
      <c r="N11" s="410"/>
      <c r="O11" s="413"/>
      <c r="P11" s="398"/>
      <c r="Q11" s="398"/>
      <c r="R11" s="401"/>
      <c r="S11" s="404"/>
    </row>
    <row r="12" spans="1:19" ht="41.25" customHeight="1" thickBot="1">
      <c r="A12" s="395"/>
      <c r="B12" s="419"/>
      <c r="C12" s="421"/>
      <c r="D12" s="423"/>
      <c r="E12" s="399"/>
      <c r="F12" s="399"/>
      <c r="G12" s="399"/>
      <c r="H12" s="399"/>
      <c r="I12" s="399"/>
      <c r="J12" s="417"/>
      <c r="K12" s="428"/>
      <c r="L12" s="430"/>
      <c r="M12" s="399"/>
      <c r="N12" s="411"/>
      <c r="O12" s="414"/>
      <c r="P12" s="399"/>
      <c r="Q12" s="399"/>
      <c r="R12" s="402"/>
      <c r="S12" s="404"/>
    </row>
    <row r="13" spans="1:19" ht="34.5" customHeight="1">
      <c r="A13" s="164" t="s">
        <v>7</v>
      </c>
      <c r="B13" s="190" t="s">
        <v>162</v>
      </c>
      <c r="C13" s="191" t="s">
        <v>163</v>
      </c>
      <c r="D13" s="192">
        <f>J13+N13</f>
        <v>16676026</v>
      </c>
      <c r="E13" s="193">
        <v>4249616</v>
      </c>
      <c r="F13" s="194">
        <v>846490</v>
      </c>
      <c r="G13" s="194">
        <f>1469982+40000+13117</f>
        <v>1523099</v>
      </c>
      <c r="H13" s="194"/>
      <c r="I13" s="194">
        <f>159425+12308598-1081543-996376-20320-153740-70850-67113-21260</f>
        <v>10056821</v>
      </c>
      <c r="J13" s="195">
        <f>E13+F13+G13+H13+I13</f>
        <v>16676026</v>
      </c>
      <c r="K13" s="196"/>
      <c r="L13" s="197"/>
      <c r="M13" s="197"/>
      <c r="N13" s="195">
        <f>M13</f>
        <v>0</v>
      </c>
      <c r="O13" s="198"/>
      <c r="P13" s="199"/>
      <c r="Q13" s="199"/>
      <c r="R13" s="200"/>
      <c r="S13" s="201"/>
    </row>
    <row r="14" spans="1:19" ht="19.5" customHeight="1">
      <c r="A14" s="166" t="s">
        <v>8</v>
      </c>
      <c r="B14" s="176" t="s">
        <v>164</v>
      </c>
      <c r="C14" s="202" t="s">
        <v>165</v>
      </c>
      <c r="D14" s="203">
        <f aca="true" t="shared" si="0" ref="D14:D31">J14+N14</f>
        <v>172720</v>
      </c>
      <c r="E14" s="193"/>
      <c r="F14" s="194"/>
      <c r="G14" s="194">
        <v>172720</v>
      </c>
      <c r="H14" s="194"/>
      <c r="I14" s="194"/>
      <c r="J14" s="195">
        <f aca="true" t="shared" si="1" ref="J14:J32">E14+F14+G14+H14+I14</f>
        <v>172720</v>
      </c>
      <c r="K14" s="196"/>
      <c r="L14" s="197"/>
      <c r="M14" s="197"/>
      <c r="N14" s="195"/>
      <c r="O14" s="198"/>
      <c r="P14" s="199"/>
      <c r="Q14" s="199"/>
      <c r="R14" s="204"/>
      <c r="S14" s="201"/>
    </row>
    <row r="15" spans="1:19" ht="27.75" customHeight="1">
      <c r="A15" s="166" t="s">
        <v>9</v>
      </c>
      <c r="B15" s="167" t="s">
        <v>263</v>
      </c>
      <c r="C15" s="168" t="s">
        <v>273</v>
      </c>
      <c r="D15" s="203">
        <f>J15+N15+R15</f>
        <v>646670</v>
      </c>
      <c r="E15" s="193"/>
      <c r="F15" s="194"/>
      <c r="G15" s="194"/>
      <c r="H15" s="194"/>
      <c r="I15" s="194">
        <v>34478</v>
      </c>
      <c r="J15" s="195">
        <f t="shared" si="1"/>
        <v>34478</v>
      </c>
      <c r="K15" s="196"/>
      <c r="L15" s="197"/>
      <c r="M15" s="197"/>
      <c r="N15" s="195"/>
      <c r="O15" s="198">
        <v>612192</v>
      </c>
      <c r="P15" s="199"/>
      <c r="Q15" s="199"/>
      <c r="R15" s="204">
        <f>O15+P15+Q15</f>
        <v>612192</v>
      </c>
      <c r="S15" s="201"/>
    </row>
    <row r="16" spans="1:19" ht="31.5" customHeight="1">
      <c r="A16" s="166" t="s">
        <v>10</v>
      </c>
      <c r="B16" s="167" t="s">
        <v>166</v>
      </c>
      <c r="C16" s="168" t="s">
        <v>167</v>
      </c>
      <c r="D16" s="203">
        <f t="shared" si="0"/>
        <v>127000</v>
      </c>
      <c r="E16" s="193"/>
      <c r="F16" s="194"/>
      <c r="G16" s="194">
        <v>127000</v>
      </c>
      <c r="H16" s="194"/>
      <c r="I16" s="194"/>
      <c r="J16" s="195">
        <f t="shared" si="1"/>
        <v>127000</v>
      </c>
      <c r="K16" s="196"/>
      <c r="L16" s="197"/>
      <c r="M16" s="197"/>
      <c r="N16" s="195">
        <f>K16+L16+M16</f>
        <v>0</v>
      </c>
      <c r="O16" s="198"/>
      <c r="P16" s="199"/>
      <c r="Q16" s="199"/>
      <c r="R16" s="204"/>
      <c r="S16" s="201"/>
    </row>
    <row r="17" spans="1:19" ht="24" customHeight="1">
      <c r="A17" s="166" t="s">
        <v>11</v>
      </c>
      <c r="B17" s="167" t="s">
        <v>336</v>
      </c>
      <c r="C17" s="168" t="s">
        <v>337</v>
      </c>
      <c r="D17" s="203">
        <f t="shared" si="0"/>
        <v>1558776</v>
      </c>
      <c r="E17" s="193">
        <f>326119+460644+384672+250924</f>
        <v>1422359</v>
      </c>
      <c r="F17" s="194">
        <f>31797+44913+37505+22202</f>
        <v>136417</v>
      </c>
      <c r="G17" s="194"/>
      <c r="H17" s="194"/>
      <c r="I17" s="194"/>
      <c r="J17" s="195">
        <f t="shared" si="1"/>
        <v>1558776</v>
      </c>
      <c r="K17" s="196"/>
      <c r="L17" s="197"/>
      <c r="M17" s="197"/>
      <c r="N17" s="195"/>
      <c r="O17" s="198"/>
      <c r="P17" s="199"/>
      <c r="Q17" s="199"/>
      <c r="R17" s="204"/>
      <c r="S17" s="201"/>
    </row>
    <row r="18" spans="1:19" s="139" customFormat="1" ht="33.75" customHeight="1">
      <c r="A18" s="205" t="s">
        <v>12</v>
      </c>
      <c r="B18" s="176" t="s">
        <v>168</v>
      </c>
      <c r="C18" s="206" t="s">
        <v>169</v>
      </c>
      <c r="D18" s="207">
        <f t="shared" si="0"/>
        <v>15240</v>
      </c>
      <c r="E18" s="208"/>
      <c r="F18" s="209"/>
      <c r="G18" s="209">
        <v>15240</v>
      </c>
      <c r="H18" s="209"/>
      <c r="I18" s="209"/>
      <c r="J18" s="210">
        <f t="shared" si="1"/>
        <v>15240</v>
      </c>
      <c r="K18" s="211"/>
      <c r="L18" s="212"/>
      <c r="M18" s="212"/>
      <c r="N18" s="210"/>
      <c r="O18" s="213"/>
      <c r="P18" s="214"/>
      <c r="Q18" s="214"/>
      <c r="R18" s="215"/>
      <c r="S18" s="216"/>
    </row>
    <row r="19" spans="1:19" s="139" customFormat="1" ht="30.75" customHeight="1">
      <c r="A19" s="166" t="s">
        <v>14</v>
      </c>
      <c r="B19" s="176" t="s">
        <v>206</v>
      </c>
      <c r="C19" s="206" t="s">
        <v>207</v>
      </c>
      <c r="D19" s="207">
        <f t="shared" si="0"/>
        <v>137160</v>
      </c>
      <c r="E19" s="208"/>
      <c r="F19" s="209"/>
      <c r="G19" s="209">
        <v>137160</v>
      </c>
      <c r="H19" s="209"/>
      <c r="I19" s="209"/>
      <c r="J19" s="210">
        <f t="shared" si="1"/>
        <v>137160</v>
      </c>
      <c r="K19" s="211"/>
      <c r="L19" s="212"/>
      <c r="M19" s="212"/>
      <c r="N19" s="210"/>
      <c r="O19" s="213"/>
      <c r="P19" s="214"/>
      <c r="Q19" s="214"/>
      <c r="R19" s="215"/>
      <c r="S19" s="216"/>
    </row>
    <row r="20" spans="1:19" ht="18.75" customHeight="1">
      <c r="A20" s="166" t="s">
        <v>15</v>
      </c>
      <c r="B20" s="176" t="s">
        <v>170</v>
      </c>
      <c r="C20" s="177" t="s">
        <v>171</v>
      </c>
      <c r="D20" s="203">
        <f t="shared" si="0"/>
        <v>77009776</v>
      </c>
      <c r="E20" s="193"/>
      <c r="F20" s="194"/>
      <c r="G20" s="194">
        <v>16385306</v>
      </c>
      <c r="H20" s="197"/>
      <c r="I20" s="194"/>
      <c r="J20" s="195">
        <f t="shared" si="1"/>
        <v>16385306</v>
      </c>
      <c r="K20" s="196">
        <v>60624470</v>
      </c>
      <c r="L20" s="197"/>
      <c r="M20" s="197"/>
      <c r="N20" s="195">
        <f>K20+L20+M20</f>
        <v>60624470</v>
      </c>
      <c r="O20" s="198"/>
      <c r="P20" s="199"/>
      <c r="Q20" s="199"/>
      <c r="R20" s="217"/>
      <c r="S20" s="201"/>
    </row>
    <row r="21" spans="1:19" ht="18" customHeight="1">
      <c r="A21" s="166" t="s">
        <v>16</v>
      </c>
      <c r="B21" s="176" t="s">
        <v>172</v>
      </c>
      <c r="C21" s="202" t="s">
        <v>173</v>
      </c>
      <c r="D21" s="203">
        <f t="shared" si="0"/>
        <v>820150</v>
      </c>
      <c r="E21" s="193"/>
      <c r="F21" s="194"/>
      <c r="G21" s="194">
        <f>749300+70850</f>
        <v>820150</v>
      </c>
      <c r="H21" s="197"/>
      <c r="I21" s="194"/>
      <c r="J21" s="195">
        <f t="shared" si="1"/>
        <v>820150</v>
      </c>
      <c r="K21" s="196"/>
      <c r="L21" s="197"/>
      <c r="M21" s="197"/>
      <c r="N21" s="195"/>
      <c r="O21" s="198"/>
      <c r="P21" s="199"/>
      <c r="Q21" s="199"/>
      <c r="R21" s="217"/>
      <c r="S21" s="201"/>
    </row>
    <row r="22" spans="1:19" s="139" customFormat="1" ht="30">
      <c r="A22" s="166" t="s">
        <v>16</v>
      </c>
      <c r="B22" s="176" t="s">
        <v>174</v>
      </c>
      <c r="C22" s="206" t="s">
        <v>175</v>
      </c>
      <c r="D22" s="207">
        <f t="shared" si="0"/>
        <v>18163654</v>
      </c>
      <c r="E22" s="208">
        <f>200000-87606</f>
        <v>112394</v>
      </c>
      <c r="F22" s="209">
        <v>35100</v>
      </c>
      <c r="G22" s="209">
        <f>1093080+78740+87606+190500+996376-132190</f>
        <v>2314112</v>
      </c>
      <c r="H22" s="212"/>
      <c r="I22" s="209"/>
      <c r="J22" s="210">
        <f t="shared" si="1"/>
        <v>2461606</v>
      </c>
      <c r="K22" s="211">
        <f>183400+175000+26900</f>
        <v>385300</v>
      </c>
      <c r="L22" s="212">
        <f>1270000+14046748</f>
        <v>15316748</v>
      </c>
      <c r="M22" s="212"/>
      <c r="N22" s="210">
        <f>K22+L22+M22</f>
        <v>15702048</v>
      </c>
      <c r="O22" s="213"/>
      <c r="P22" s="214"/>
      <c r="Q22" s="214"/>
      <c r="R22" s="215"/>
      <c r="S22" s="216"/>
    </row>
    <row r="23" spans="1:19" ht="21" customHeight="1">
      <c r="A23" s="166" t="s">
        <v>17</v>
      </c>
      <c r="B23" s="176" t="s">
        <v>176</v>
      </c>
      <c r="C23" s="202" t="s">
        <v>177</v>
      </c>
      <c r="D23" s="203">
        <f t="shared" si="0"/>
        <v>124460</v>
      </c>
      <c r="E23" s="193"/>
      <c r="F23" s="194"/>
      <c r="G23" s="194">
        <v>124460</v>
      </c>
      <c r="H23" s="197"/>
      <c r="I23" s="194"/>
      <c r="J23" s="195">
        <f t="shared" si="1"/>
        <v>124460</v>
      </c>
      <c r="K23" s="196"/>
      <c r="L23" s="197"/>
      <c r="M23" s="197"/>
      <c r="N23" s="195"/>
      <c r="O23" s="198"/>
      <c r="P23" s="199"/>
      <c r="Q23" s="199"/>
      <c r="R23" s="217"/>
      <c r="S23" s="201"/>
    </row>
    <row r="24" spans="1:19" ht="19.5" customHeight="1">
      <c r="A24" s="166" t="s">
        <v>19</v>
      </c>
      <c r="B24" s="176" t="s">
        <v>178</v>
      </c>
      <c r="C24" s="202" t="s">
        <v>179</v>
      </c>
      <c r="D24" s="203">
        <f t="shared" si="0"/>
        <v>766437</v>
      </c>
      <c r="E24" s="193">
        <v>120000</v>
      </c>
      <c r="F24" s="194">
        <v>21060</v>
      </c>
      <c r="G24" s="194">
        <v>334777</v>
      </c>
      <c r="H24" s="194"/>
      <c r="I24" s="194"/>
      <c r="J24" s="195">
        <f t="shared" si="1"/>
        <v>475837</v>
      </c>
      <c r="K24" s="196">
        <f>317500-26900</f>
        <v>290600</v>
      </c>
      <c r="L24" s="197"/>
      <c r="M24" s="197"/>
      <c r="N24" s="195">
        <f>K24+L24+M24</f>
        <v>290600</v>
      </c>
      <c r="O24" s="198"/>
      <c r="P24" s="199"/>
      <c r="Q24" s="199"/>
      <c r="R24" s="217"/>
      <c r="S24" s="201"/>
    </row>
    <row r="25" spans="1:19" ht="31.5" customHeight="1">
      <c r="A25" s="166" t="s">
        <v>20</v>
      </c>
      <c r="B25" s="176" t="s">
        <v>208</v>
      </c>
      <c r="C25" s="202" t="s">
        <v>209</v>
      </c>
      <c r="D25" s="203">
        <f t="shared" si="0"/>
        <v>2596245</v>
      </c>
      <c r="E25" s="193">
        <f>300000+458960+80000+153740</f>
        <v>992700</v>
      </c>
      <c r="F25" s="194">
        <f>155105+219378+67113</f>
        <v>441596</v>
      </c>
      <c r="G25" s="194">
        <f>796101+24588+130000+190000+21260</f>
        <v>1161949</v>
      </c>
      <c r="H25" s="194"/>
      <c r="I25" s="194"/>
      <c r="J25" s="195">
        <f t="shared" si="1"/>
        <v>2596245</v>
      </c>
      <c r="K25" s="196"/>
      <c r="L25" s="197"/>
      <c r="M25" s="197"/>
      <c r="N25" s="195"/>
      <c r="O25" s="198"/>
      <c r="P25" s="199"/>
      <c r="Q25" s="199"/>
      <c r="R25" s="217"/>
      <c r="S25" s="201"/>
    </row>
    <row r="26" spans="1:19" ht="31.5" customHeight="1">
      <c r="A26" s="166" t="s">
        <v>22</v>
      </c>
      <c r="B26" s="176" t="s">
        <v>210</v>
      </c>
      <c r="C26" s="202" t="s">
        <v>211</v>
      </c>
      <c r="D26" s="203">
        <f t="shared" si="0"/>
        <v>25000</v>
      </c>
      <c r="E26" s="193"/>
      <c r="F26" s="194"/>
      <c r="G26" s="194"/>
      <c r="H26" s="194"/>
      <c r="I26" s="194">
        <v>25000</v>
      </c>
      <c r="J26" s="195">
        <f t="shared" si="1"/>
        <v>25000</v>
      </c>
      <c r="K26" s="196"/>
      <c r="L26" s="197"/>
      <c r="M26" s="197"/>
      <c r="N26" s="195"/>
      <c r="O26" s="198"/>
      <c r="P26" s="199"/>
      <c r="Q26" s="199"/>
      <c r="R26" s="217"/>
      <c r="S26" s="201"/>
    </row>
    <row r="27" spans="1:19" ht="31.5" customHeight="1">
      <c r="A27" s="166" t="s">
        <v>24</v>
      </c>
      <c r="B27" s="176">
        <v>104037</v>
      </c>
      <c r="C27" s="206" t="s">
        <v>351</v>
      </c>
      <c r="D27" s="203">
        <f t="shared" si="0"/>
        <v>99180</v>
      </c>
      <c r="E27" s="193"/>
      <c r="F27" s="194"/>
      <c r="G27" s="194">
        <v>99180</v>
      </c>
      <c r="H27" s="194"/>
      <c r="I27" s="194"/>
      <c r="J27" s="195">
        <f t="shared" si="1"/>
        <v>99180</v>
      </c>
      <c r="K27" s="196"/>
      <c r="L27" s="197"/>
      <c r="M27" s="197"/>
      <c r="N27" s="195"/>
      <c r="O27" s="198"/>
      <c r="P27" s="199"/>
      <c r="Q27" s="199"/>
      <c r="R27" s="217"/>
      <c r="S27" s="201"/>
    </row>
    <row r="28" spans="1:19" ht="34.5" customHeight="1">
      <c r="A28" s="166" t="s">
        <v>25</v>
      </c>
      <c r="B28" s="176">
        <v>104051</v>
      </c>
      <c r="C28" s="202" t="s">
        <v>180</v>
      </c>
      <c r="D28" s="203">
        <f>J28+N28</f>
        <v>65000</v>
      </c>
      <c r="E28" s="193"/>
      <c r="F28" s="194"/>
      <c r="G28" s="194"/>
      <c r="H28" s="194">
        <v>65000</v>
      </c>
      <c r="I28" s="194"/>
      <c r="J28" s="195">
        <f>E28+F28+G28+H28+I28</f>
        <v>65000</v>
      </c>
      <c r="K28" s="196"/>
      <c r="L28" s="197"/>
      <c r="M28" s="197"/>
      <c r="N28" s="195"/>
      <c r="O28" s="198"/>
      <c r="P28" s="199"/>
      <c r="Q28" s="199"/>
      <c r="R28" s="217"/>
      <c r="S28" s="201"/>
    </row>
    <row r="29" spans="1:19" ht="21" customHeight="1">
      <c r="A29" s="166" t="s">
        <v>27</v>
      </c>
      <c r="B29" s="176">
        <v>107051</v>
      </c>
      <c r="C29" s="218" t="s">
        <v>181</v>
      </c>
      <c r="D29" s="203">
        <f t="shared" si="0"/>
        <v>1253497</v>
      </c>
      <c r="E29" s="193"/>
      <c r="F29" s="194"/>
      <c r="G29" s="194">
        <f>1193497+60000</f>
        <v>1253497</v>
      </c>
      <c r="H29" s="194"/>
      <c r="I29" s="194"/>
      <c r="J29" s="195">
        <f t="shared" si="1"/>
        <v>1253497</v>
      </c>
      <c r="K29" s="196"/>
      <c r="L29" s="197"/>
      <c r="M29" s="197"/>
      <c r="N29" s="195"/>
      <c r="O29" s="219"/>
      <c r="P29" s="197"/>
      <c r="Q29" s="199"/>
      <c r="R29" s="217"/>
      <c r="S29" s="201"/>
    </row>
    <row r="30" spans="1:19" ht="21" customHeight="1">
      <c r="A30" s="166" t="s">
        <v>29</v>
      </c>
      <c r="B30" s="176">
        <v>107055</v>
      </c>
      <c r="C30" s="218" t="s">
        <v>272</v>
      </c>
      <c r="D30" s="203">
        <f t="shared" si="0"/>
        <v>4542956</v>
      </c>
      <c r="E30" s="220">
        <f>2148000+53552+53552+26776</f>
        <v>2281880</v>
      </c>
      <c r="F30" s="221">
        <f>433260+10442+10176+4687-19319</f>
        <v>439246</v>
      </c>
      <c r="G30" s="221">
        <f>520321+550000+153701-100000</f>
        <v>1124022</v>
      </c>
      <c r="H30" s="221"/>
      <c r="I30" s="221"/>
      <c r="J30" s="195">
        <f t="shared" si="1"/>
        <v>3845148</v>
      </c>
      <c r="K30" s="222">
        <f>600000-153701-346937</f>
        <v>99362</v>
      </c>
      <c r="L30" s="223">
        <v>598446</v>
      </c>
      <c r="M30" s="223"/>
      <c r="N30" s="195">
        <f>K30+L30+M30</f>
        <v>697808</v>
      </c>
      <c r="O30" s="219"/>
      <c r="P30" s="197"/>
      <c r="Q30" s="199"/>
      <c r="R30" s="217"/>
      <c r="S30" s="224">
        <v>1</v>
      </c>
    </row>
    <row r="31" spans="1:19" ht="21.75" customHeight="1" thickBot="1">
      <c r="A31" s="225" t="s">
        <v>31</v>
      </c>
      <c r="B31" s="226">
        <v>107060</v>
      </c>
      <c r="C31" s="227" t="s">
        <v>182</v>
      </c>
      <c r="D31" s="228">
        <f t="shared" si="0"/>
        <v>2118760</v>
      </c>
      <c r="E31" s="229"/>
      <c r="F31" s="230"/>
      <c r="G31" s="230">
        <f>333000+345440+20320</f>
        <v>698760</v>
      </c>
      <c r="H31" s="230">
        <v>1420000</v>
      </c>
      <c r="I31" s="230"/>
      <c r="J31" s="231">
        <f t="shared" si="1"/>
        <v>2118760</v>
      </c>
      <c r="K31" s="232"/>
      <c r="L31" s="233"/>
      <c r="M31" s="233"/>
      <c r="N31" s="231"/>
      <c r="O31" s="219"/>
      <c r="P31" s="197"/>
      <c r="Q31" s="199"/>
      <c r="R31" s="217"/>
      <c r="S31" s="224"/>
    </row>
    <row r="32" spans="1:19" ht="16.5" thickBot="1">
      <c r="A32" s="181" t="s">
        <v>248</v>
      </c>
      <c r="B32" s="234"/>
      <c r="C32" s="235" t="s">
        <v>183</v>
      </c>
      <c r="D32" s="236">
        <f>J32+N32+R32</f>
        <v>126918707</v>
      </c>
      <c r="E32" s="237">
        <f>SUM(E13:E31)</f>
        <v>9178949</v>
      </c>
      <c r="F32" s="237">
        <f>SUM(F13:F31)</f>
        <v>1919909</v>
      </c>
      <c r="G32" s="237">
        <f>SUM(G13:G31)</f>
        <v>26291432</v>
      </c>
      <c r="H32" s="237">
        <f>SUM(H13:H31)</f>
        <v>1485000</v>
      </c>
      <c r="I32" s="237">
        <f>SUM(I13:I31)</f>
        <v>10116299</v>
      </c>
      <c r="J32" s="238">
        <f t="shared" si="1"/>
        <v>48991589</v>
      </c>
      <c r="K32" s="237">
        <f>SUM(K13:K31)</f>
        <v>61399732</v>
      </c>
      <c r="L32" s="237">
        <f>SUM(L13:L31)</f>
        <v>15915194</v>
      </c>
      <c r="M32" s="237">
        <f>SUM(M13:M31)</f>
        <v>0</v>
      </c>
      <c r="N32" s="237">
        <f>SUM(N13:N31)</f>
        <v>77314926</v>
      </c>
      <c r="O32" s="237">
        <f>SUM(O13:O31)</f>
        <v>612192</v>
      </c>
      <c r="P32" s="237"/>
      <c r="Q32" s="237"/>
      <c r="R32" s="237">
        <f>SUM(R13:R31)</f>
        <v>612192</v>
      </c>
      <c r="S32" s="239">
        <f>SUM(S13:S31)</f>
        <v>1</v>
      </c>
    </row>
    <row r="34" ht="16.5">
      <c r="J34" s="135"/>
    </row>
    <row r="39" ht="12.75">
      <c r="D39" s="35"/>
    </row>
  </sheetData>
  <sheetProtection/>
  <mergeCells count="28">
    <mergeCell ref="B4:S4"/>
    <mergeCell ref="B8:B12"/>
    <mergeCell ref="C8:C12"/>
    <mergeCell ref="D8:D12"/>
    <mergeCell ref="E8:R8"/>
    <mergeCell ref="K10:K12"/>
    <mergeCell ref="L10:L12"/>
    <mergeCell ref="M10:M12"/>
    <mergeCell ref="F10:F12"/>
    <mergeCell ref="K9:N9"/>
    <mergeCell ref="E10:E12"/>
    <mergeCell ref="N10:N12"/>
    <mergeCell ref="O10:O12"/>
    <mergeCell ref="P10:P12"/>
    <mergeCell ref="G10:G12"/>
    <mergeCell ref="H10:H12"/>
    <mergeCell ref="I10:I12"/>
    <mergeCell ref="J10:J12"/>
    <mergeCell ref="A1:S1"/>
    <mergeCell ref="A8:A12"/>
    <mergeCell ref="B3:S3"/>
    <mergeCell ref="Q10:Q12"/>
    <mergeCell ref="R10:R12"/>
    <mergeCell ref="B5:S5"/>
    <mergeCell ref="B6:S6"/>
    <mergeCell ref="S8:S12"/>
    <mergeCell ref="E9:J9"/>
    <mergeCell ref="O9:R9"/>
  </mergeCells>
  <printOptions/>
  <pageMargins left="0.4724409448818898" right="0.35433070866141736" top="0.7874015748031497" bottom="0.5118110236220472" header="0.5118110236220472" footer="0.5118110236220472"/>
  <pageSetup fitToHeight="1" fitToWidth="1" horizontalDpi="300" verticalDpi="3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6.25390625" style="0" customWidth="1"/>
    <col min="5" max="5" width="16.8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5" customHeight="1">
      <c r="A1" s="387" t="s">
        <v>406</v>
      </c>
      <c r="B1" s="329"/>
      <c r="C1" s="329"/>
      <c r="D1" s="329"/>
      <c r="E1" s="329"/>
      <c r="F1" s="329"/>
      <c r="G1" s="329"/>
    </row>
    <row r="2" spans="1:15" ht="15.75">
      <c r="A2" s="146"/>
      <c r="B2" s="364" t="s">
        <v>4</v>
      </c>
      <c r="C2" s="364"/>
      <c r="D2" s="364"/>
      <c r="E2" s="364"/>
      <c r="F2" s="364"/>
      <c r="G2" s="364"/>
      <c r="H2" s="68"/>
      <c r="I2" s="68"/>
      <c r="J2" s="68"/>
      <c r="K2" s="68"/>
      <c r="L2" s="68"/>
      <c r="M2" s="68"/>
      <c r="N2" s="68"/>
      <c r="O2" s="68"/>
    </row>
    <row r="3" spans="1:15" ht="15.75">
      <c r="A3" s="146"/>
      <c r="B3" s="364" t="s">
        <v>265</v>
      </c>
      <c r="C3" s="364"/>
      <c r="D3" s="364"/>
      <c r="E3" s="364"/>
      <c r="F3" s="364"/>
      <c r="G3" s="364"/>
      <c r="H3" s="68"/>
      <c r="I3" s="68"/>
      <c r="J3" s="68"/>
      <c r="K3" s="68"/>
      <c r="L3" s="68"/>
      <c r="M3" s="68"/>
      <c r="N3" s="68"/>
      <c r="O3" s="68"/>
    </row>
    <row r="4" spans="1:15" ht="16.5" thickBot="1">
      <c r="A4" s="146"/>
      <c r="B4" s="364" t="s">
        <v>349</v>
      </c>
      <c r="C4" s="364"/>
      <c r="D4" s="364"/>
      <c r="E4" s="364"/>
      <c r="F4" s="364"/>
      <c r="G4" s="364"/>
      <c r="H4" s="68"/>
      <c r="I4" s="68"/>
      <c r="J4" s="68"/>
      <c r="K4" s="68"/>
      <c r="L4" s="68"/>
      <c r="M4" s="68"/>
      <c r="N4" s="68"/>
      <c r="O4" s="68"/>
    </row>
    <row r="5" spans="1:15" ht="16.5" thickBot="1">
      <c r="A5" s="432" t="s">
        <v>294</v>
      </c>
      <c r="B5" s="367" t="s">
        <v>256</v>
      </c>
      <c r="C5" s="370" t="s">
        <v>152</v>
      </c>
      <c r="D5" s="373" t="s">
        <v>153</v>
      </c>
      <c r="E5" s="376" t="s">
        <v>258</v>
      </c>
      <c r="F5" s="377"/>
      <c r="G5" s="378"/>
      <c r="H5" s="63"/>
      <c r="I5" s="63"/>
      <c r="J5" s="63"/>
      <c r="K5" s="63"/>
      <c r="L5" s="63"/>
      <c r="M5" s="63"/>
      <c r="N5" s="63"/>
      <c r="O5" s="63"/>
    </row>
    <row r="6" spans="1:15" ht="15.75">
      <c r="A6" s="433"/>
      <c r="B6" s="368"/>
      <c r="C6" s="371"/>
      <c r="D6" s="374"/>
      <c r="E6" s="379" t="s">
        <v>259</v>
      </c>
      <c r="F6" s="379" t="s">
        <v>260</v>
      </c>
      <c r="G6" s="435" t="s">
        <v>267</v>
      </c>
      <c r="H6" s="70"/>
      <c r="I6" s="70"/>
      <c r="J6" s="70"/>
      <c r="K6" s="70"/>
      <c r="L6" s="70"/>
      <c r="M6" s="70"/>
      <c r="N6" s="70"/>
      <c r="O6" s="70"/>
    </row>
    <row r="7" spans="1:15" ht="16.5" thickBot="1">
      <c r="A7" s="433"/>
      <c r="B7" s="368"/>
      <c r="C7" s="371"/>
      <c r="D7" s="374"/>
      <c r="E7" s="379"/>
      <c r="F7" s="379"/>
      <c r="G7" s="436"/>
      <c r="H7" s="70"/>
      <c r="I7" s="70"/>
      <c r="J7" s="70"/>
      <c r="K7" s="70"/>
      <c r="L7" s="70"/>
      <c r="M7" s="70"/>
      <c r="N7" s="70"/>
      <c r="O7" s="70"/>
    </row>
    <row r="8" spans="1:15" ht="15.75">
      <c r="A8" s="433"/>
      <c r="B8" s="368"/>
      <c r="C8" s="371"/>
      <c r="D8" s="374"/>
      <c r="E8" s="381" t="s">
        <v>262</v>
      </c>
      <c r="F8" s="382"/>
      <c r="G8" s="383"/>
      <c r="H8" s="70"/>
      <c r="I8" s="70"/>
      <c r="J8" s="70"/>
      <c r="K8" s="70"/>
      <c r="L8" s="70"/>
      <c r="M8" s="70"/>
      <c r="N8" s="70"/>
      <c r="O8" s="70"/>
    </row>
    <row r="9" spans="1:15" ht="24.75" customHeight="1" thickBot="1">
      <c r="A9" s="434"/>
      <c r="B9" s="369"/>
      <c r="C9" s="372"/>
      <c r="D9" s="375"/>
      <c r="E9" s="384"/>
      <c r="F9" s="385"/>
      <c r="G9" s="386"/>
      <c r="H9" s="70"/>
      <c r="I9" s="70"/>
      <c r="J9" s="70"/>
      <c r="K9" s="70"/>
      <c r="L9" s="70"/>
      <c r="M9" s="70"/>
      <c r="N9" s="70"/>
      <c r="O9" s="70"/>
    </row>
    <row r="10" spans="1:15" ht="31.5">
      <c r="A10" s="164" t="s">
        <v>7</v>
      </c>
      <c r="B10" s="240" t="s">
        <v>162</v>
      </c>
      <c r="C10" s="241" t="s">
        <v>163</v>
      </c>
      <c r="D10" s="242">
        <f>E10+F10+G10</f>
        <v>16676026</v>
      </c>
      <c r="E10" s="243">
        <f>18877916-1081543+13117-996376-20320-70850-153740-67113-21260</f>
        <v>16479831</v>
      </c>
      <c r="F10" s="244">
        <v>196195</v>
      </c>
      <c r="G10" s="245"/>
      <c r="H10" s="71"/>
      <c r="I10" s="72"/>
      <c r="J10" s="13"/>
      <c r="K10" s="13"/>
      <c r="L10" s="13"/>
      <c r="M10" s="72"/>
      <c r="N10" s="72"/>
      <c r="O10" s="13"/>
    </row>
    <row r="11" spans="1:15" ht="15.75">
      <c r="A11" s="166" t="s">
        <v>8</v>
      </c>
      <c r="B11" s="246" t="s">
        <v>164</v>
      </c>
      <c r="C11" s="241" t="s">
        <v>165</v>
      </c>
      <c r="D11" s="247">
        <f aca="true" t="shared" si="0" ref="D11:D28">E11+F11+G11</f>
        <v>172720</v>
      </c>
      <c r="E11" s="248">
        <v>172720</v>
      </c>
      <c r="F11" s="249"/>
      <c r="G11" s="250"/>
      <c r="H11" s="71"/>
      <c r="I11" s="72"/>
      <c r="J11" s="13"/>
      <c r="K11" s="13"/>
      <c r="L11" s="13"/>
      <c r="M11" s="72"/>
      <c r="N11" s="72"/>
      <c r="O11" s="13"/>
    </row>
    <row r="12" spans="1:15" ht="15.75">
      <c r="A12" s="166" t="s">
        <v>9</v>
      </c>
      <c r="B12" s="246" t="s">
        <v>263</v>
      </c>
      <c r="C12" s="241" t="s">
        <v>278</v>
      </c>
      <c r="D12" s="247">
        <f t="shared" si="0"/>
        <v>646670</v>
      </c>
      <c r="E12" s="248">
        <v>646670</v>
      </c>
      <c r="F12" s="249"/>
      <c r="G12" s="250"/>
      <c r="H12" s="71"/>
      <c r="I12" s="72"/>
      <c r="J12" s="13"/>
      <c r="K12" s="13"/>
      <c r="L12" s="13"/>
      <c r="M12" s="72"/>
      <c r="N12" s="72"/>
      <c r="O12" s="13"/>
    </row>
    <row r="13" spans="1:15" ht="15.75">
      <c r="A13" s="166" t="s">
        <v>10</v>
      </c>
      <c r="B13" s="246" t="s">
        <v>166</v>
      </c>
      <c r="C13" s="251" t="s">
        <v>167</v>
      </c>
      <c r="D13" s="247">
        <f t="shared" si="0"/>
        <v>127000</v>
      </c>
      <c r="E13" s="248">
        <v>127000</v>
      </c>
      <c r="F13" s="249"/>
      <c r="G13" s="250"/>
      <c r="H13" s="71"/>
      <c r="I13" s="72"/>
      <c r="J13" s="13"/>
      <c r="K13" s="13"/>
      <c r="L13" s="13"/>
      <c r="M13" s="72"/>
      <c r="N13" s="72"/>
      <c r="O13" s="13"/>
    </row>
    <row r="14" spans="1:15" ht="15.75">
      <c r="A14" s="166"/>
      <c r="B14" s="167" t="s">
        <v>336</v>
      </c>
      <c r="C14" s="168" t="s">
        <v>337</v>
      </c>
      <c r="D14" s="247">
        <f t="shared" si="0"/>
        <v>1558776</v>
      </c>
      <c r="E14" s="248">
        <f>863473+422177+273126</f>
        <v>1558776</v>
      </c>
      <c r="F14" s="249"/>
      <c r="G14" s="250"/>
      <c r="H14" s="71"/>
      <c r="I14" s="72"/>
      <c r="J14" s="13"/>
      <c r="K14" s="13"/>
      <c r="L14" s="13"/>
      <c r="M14" s="72"/>
      <c r="N14" s="72"/>
      <c r="O14" s="13"/>
    </row>
    <row r="15" spans="1:15" ht="31.5">
      <c r="A15" s="166" t="s">
        <v>11</v>
      </c>
      <c r="B15" s="246" t="s">
        <v>168</v>
      </c>
      <c r="C15" s="241" t="s">
        <v>169</v>
      </c>
      <c r="D15" s="247">
        <f t="shared" si="0"/>
        <v>15240</v>
      </c>
      <c r="E15" s="248">
        <v>15240</v>
      </c>
      <c r="F15" s="249"/>
      <c r="G15" s="250"/>
      <c r="H15" s="71"/>
      <c r="I15" s="72"/>
      <c r="J15" s="13"/>
      <c r="K15" s="13"/>
      <c r="L15" s="13"/>
      <c r="M15" s="72"/>
      <c r="N15" s="72"/>
      <c r="O15" s="13"/>
    </row>
    <row r="16" spans="1:15" ht="15.75">
      <c r="A16" s="166" t="s">
        <v>12</v>
      </c>
      <c r="B16" s="246" t="s">
        <v>206</v>
      </c>
      <c r="C16" s="241" t="s">
        <v>279</v>
      </c>
      <c r="D16" s="247">
        <f t="shared" si="0"/>
        <v>137160</v>
      </c>
      <c r="E16" s="248">
        <v>137160</v>
      </c>
      <c r="F16" s="249"/>
      <c r="G16" s="250"/>
      <c r="H16" s="71"/>
      <c r="I16" s="72"/>
      <c r="J16" s="13"/>
      <c r="K16" s="13"/>
      <c r="L16" s="13"/>
      <c r="M16" s="72"/>
      <c r="N16" s="72"/>
      <c r="O16" s="13"/>
    </row>
    <row r="17" spans="1:15" ht="15.75">
      <c r="A17" s="166" t="s">
        <v>14</v>
      </c>
      <c r="B17" s="176" t="s">
        <v>170</v>
      </c>
      <c r="C17" s="177" t="s">
        <v>171</v>
      </c>
      <c r="D17" s="247">
        <f t="shared" si="0"/>
        <v>77009776</v>
      </c>
      <c r="E17" s="248">
        <v>77009776</v>
      </c>
      <c r="F17" s="249"/>
      <c r="G17" s="250"/>
      <c r="H17" s="71"/>
      <c r="I17" s="72"/>
      <c r="J17" s="13"/>
      <c r="K17" s="13"/>
      <c r="L17" s="13"/>
      <c r="M17" s="72"/>
      <c r="N17" s="72"/>
      <c r="O17" s="13"/>
    </row>
    <row r="18" spans="1:15" ht="15.75">
      <c r="A18" s="166" t="s">
        <v>15</v>
      </c>
      <c r="B18" s="246" t="s">
        <v>172</v>
      </c>
      <c r="C18" s="241" t="s">
        <v>173</v>
      </c>
      <c r="D18" s="247">
        <f t="shared" si="0"/>
        <v>820150</v>
      </c>
      <c r="E18" s="248">
        <f>749300+70850</f>
        <v>820150</v>
      </c>
      <c r="F18" s="249"/>
      <c r="G18" s="250"/>
      <c r="H18" s="71"/>
      <c r="I18" s="72"/>
      <c r="J18" s="13"/>
      <c r="K18" s="13"/>
      <c r="L18" s="13"/>
      <c r="M18" s="72"/>
      <c r="N18" s="72"/>
      <c r="O18" s="13"/>
    </row>
    <row r="19" spans="1:15" ht="15.75">
      <c r="A19" s="166" t="s">
        <v>16</v>
      </c>
      <c r="B19" s="246" t="s">
        <v>174</v>
      </c>
      <c r="C19" s="241" t="s">
        <v>175</v>
      </c>
      <c r="D19" s="247">
        <f t="shared" si="0"/>
        <v>18163654</v>
      </c>
      <c r="E19" s="248">
        <f>2860320+14046748+175000+190500+996376-132190+26900</f>
        <v>18163654</v>
      </c>
      <c r="F19" s="249"/>
      <c r="G19" s="250"/>
      <c r="H19" s="71"/>
      <c r="I19" s="72"/>
      <c r="J19" s="13"/>
      <c r="K19" s="13"/>
      <c r="L19" s="13"/>
      <c r="M19" s="72"/>
      <c r="N19" s="72"/>
      <c r="O19" s="13"/>
    </row>
    <row r="20" spans="1:15" ht="15.75">
      <c r="A20" s="166" t="s">
        <v>17</v>
      </c>
      <c r="B20" s="246" t="s">
        <v>176</v>
      </c>
      <c r="C20" s="241" t="s">
        <v>177</v>
      </c>
      <c r="D20" s="247">
        <f t="shared" si="0"/>
        <v>124460</v>
      </c>
      <c r="E20" s="248">
        <v>124460</v>
      </c>
      <c r="F20" s="249"/>
      <c r="G20" s="250"/>
      <c r="H20" s="71"/>
      <c r="I20" s="72"/>
      <c r="J20" s="13"/>
      <c r="K20" s="13"/>
      <c r="L20" s="13"/>
      <c r="M20" s="72"/>
      <c r="N20" s="72"/>
      <c r="O20" s="13"/>
    </row>
    <row r="21" spans="1:15" ht="15.75">
      <c r="A21" s="166" t="s">
        <v>19</v>
      </c>
      <c r="B21" s="246" t="s">
        <v>178</v>
      </c>
      <c r="C21" s="241" t="s">
        <v>179</v>
      </c>
      <c r="D21" s="247">
        <f t="shared" si="0"/>
        <v>766437</v>
      </c>
      <c r="E21" s="248">
        <f>793337-26900</f>
        <v>766437</v>
      </c>
      <c r="F21" s="249"/>
      <c r="G21" s="250"/>
      <c r="H21" s="71"/>
      <c r="I21" s="72"/>
      <c r="J21" s="13"/>
      <c r="K21" s="13"/>
      <c r="L21" s="13"/>
      <c r="M21" s="72"/>
      <c r="N21" s="72"/>
      <c r="O21" s="13"/>
    </row>
    <row r="22" spans="1:15" ht="28.5" customHeight="1">
      <c r="A22" s="166" t="s">
        <v>20</v>
      </c>
      <c r="B22" s="246" t="s">
        <v>208</v>
      </c>
      <c r="C22" s="241" t="s">
        <v>280</v>
      </c>
      <c r="D22" s="247">
        <f t="shared" si="0"/>
        <v>2596245</v>
      </c>
      <c r="E22" s="248">
        <f>795801+24588+130000+190000+153740+67113+21260</f>
        <v>1382502</v>
      </c>
      <c r="F22" s="249">
        <f>455405+458960+219378+80000</f>
        <v>1213743</v>
      </c>
      <c r="G22" s="250"/>
      <c r="H22" s="71"/>
      <c r="I22" s="72"/>
      <c r="J22" s="13"/>
      <c r="K22" s="13"/>
      <c r="L22" s="13"/>
      <c r="M22" s="72"/>
      <c r="N22" s="72"/>
      <c r="O22" s="13"/>
    </row>
    <row r="23" spans="1:15" ht="15.75">
      <c r="A23" s="166" t="s">
        <v>22</v>
      </c>
      <c r="B23" s="246" t="s">
        <v>210</v>
      </c>
      <c r="C23" s="241" t="s">
        <v>211</v>
      </c>
      <c r="D23" s="247">
        <f t="shared" si="0"/>
        <v>25000</v>
      </c>
      <c r="E23" s="248">
        <v>25000</v>
      </c>
      <c r="F23" s="249"/>
      <c r="G23" s="250"/>
      <c r="H23" s="71"/>
      <c r="I23" s="72"/>
      <c r="J23" s="13"/>
      <c r="K23" s="13"/>
      <c r="L23" s="13"/>
      <c r="M23" s="72"/>
      <c r="N23" s="72"/>
      <c r="O23" s="13"/>
    </row>
    <row r="24" spans="1:15" ht="15.75">
      <c r="A24" s="166" t="s">
        <v>24</v>
      </c>
      <c r="B24" s="176">
        <v>104037</v>
      </c>
      <c r="C24" s="206" t="s">
        <v>351</v>
      </c>
      <c r="D24" s="247">
        <f t="shared" si="0"/>
        <v>99180</v>
      </c>
      <c r="E24" s="248">
        <v>99180</v>
      </c>
      <c r="F24" s="249"/>
      <c r="G24" s="250"/>
      <c r="H24" s="71"/>
      <c r="I24" s="72"/>
      <c r="J24" s="13"/>
      <c r="K24" s="13"/>
      <c r="L24" s="13"/>
      <c r="M24" s="72"/>
      <c r="N24" s="72"/>
      <c r="O24" s="13"/>
    </row>
    <row r="25" spans="1:15" ht="15.75">
      <c r="A25" s="166" t="s">
        <v>25</v>
      </c>
      <c r="B25" s="246">
        <v>104051</v>
      </c>
      <c r="C25" s="241" t="s">
        <v>180</v>
      </c>
      <c r="D25" s="247">
        <f>E25+F25+G25</f>
        <v>65000</v>
      </c>
      <c r="E25" s="248"/>
      <c r="F25" s="249"/>
      <c r="G25" s="250">
        <v>65000</v>
      </c>
      <c r="H25" s="71"/>
      <c r="I25" s="72"/>
      <c r="J25" s="13"/>
      <c r="K25" s="13"/>
      <c r="L25" s="13"/>
      <c r="M25" s="72"/>
      <c r="N25" s="72"/>
      <c r="O25" s="13"/>
    </row>
    <row r="26" spans="1:15" ht="15.75">
      <c r="A26" s="166" t="s">
        <v>27</v>
      </c>
      <c r="B26" s="246">
        <v>107051</v>
      </c>
      <c r="C26" s="241" t="s">
        <v>181</v>
      </c>
      <c r="D26" s="247">
        <f t="shared" si="0"/>
        <v>1253497</v>
      </c>
      <c r="E26" s="248">
        <f>1193497+60000</f>
        <v>1253497</v>
      </c>
      <c r="F26" s="249"/>
      <c r="G26" s="250"/>
      <c r="H26" s="71"/>
      <c r="I26" s="72"/>
      <c r="J26" s="13"/>
      <c r="K26" s="13"/>
      <c r="L26" s="13"/>
      <c r="M26" s="72"/>
      <c r="N26" s="72"/>
      <c r="O26" s="13"/>
    </row>
    <row r="27" spans="1:15" ht="15.75">
      <c r="A27" s="166" t="s">
        <v>29</v>
      </c>
      <c r="B27" s="246">
        <v>107055</v>
      </c>
      <c r="C27" s="241" t="s">
        <v>281</v>
      </c>
      <c r="D27" s="247">
        <f t="shared" si="0"/>
        <v>4542956</v>
      </c>
      <c r="E27" s="252">
        <f>3036455+63728+1150000+31463+132190</f>
        <v>4413836</v>
      </c>
      <c r="F27" s="253">
        <v>129120</v>
      </c>
      <c r="G27" s="254"/>
      <c r="H27" s="71"/>
      <c r="I27" s="72"/>
      <c r="J27" s="13"/>
      <c r="K27" s="13"/>
      <c r="L27" s="13"/>
      <c r="M27" s="72"/>
      <c r="N27" s="72"/>
      <c r="O27" s="13"/>
    </row>
    <row r="28" spans="1:15" ht="16.5" thickBot="1">
      <c r="A28" s="225" t="s">
        <v>31</v>
      </c>
      <c r="B28" s="246">
        <v>107060</v>
      </c>
      <c r="C28" s="241" t="s">
        <v>266</v>
      </c>
      <c r="D28" s="255">
        <f t="shared" si="0"/>
        <v>2118760</v>
      </c>
      <c r="E28" s="252">
        <f>1753000+345440+20320</f>
        <v>2118760</v>
      </c>
      <c r="F28" s="253"/>
      <c r="G28" s="254"/>
      <c r="H28" s="71"/>
      <c r="I28" s="72"/>
      <c r="J28" s="13"/>
      <c r="K28" s="13"/>
      <c r="L28" s="13"/>
      <c r="M28" s="72"/>
      <c r="N28" s="72"/>
      <c r="O28" s="13"/>
    </row>
    <row r="29" spans="1:15" ht="16.5" thickBot="1">
      <c r="A29" s="181" t="s">
        <v>248</v>
      </c>
      <c r="B29" s="182"/>
      <c r="C29" s="256" t="s">
        <v>225</v>
      </c>
      <c r="D29" s="186">
        <f>SUM(D10:D28)</f>
        <v>126918707</v>
      </c>
      <c r="E29" s="185">
        <f>SUM(E10:E28)</f>
        <v>125314649</v>
      </c>
      <c r="F29" s="257">
        <f>SUM(F10:F28)</f>
        <v>1539058</v>
      </c>
      <c r="G29" s="186">
        <f>SUM(G10:G28)</f>
        <v>65000</v>
      </c>
      <c r="H29" s="71"/>
      <c r="I29" s="74"/>
      <c r="J29" s="71"/>
      <c r="K29" s="71"/>
      <c r="L29" s="71"/>
      <c r="M29" s="74"/>
      <c r="N29" s="71"/>
      <c r="O29" s="71"/>
    </row>
    <row r="30" spans="2:15" ht="15.75">
      <c r="B30" s="66"/>
      <c r="C30" s="66"/>
      <c r="D30" s="6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2:15" ht="15.75">
      <c r="B31" s="66"/>
      <c r="C31" s="66"/>
      <c r="D31" s="66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2:15" ht="15.75">
      <c r="B32" s="12"/>
      <c r="C32" s="76"/>
      <c r="D32" s="12"/>
      <c r="E32" s="13"/>
      <c r="F32" s="13"/>
      <c r="G32" s="13"/>
      <c r="H32" s="13"/>
      <c r="I32" s="72"/>
      <c r="J32" s="13"/>
      <c r="K32" s="13"/>
      <c r="L32" s="13"/>
      <c r="M32" s="72"/>
      <c r="N32" s="72"/>
      <c r="O32" s="13"/>
    </row>
    <row r="33" spans="2:15" ht="15.75">
      <c r="B33" s="66"/>
      <c r="C33" s="66"/>
      <c r="D33" s="66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</sheetData>
  <sheetProtection/>
  <mergeCells count="13">
    <mergeCell ref="D5:D9"/>
    <mergeCell ref="E5:G5"/>
    <mergeCell ref="E6:E7"/>
    <mergeCell ref="A1:G1"/>
    <mergeCell ref="A5:A9"/>
    <mergeCell ref="F6:F7"/>
    <mergeCell ref="G6:G7"/>
    <mergeCell ref="E8:G9"/>
    <mergeCell ref="B2:G2"/>
    <mergeCell ref="B3:G3"/>
    <mergeCell ref="B4:G4"/>
    <mergeCell ref="B5:B9"/>
    <mergeCell ref="C5:C9"/>
  </mergeCells>
  <printOptions/>
  <pageMargins left="0.2362204724409449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I32"/>
  <sheetViews>
    <sheetView zoomScalePageLayoutView="0" workbookViewId="0" topLeftCell="A1">
      <selection activeCell="A5" sqref="A5:I5"/>
    </sheetView>
  </sheetViews>
  <sheetFormatPr defaultColWidth="9.00390625" defaultRowHeight="12.75"/>
  <cols>
    <col min="6" max="6" width="28.00390625" style="0" customWidth="1"/>
    <col min="7" max="7" width="11.375" style="0" customWidth="1"/>
    <col min="8" max="8" width="1.12109375" style="0" customWidth="1"/>
    <col min="9" max="9" width="4.875" style="0" hidden="1" customWidth="1"/>
  </cols>
  <sheetData>
    <row r="2" spans="1:8" ht="12.75">
      <c r="A2" s="333" t="s">
        <v>407</v>
      </c>
      <c r="B2" s="333"/>
      <c r="C2" s="333"/>
      <c r="D2" s="333"/>
      <c r="E2" s="333"/>
      <c r="F2" s="333"/>
      <c r="G2" s="333"/>
      <c r="H2" s="333"/>
    </row>
    <row r="5" spans="1:9" ht="21" customHeight="1">
      <c r="A5" s="439"/>
      <c r="B5" s="439"/>
      <c r="C5" s="439"/>
      <c r="D5" s="439"/>
      <c r="E5" s="439"/>
      <c r="F5" s="439"/>
      <c r="G5" s="439"/>
      <c r="H5" s="439"/>
      <c r="I5" s="439"/>
    </row>
    <row r="7" spans="1:9" ht="17.25" customHeight="1">
      <c r="A7" s="439" t="s">
        <v>4</v>
      </c>
      <c r="B7" s="439"/>
      <c r="C7" s="439"/>
      <c r="D7" s="439"/>
      <c r="E7" s="439"/>
      <c r="F7" s="439"/>
      <c r="G7" s="439"/>
      <c r="H7" s="439"/>
      <c r="I7" s="439"/>
    </row>
    <row r="8" spans="1:9" ht="15" customHeight="1">
      <c r="A8" s="439" t="s">
        <v>365</v>
      </c>
      <c r="B8" s="439"/>
      <c r="C8" s="439"/>
      <c r="D8" s="439"/>
      <c r="E8" s="439"/>
      <c r="F8" s="439"/>
      <c r="G8" s="439"/>
      <c r="H8" s="439"/>
      <c r="I8" s="439"/>
    </row>
    <row r="9" spans="1:9" ht="18" customHeight="1">
      <c r="A9" s="439" t="s">
        <v>349</v>
      </c>
      <c r="B9" s="439"/>
      <c r="C9" s="439"/>
      <c r="D9" s="439"/>
      <c r="E9" s="439"/>
      <c r="F9" s="439"/>
      <c r="G9" s="439"/>
      <c r="H9" s="439"/>
      <c r="I9" s="439"/>
    </row>
    <row r="10" spans="1:9" ht="13.5" thickBot="1">
      <c r="A10" s="333" t="s">
        <v>287</v>
      </c>
      <c r="B10" s="333"/>
      <c r="C10" s="333"/>
      <c r="D10" s="333"/>
      <c r="E10" s="333"/>
      <c r="F10" s="333"/>
      <c r="G10" s="333"/>
      <c r="H10" s="333"/>
      <c r="I10" s="333"/>
    </row>
    <row r="11" spans="1:7" ht="35.25" customHeight="1" thickBot="1">
      <c r="A11" s="317" t="s">
        <v>294</v>
      </c>
      <c r="B11" s="440" t="s">
        <v>3</v>
      </c>
      <c r="C11" s="440"/>
      <c r="D11" s="440"/>
      <c r="E11" s="440"/>
      <c r="F11" s="440"/>
      <c r="G11" s="318" t="s">
        <v>366</v>
      </c>
    </row>
    <row r="12" spans="1:7" ht="35.25" customHeight="1">
      <c r="A12" s="304"/>
      <c r="B12" s="304"/>
      <c r="C12" s="304"/>
      <c r="D12" s="304"/>
      <c r="E12" s="304"/>
      <c r="F12" s="304"/>
      <c r="G12" s="314"/>
    </row>
    <row r="13" spans="1:5" ht="18.75" customHeight="1">
      <c r="A13" s="305" t="s">
        <v>7</v>
      </c>
      <c r="B13" s="305" t="s">
        <v>367</v>
      </c>
      <c r="C13" s="305"/>
      <c r="D13" s="305"/>
      <c r="E13" s="305"/>
    </row>
    <row r="14" spans="1:8" ht="21" customHeight="1">
      <c r="A14" s="140" t="s">
        <v>296</v>
      </c>
      <c r="B14" s="305" t="s">
        <v>368</v>
      </c>
      <c r="C14" s="305"/>
      <c r="D14" s="305"/>
      <c r="E14" s="305"/>
      <c r="F14" s="305"/>
      <c r="G14" s="305"/>
      <c r="H14" s="305"/>
    </row>
    <row r="16" spans="1:7" ht="12.75">
      <c r="A16" s="315" t="s">
        <v>380</v>
      </c>
      <c r="B16" t="s">
        <v>369</v>
      </c>
      <c r="G16" s="138">
        <v>85600</v>
      </c>
    </row>
    <row r="17" spans="1:2" ht="12.75">
      <c r="A17" s="315" t="s">
        <v>381</v>
      </c>
      <c r="B17" t="s">
        <v>370</v>
      </c>
    </row>
    <row r="18" spans="1:7" ht="12.75">
      <c r="A18" t="s">
        <v>371</v>
      </c>
      <c r="B18" t="s">
        <v>372</v>
      </c>
      <c r="G18" s="138">
        <v>42300</v>
      </c>
    </row>
    <row r="19" spans="1:7" ht="12.75">
      <c r="A19" t="s">
        <v>373</v>
      </c>
      <c r="B19" t="s">
        <v>374</v>
      </c>
      <c r="G19" s="138">
        <v>28000</v>
      </c>
    </row>
    <row r="20" spans="1:7" ht="12.75">
      <c r="A20" t="s">
        <v>375</v>
      </c>
      <c r="B20" t="s">
        <v>376</v>
      </c>
      <c r="G20" s="138">
        <v>3525</v>
      </c>
    </row>
    <row r="21" spans="1:7" ht="12.75">
      <c r="A21" s="315" t="s">
        <v>382</v>
      </c>
      <c r="B21" t="s">
        <v>377</v>
      </c>
      <c r="G21" s="138">
        <v>25000</v>
      </c>
    </row>
    <row r="22" spans="2:7" ht="33" customHeight="1">
      <c r="B22" s="437" t="s">
        <v>378</v>
      </c>
      <c r="C22" s="438"/>
      <c r="D22" s="438"/>
      <c r="E22" s="438"/>
      <c r="F22" s="438"/>
      <c r="G22" s="307">
        <f>SUM(G18:G21)+G16</f>
        <v>184425</v>
      </c>
    </row>
    <row r="24" spans="1:7" ht="12.75">
      <c r="A24" s="305" t="s">
        <v>8</v>
      </c>
      <c r="B24" s="305" t="s">
        <v>383</v>
      </c>
      <c r="C24" s="305"/>
      <c r="D24" s="305"/>
      <c r="E24" s="305"/>
      <c r="F24" s="305"/>
      <c r="G24" s="305"/>
    </row>
    <row r="25" spans="1:7" ht="12.75">
      <c r="A25" s="306" t="s">
        <v>338</v>
      </c>
      <c r="B25" t="s">
        <v>384</v>
      </c>
      <c r="G25" s="138">
        <v>34478</v>
      </c>
    </row>
    <row r="26" spans="2:7" ht="29.25" customHeight="1">
      <c r="B26" s="437" t="s">
        <v>385</v>
      </c>
      <c r="C26" s="358"/>
      <c r="D26" s="358"/>
      <c r="E26" s="358"/>
      <c r="F26" s="358"/>
      <c r="G26" s="307">
        <f>G25</f>
        <v>34478</v>
      </c>
    </row>
    <row r="27" spans="2:7" ht="16.5" customHeight="1">
      <c r="B27" s="316"/>
      <c r="C27" s="313"/>
      <c r="D27" s="313"/>
      <c r="E27" s="313"/>
      <c r="F27" s="313"/>
      <c r="G27" s="307"/>
    </row>
    <row r="28" spans="1:7" ht="15" customHeight="1">
      <c r="A28" s="305" t="s">
        <v>9</v>
      </c>
      <c r="B28" s="438" t="s">
        <v>386</v>
      </c>
      <c r="C28" s="361"/>
      <c r="D28" s="313"/>
      <c r="E28" s="313"/>
      <c r="F28" s="313"/>
      <c r="G28" s="307">
        <f>12308598-1081543-996376-20320-312963</f>
        <v>9897396</v>
      </c>
    </row>
    <row r="29" spans="2:7" ht="15" customHeight="1">
      <c r="B29" s="316"/>
      <c r="C29" s="313"/>
      <c r="D29" s="313"/>
      <c r="E29" s="313"/>
      <c r="F29" s="313"/>
      <c r="G29" s="307"/>
    </row>
    <row r="30" spans="2:7" ht="15.75" customHeight="1">
      <c r="B30" s="316"/>
      <c r="C30" s="313"/>
      <c r="D30" s="313"/>
      <c r="E30" s="313"/>
      <c r="F30" s="313"/>
      <c r="G30" s="307"/>
    </row>
    <row r="31" ht="12.75">
      <c r="G31" s="138"/>
    </row>
    <row r="32" spans="1:7" ht="17.25" customHeight="1">
      <c r="A32" s="308" t="s">
        <v>10</v>
      </c>
      <c r="B32" s="305" t="s">
        <v>379</v>
      </c>
      <c r="C32" s="305"/>
      <c r="D32" s="305"/>
      <c r="E32" s="305"/>
      <c r="F32" s="305"/>
      <c r="G32" s="307">
        <f>G22+G26+G28</f>
        <v>10116299</v>
      </c>
    </row>
  </sheetData>
  <sheetProtection/>
  <mergeCells count="10">
    <mergeCell ref="B26:F26"/>
    <mergeCell ref="B28:C28"/>
    <mergeCell ref="A2:H2"/>
    <mergeCell ref="B22:F22"/>
    <mergeCell ref="A5:I5"/>
    <mergeCell ref="A7:I7"/>
    <mergeCell ref="A8:I8"/>
    <mergeCell ref="A9:I9"/>
    <mergeCell ref="A10:I10"/>
    <mergeCell ref="B11:F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C37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5.75">
      <c r="A2" s="442" t="s">
        <v>408</v>
      </c>
      <c r="B2" s="442"/>
      <c r="C2" s="442"/>
    </row>
    <row r="3" spans="1:3" ht="15.75">
      <c r="A3" s="258"/>
      <c r="B3" s="258"/>
      <c r="C3" s="258"/>
    </row>
    <row r="4" spans="1:3" ht="12.75">
      <c r="A4" s="146"/>
      <c r="B4" s="146"/>
      <c r="C4" s="146"/>
    </row>
    <row r="5" spans="1:3" ht="15.75">
      <c r="A5" s="441" t="s">
        <v>4</v>
      </c>
      <c r="B5" s="441"/>
      <c r="C5" s="441"/>
    </row>
    <row r="6" spans="1:3" ht="15" customHeight="1">
      <c r="A6" s="441" t="s">
        <v>359</v>
      </c>
      <c r="B6" s="441"/>
      <c r="C6" s="441"/>
    </row>
    <row r="7" spans="1:3" ht="15.75">
      <c r="A7" s="441" t="s">
        <v>349</v>
      </c>
      <c r="B7" s="441"/>
      <c r="C7" s="441"/>
    </row>
    <row r="8" spans="1:3" ht="15.75">
      <c r="A8" s="258"/>
      <c r="B8" s="258"/>
      <c r="C8" s="258"/>
    </row>
    <row r="9" spans="1:3" ht="16.5" thickBot="1">
      <c r="A9" s="258"/>
      <c r="B9" s="258"/>
      <c r="C9" s="258"/>
    </row>
    <row r="10" spans="1:3" ht="47.25" customHeight="1" thickBot="1">
      <c r="A10" s="259" t="s">
        <v>294</v>
      </c>
      <c r="B10" s="260" t="s">
        <v>3</v>
      </c>
      <c r="C10" s="261" t="s">
        <v>346</v>
      </c>
    </row>
    <row r="11" spans="1:3" ht="15.75">
      <c r="A11" s="258"/>
      <c r="B11" s="258"/>
      <c r="C11" s="258"/>
    </row>
    <row r="12" spans="1:3" ht="15.75">
      <c r="A12" s="258"/>
      <c r="B12" s="258"/>
      <c r="C12" s="258"/>
    </row>
    <row r="13" spans="1:3" ht="12.75">
      <c r="A13" s="146"/>
      <c r="B13" s="146"/>
      <c r="C13" s="146"/>
    </row>
    <row r="14" spans="1:3" ht="12.75">
      <c r="A14" s="146"/>
      <c r="B14" s="146"/>
      <c r="C14" s="146"/>
    </row>
    <row r="15" spans="1:2" ht="12.75">
      <c r="A15" s="305" t="s">
        <v>7</v>
      </c>
      <c r="B15" s="305" t="s">
        <v>352</v>
      </c>
    </row>
    <row r="17" spans="1:3" ht="12.75">
      <c r="A17" s="306" t="s">
        <v>296</v>
      </c>
      <c r="B17" t="s">
        <v>353</v>
      </c>
      <c r="C17" s="138">
        <v>60624470</v>
      </c>
    </row>
    <row r="19" spans="2:3" ht="12.75">
      <c r="B19" s="305" t="s">
        <v>354</v>
      </c>
      <c r="C19" s="307">
        <v>60624470</v>
      </c>
    </row>
    <row r="21" spans="1:2" ht="12.75">
      <c r="A21" s="305" t="s">
        <v>8</v>
      </c>
      <c r="B21" s="305" t="s">
        <v>355</v>
      </c>
    </row>
    <row r="22" spans="1:3" ht="12.75">
      <c r="A22" s="306" t="s">
        <v>303</v>
      </c>
      <c r="B22" t="s">
        <v>356</v>
      </c>
      <c r="C22" s="138">
        <f>250000-21181</f>
        <v>228819</v>
      </c>
    </row>
    <row r="23" spans="1:3" ht="12.75">
      <c r="A23" s="140" t="s">
        <v>338</v>
      </c>
      <c r="B23" t="s">
        <v>357</v>
      </c>
      <c r="C23" s="312">
        <f>67500-5719</f>
        <v>61781</v>
      </c>
    </row>
    <row r="24" spans="2:3" ht="12.75">
      <c r="B24" s="305" t="s">
        <v>295</v>
      </c>
      <c r="C24" s="307">
        <f>C22+C23</f>
        <v>290600</v>
      </c>
    </row>
    <row r="25" spans="2:3" ht="12.75">
      <c r="B25" s="305"/>
      <c r="C25" s="307"/>
    </row>
    <row r="26" spans="1:3" ht="14.25">
      <c r="A26" s="308" t="s">
        <v>9</v>
      </c>
      <c r="B26" s="309" t="s">
        <v>360</v>
      </c>
      <c r="C26" s="307"/>
    </row>
    <row r="27" spans="1:3" ht="12.75">
      <c r="A27" s="140" t="s">
        <v>361</v>
      </c>
      <c r="B27" s="310" t="s">
        <v>400</v>
      </c>
      <c r="C27" s="311">
        <f>144410+175000+21181</f>
        <v>340591</v>
      </c>
    </row>
    <row r="28" spans="1:3" ht="12.75">
      <c r="A28" s="140" t="s">
        <v>363</v>
      </c>
      <c r="B28" t="s">
        <v>357</v>
      </c>
      <c r="C28" s="312">
        <f>38990+5719</f>
        <v>44709</v>
      </c>
    </row>
    <row r="29" spans="2:3" ht="12.75">
      <c r="B29" s="305" t="s">
        <v>295</v>
      </c>
      <c r="C29" s="307">
        <f>C27+C28</f>
        <v>385300</v>
      </c>
    </row>
    <row r="30" spans="2:3" ht="12.75">
      <c r="B30" s="305"/>
      <c r="C30" s="307"/>
    </row>
    <row r="31" spans="2:3" ht="12.75">
      <c r="B31" s="305"/>
      <c r="C31" s="307"/>
    </row>
    <row r="32" spans="1:3" ht="12.75">
      <c r="A32" t="s">
        <v>10</v>
      </c>
      <c r="B32" s="305" t="s">
        <v>391</v>
      </c>
      <c r="C32" s="307"/>
    </row>
    <row r="33" spans="1:3" ht="12.75">
      <c r="A33" s="306" t="s">
        <v>390</v>
      </c>
      <c r="B33" s="310" t="s">
        <v>362</v>
      </c>
      <c r="C33" s="311">
        <f>472441-153701-273180+32677</f>
        <v>78237</v>
      </c>
    </row>
    <row r="34" spans="1:3" ht="12.75">
      <c r="A34" s="140" t="s">
        <v>392</v>
      </c>
      <c r="B34" t="s">
        <v>357</v>
      </c>
      <c r="C34" s="312">
        <f>127559-73757-32677</f>
        <v>21125</v>
      </c>
    </row>
    <row r="35" spans="2:3" ht="12.75">
      <c r="B35" s="305" t="s">
        <v>295</v>
      </c>
      <c r="C35" s="307">
        <f>C33+C34</f>
        <v>99362</v>
      </c>
    </row>
    <row r="37" spans="2:3" ht="12.75">
      <c r="B37" s="305" t="s">
        <v>358</v>
      </c>
      <c r="C37" s="307">
        <f>C19+C24+C29+C35</f>
        <v>61399732</v>
      </c>
    </row>
    <row r="39" ht="41.25" customHeight="1"/>
  </sheetData>
  <sheetProtection/>
  <mergeCells count="4">
    <mergeCell ref="A5:C5"/>
    <mergeCell ref="A6:C6"/>
    <mergeCell ref="A7:C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26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8.125" style="0" customWidth="1"/>
    <col min="2" max="2" width="56.00390625" style="0" customWidth="1"/>
    <col min="3" max="3" width="13.125" style="0" customWidth="1"/>
  </cols>
  <sheetData>
    <row r="1" spans="1:4" ht="12.75">
      <c r="A1" s="443" t="s">
        <v>409</v>
      </c>
      <c r="B1" s="443"/>
      <c r="C1" s="443"/>
      <c r="D1" s="444"/>
    </row>
    <row r="4" spans="1:3" ht="12.75">
      <c r="A4" s="439"/>
      <c r="B4" s="439"/>
      <c r="C4" s="439"/>
    </row>
    <row r="6" spans="1:3" ht="18.75" customHeight="1">
      <c r="A6" s="439" t="s">
        <v>4</v>
      </c>
      <c r="B6" s="439"/>
      <c r="C6" s="439"/>
    </row>
    <row r="7" spans="1:3" ht="18" customHeight="1">
      <c r="A7" s="439" t="s">
        <v>393</v>
      </c>
      <c r="B7" s="439"/>
      <c r="C7" s="439"/>
    </row>
    <row r="8" spans="1:3" ht="19.5" customHeight="1">
      <c r="A8" s="439" t="s">
        <v>349</v>
      </c>
      <c r="B8" s="439"/>
      <c r="C8" s="439"/>
    </row>
    <row r="10" ht="13.5" thickBot="1"/>
    <row r="11" spans="1:3" ht="42" customHeight="1" thickBot="1">
      <c r="A11" s="317" t="s">
        <v>294</v>
      </c>
      <c r="B11" s="317" t="s">
        <v>3</v>
      </c>
      <c r="C11" s="318" t="s">
        <v>394</v>
      </c>
    </row>
    <row r="14" spans="1:2" ht="12.75">
      <c r="A14" t="s">
        <v>7</v>
      </c>
      <c r="B14" s="321" t="s">
        <v>395</v>
      </c>
    </row>
    <row r="16" spans="1:3" ht="17.25" customHeight="1">
      <c r="A16" s="306" t="s">
        <v>296</v>
      </c>
      <c r="B16" t="s">
        <v>396</v>
      </c>
      <c r="C16" s="138">
        <f>1000000+11060431</f>
        <v>12060431</v>
      </c>
    </row>
    <row r="17" spans="1:3" ht="18.75" customHeight="1">
      <c r="A17" s="315" t="s">
        <v>300</v>
      </c>
      <c r="B17" t="s">
        <v>397</v>
      </c>
      <c r="C17" s="319">
        <f>270000+2986317</f>
        <v>3256317</v>
      </c>
    </row>
    <row r="18" spans="2:3" ht="16.5" customHeight="1">
      <c r="B18" s="320" t="s">
        <v>354</v>
      </c>
      <c r="C18" s="307">
        <f>C16+C17</f>
        <v>15316748</v>
      </c>
    </row>
    <row r="19" spans="2:3" ht="16.5" customHeight="1">
      <c r="B19" s="320"/>
      <c r="C19" s="307"/>
    </row>
    <row r="20" spans="1:3" ht="16.5" customHeight="1">
      <c r="A20" t="s">
        <v>8</v>
      </c>
      <c r="B20" s="321" t="s">
        <v>391</v>
      </c>
      <c r="C20" s="307"/>
    </row>
    <row r="21" spans="2:3" ht="16.5" customHeight="1">
      <c r="B21" s="320"/>
      <c r="C21" s="307"/>
    </row>
    <row r="22" spans="1:3" ht="16.5" customHeight="1">
      <c r="A22" s="306" t="s">
        <v>303</v>
      </c>
      <c r="B22" s="322" t="s">
        <v>401</v>
      </c>
      <c r="C22" s="311">
        <v>471216</v>
      </c>
    </row>
    <row r="23" spans="1:3" ht="16.5" customHeight="1">
      <c r="A23" s="306" t="s">
        <v>297</v>
      </c>
      <c r="B23" t="s">
        <v>397</v>
      </c>
      <c r="C23" s="323">
        <v>127230</v>
      </c>
    </row>
    <row r="24" spans="1:3" ht="16.5" customHeight="1">
      <c r="A24" s="306"/>
      <c r="B24" s="320" t="s">
        <v>354</v>
      </c>
      <c r="C24" s="307">
        <f>C22+C23</f>
        <v>598446</v>
      </c>
    </row>
    <row r="26" spans="2:3" ht="12.75">
      <c r="B26" s="305" t="s">
        <v>398</v>
      </c>
      <c r="C26" s="307">
        <f>C18+C24</f>
        <v>15915194</v>
      </c>
    </row>
  </sheetData>
  <sheetProtection/>
  <mergeCells count="5">
    <mergeCell ref="A4:C4"/>
    <mergeCell ref="A6:C6"/>
    <mergeCell ref="A7:C7"/>
    <mergeCell ref="A8:C8"/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Kovács Anita</cp:lastModifiedBy>
  <cp:lastPrinted>2019-12-13T09:39:24Z</cp:lastPrinted>
  <dcterms:created xsi:type="dcterms:W3CDTF">2002-11-26T17:22:50Z</dcterms:created>
  <dcterms:modified xsi:type="dcterms:W3CDTF">2019-12-17T09:18:43Z</dcterms:modified>
  <cp:category/>
  <cp:version/>
  <cp:contentType/>
  <cp:contentStatus/>
</cp:coreProperties>
</file>