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. Mérlegszerű" sheetId="1" r:id="rId1"/>
    <sheet name="2,a Elemi bevételek" sheetId="2" state="hidden" r:id="rId2"/>
    <sheet name="2,a Elemi bevételek " sheetId="3" r:id="rId3"/>
    <sheet name="2,b Elemi kiadások" sheetId="4" r:id="rId4"/>
    <sheet name="3. Hivatal" sheetId="5" state="hidden" r:id="rId5"/>
    <sheet name="3. Hivatal " sheetId="6" r:id="rId6"/>
    <sheet name="5. Felhalmozás" sheetId="7" r:id="rId7"/>
    <sheet name="6,a Műk. mérleg" sheetId="8" r:id="rId8"/>
    <sheet name="6,b Beruh. mérleg" sheetId="9" r:id="rId9"/>
    <sheet name="7. Tartalékok" sheetId="10" r:id="rId10"/>
    <sheet name="10. Likviditási terv" sheetId="11" r:id="rId11"/>
    <sheet name="11. Közvetett támogatás" sheetId="12" r:id="rId12"/>
    <sheet name="12. Többéves döntések" sheetId="13" r:id="rId13"/>
    <sheet name="13. Adósságot kel. ügyletek" sheetId="14" r:id="rId14"/>
    <sheet name="14. Bölcsőde" sheetId="15" r:id="rId15"/>
  </sheets>
  <definedNames>
    <definedName name="_xlfn.IFERROR" hidden="1">#NAME?</definedName>
    <definedName name="_xlnm.Print_Area" localSheetId="0">'1. Mérlegszerű'!$A$1:$AE$64</definedName>
    <definedName name="_xlnm.Print_Area" localSheetId="10">'10. Likviditási terv'!$A$1:$O$28</definedName>
    <definedName name="_xlnm.Print_Area" localSheetId="11">'11. Közvetett támogatás'!$A$1:$D$29</definedName>
    <definedName name="_xlnm.Print_Area" localSheetId="14">'14. Bölcsőde'!$A$1:$K$36</definedName>
    <definedName name="_xlnm.Print_Area" localSheetId="1">'2,a Elemi bevételek'!$A$1:$G$43</definedName>
    <definedName name="_xlnm.Print_Area" localSheetId="2">'2,a Elemi bevételek '!$A$1:$K$42</definedName>
    <definedName name="_xlnm.Print_Area" localSheetId="3">'2,b Elemi kiadások'!$A$1:$O$67</definedName>
    <definedName name="_xlnm.Print_Area" localSheetId="4">'3. Hivatal'!$A$1:$G$50</definedName>
    <definedName name="_xlnm.Print_Area" localSheetId="5">'3. Hivatal '!$A$1:$K$52</definedName>
    <definedName name="_xlnm.Print_Area" localSheetId="6">'5. Felhalmozás'!$A$1:$AD$41</definedName>
    <definedName name="_xlnm.Print_Area" localSheetId="7">'6,a Műk. mérleg'!$A$1:$Y$30</definedName>
    <definedName name="_xlnm.Print_Area" localSheetId="8">'6,b Beruh. mérleg'!$A$1:$AC$30</definedName>
  </definedNames>
  <calcPr fullCalcOnLoad="1"/>
</workbook>
</file>

<file path=xl/comments15.xml><?xml version="1.0" encoding="utf-8"?>
<comments xmlns="http://schemas.openxmlformats.org/spreadsheetml/2006/main">
  <authors>
    <author>tothnora</author>
  </authors>
  <commentList>
    <comment ref="A8" authorId="0">
      <text>
        <r>
          <rPr>
            <b/>
            <sz val="9"/>
            <rFont val="Tahoma"/>
            <family val="2"/>
          </rPr>
          <t>tothnora: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tothnora</author>
  </authors>
  <commentList>
    <comment ref="A8" authorId="0">
      <text>
        <r>
          <rPr>
            <b/>
            <sz val="9"/>
            <rFont val="Tahoma"/>
            <family val="2"/>
          </rPr>
          <t>tothnora: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tothnora</author>
  </authors>
  <commentList>
    <comment ref="A8" authorId="0">
      <text>
        <r>
          <rPr>
            <b/>
            <sz val="9"/>
            <rFont val="Tahoma"/>
            <family val="2"/>
          </rPr>
          <t>tothnora: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<sst xmlns="http://schemas.openxmlformats.org/spreadsheetml/2006/main" count="1442" uniqueCount="636">
  <si>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</si>
  <si>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</si>
  <si>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</si>
  <si>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</si>
  <si>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</si>
  <si>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</si>
  <si>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</si>
  <si>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</si>
  <si>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</si>
  <si>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</si>
  <si>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</si>
  <si>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</si>
  <si>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</si>
  <si>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</si>
  <si>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</si>
  <si>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</si>
  <si>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</si>
  <si>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</si>
  <si>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</si>
  <si>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</si>
  <si>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</si>
  <si>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</si>
  <si>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</si>
  <si>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</si>
  <si>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</si>
  <si>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</si>
  <si>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</si>
  <si>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</si>
  <si>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</si>
  <si>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</si>
  <si>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</si>
  <si>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</si>
  <si>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</si>
  <si>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</si>
  <si>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</si>
  <si>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</si>
  <si>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</si>
  <si>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</si>
  <si>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</si>
  <si>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</si>
  <si>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</si>
  <si>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</si>
  <si>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</si>
  <si>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</si>
  <si>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</si>
  <si>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</si>
  <si>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</si>
  <si>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</si>
  <si>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</si>
  <si>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</si>
  <si>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</si>
  <si>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</si>
  <si>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</si>
  <si>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</si>
  <si>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</si>
  <si>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</si>
  <si>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</si>
  <si>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</si>
  <si>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</si>
  <si>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</si>
  <si>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</si>
  <si>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</si>
  <si>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</si>
  <si>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</si>
  <si>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</si>
  <si>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</si>
  <si>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</si>
  <si>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</si>
  <si>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</si>
  <si>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</si>
  <si>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</si>
  <si>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</si>
  <si>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</si>
  <si>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</si>
  <si>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</si>
  <si>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</si>
  <si>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</si>
  <si>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</si>
  <si>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</si>
  <si>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</si>
  <si>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</si>
  <si>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</si>
  <si>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</si>
  <si>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</si>
  <si>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</si>
  <si>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</si>
  <si>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</si>
  <si>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</si>
  <si>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</si>
  <si>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</si>
  <si>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</si>
  <si>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</si>
  <si>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</si>
  <si>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</si>
  <si>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</si>
  <si>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</si>
  <si>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</si>
  <si>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</si>
  <si>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</si>
  <si>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Szakfeladat</t>
  </si>
  <si>
    <t>COFOG</t>
  </si>
  <si>
    <t>999000</t>
  </si>
  <si>
    <t>045160</t>
  </si>
  <si>
    <t>562913</t>
  </si>
  <si>
    <t>096020</t>
  </si>
  <si>
    <t>066020</t>
  </si>
  <si>
    <t>680001</t>
  </si>
  <si>
    <t>013350</t>
  </si>
  <si>
    <t>052020</t>
  </si>
  <si>
    <t>910502</t>
  </si>
  <si>
    <t>082091</t>
  </si>
  <si>
    <t>931102</t>
  </si>
  <si>
    <t>081030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</si>
  <si>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</si>
  <si>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</si>
  <si>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</si>
  <si>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</si>
  <si>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</si>
  <si>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</si>
  <si>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</si>
  <si>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</si>
  <si>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</si>
  <si>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</si>
  <si>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</si>
  <si>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Egyéb nem intézményi ellátások</t>
  </si>
  <si>
    <t>Egyéb működési célú kiadások</t>
  </si>
  <si>
    <t>Szolgáltatások ellenértéke</t>
  </si>
  <si>
    <t>B62.</t>
  </si>
  <si>
    <t>B7+ B8</t>
  </si>
  <si>
    <t>B111.</t>
  </si>
  <si>
    <t>B112.</t>
  </si>
  <si>
    <t>B113.</t>
  </si>
  <si>
    <t>B114.</t>
  </si>
  <si>
    <t>B115.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</si>
  <si>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</si>
  <si>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</si>
  <si>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</si>
  <si>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</si>
  <si>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</si>
  <si>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</si>
  <si>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</si>
  <si>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</si>
  <si>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</si>
  <si>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</si>
  <si>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</si>
  <si>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</si>
  <si>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</si>
  <si>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</si>
  <si>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</si>
  <si>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</si>
  <si>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</si>
  <si>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</si>
  <si>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</si>
  <si>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</si>
  <si>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</si>
  <si>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</si>
  <si>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</si>
  <si>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</si>
  <si>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</si>
  <si>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</si>
  <si>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</si>
  <si>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</si>
  <si>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</si>
  <si>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K48.</t>
  </si>
  <si>
    <t>K506.</t>
  </si>
  <si>
    <t>K508.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</si>
  <si>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</si>
  <si>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</si>
  <si>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</si>
  <si>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</si>
  <si>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</si>
  <si>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</si>
  <si>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</si>
  <si>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</si>
  <si>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</si>
  <si>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</si>
  <si>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</si>
  <si>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</si>
  <si>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</si>
  <si>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K1.-K8.</t>
  </si>
  <si>
    <t>B1.-B7.</t>
  </si>
  <si>
    <t>K8.+ K9.</t>
  </si>
  <si>
    <t xml:space="preserve">Csesztreg Község Önkormányzata </t>
  </si>
  <si>
    <t xml:space="preserve">Csesztreg Község Önkormányzatának elemi bevételei </t>
  </si>
  <si>
    <t>Csesztreg Község Önkormányzatának elemi kiadásai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</si>
  <si>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</si>
  <si>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</si>
  <si>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</si>
  <si>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</si>
  <si>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</si>
  <si>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</si>
  <si>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</si>
  <si>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Sor-
szám</t>
  </si>
  <si>
    <t>Megnevezés</t>
  </si>
  <si>
    <t>Tartalékok</t>
  </si>
  <si>
    <t>10.</t>
  </si>
  <si>
    <t>11.</t>
  </si>
  <si>
    <t>12.</t>
  </si>
  <si>
    <t>13.</t>
  </si>
  <si>
    <t>14.</t>
  </si>
  <si>
    <t>Értékpapír vásárlása, visszavásárlása</t>
  </si>
  <si>
    <t>15.</t>
  </si>
  <si>
    <t>16.</t>
  </si>
  <si>
    <t>Rövid lejáratú hitelek törlesztése</t>
  </si>
  <si>
    <t>17.</t>
  </si>
  <si>
    <t>Hosszú lejáratú hitelek törlesztése</t>
  </si>
  <si>
    <t>18.</t>
  </si>
  <si>
    <t>Kölcsön törlesztése</t>
  </si>
  <si>
    <t>19.</t>
  </si>
  <si>
    <t>20.</t>
  </si>
  <si>
    <t>21.</t>
  </si>
  <si>
    <t>22.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</si>
  <si>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</si>
  <si>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</si>
  <si>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</si>
  <si>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</si>
  <si>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</si>
  <si>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</si>
  <si>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</si>
  <si>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</si>
  <si>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</si>
  <si>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</si>
  <si>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</si>
  <si>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</si>
  <si>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</si>
  <si>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</si>
  <si>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</si>
  <si>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</si>
  <si>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</si>
  <si>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</si>
  <si>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</si>
  <si>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</si>
  <si>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</si>
  <si>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</si>
  <si>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K513.</t>
  </si>
  <si>
    <t>Tartalékok előirányzata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</si>
  <si>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</si>
  <si>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</si>
  <si>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</si>
  <si>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</si>
  <si>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</si>
  <si>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</si>
  <si>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</si>
  <si>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Egyéb működési célú támogatások</t>
  </si>
  <si>
    <t>Államháztartáson belüli megelőlegezések visszafizetése</t>
  </si>
  <si>
    <t xml:space="preserve">Megnevezés </t>
  </si>
  <si>
    <t xml:space="preserve">MŰKÖDÉSI CÉLÚ BEVÉTELEK </t>
  </si>
  <si>
    <t>MŰKÖDÉSI CÉLÚ  KIADÁSOK</t>
  </si>
  <si>
    <t>Önkormányzat</t>
  </si>
  <si>
    <t>1.2. Közhatalmi bevételek</t>
  </si>
  <si>
    <t xml:space="preserve">1.3. Működési bevételek </t>
  </si>
  <si>
    <t>1.4. Működési célú átvett pénzeszközök</t>
  </si>
  <si>
    <t>Önkormányzat összesen</t>
  </si>
  <si>
    <t>Közös Önkormányzati Hivatal</t>
  </si>
  <si>
    <t>Közös Önkormányzati Hivatal össz.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</si>
  <si>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</si>
  <si>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</si>
  <si>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</si>
  <si>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</si>
  <si>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</si>
  <si>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</si>
  <si>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</si>
  <si>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</si>
  <si>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</si>
  <si>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</si>
  <si>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</si>
  <si>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</si>
  <si>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</si>
  <si>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</si>
  <si>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</si>
  <si>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</si>
  <si>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</si>
  <si>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</si>
  <si>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</si>
  <si>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</si>
  <si>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</si>
  <si>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</si>
  <si>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</si>
  <si>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</si>
  <si>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</si>
  <si>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2.1. Személyi juttatások</t>
  </si>
  <si>
    <t>2.2. Munkaadókat terhelő járulékok és szociális hozzájárulási adó</t>
  </si>
  <si>
    <t>2.3. Dologi kiadások</t>
  </si>
  <si>
    <t>Összesen</t>
  </si>
  <si>
    <t>Közös Önkormányzati Hivatal 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</si>
  <si>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</si>
  <si>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</si>
  <si>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</si>
  <si>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</si>
  <si>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</si>
  <si>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</si>
  <si>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</si>
  <si>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</si>
  <si>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</si>
  <si>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</si>
  <si>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</si>
  <si>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</si>
  <si>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</si>
  <si>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</si>
  <si>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Bevételek összesen :</t>
  </si>
  <si>
    <t>Munkaadót terhelő járulékok</t>
  </si>
  <si>
    <t>Tartalék</t>
  </si>
  <si>
    <t>Kiadások összesen:</t>
  </si>
  <si>
    <t>Záró pénzkészlet</t>
  </si>
  <si>
    <t>F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</si>
  <si>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</si>
  <si>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</si>
  <si>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</si>
  <si>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</si>
  <si>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</si>
  <si>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</si>
  <si>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</si>
  <si>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</si>
  <si>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</si>
  <si>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Csesztreg Község Önkormányzata többéves kihatással járó döntések számszerűsítése évenkénti bontásban és összesítve célok szerint</t>
  </si>
  <si>
    <t xml:space="preserve">   Államháztartáson belüli megelőgezések visszafizetése</t>
  </si>
  <si>
    <r>
      <t xml:space="preserve">    </t>
    </r>
    <r>
      <rPr>
        <sz val="8"/>
        <rFont val="Times New Roman CE"/>
        <family val="0"/>
      </rPr>
      <t>Csesztreg Jövőjéért Alap</t>
    </r>
  </si>
  <si>
    <t>2014.</t>
  </si>
  <si>
    <t>I=(D+E+F+G)</t>
  </si>
  <si>
    <t>Adatok Ft-ban</t>
  </si>
  <si>
    <t>Működési célú költségvetési tán. és kiegészítő tám.</t>
  </si>
  <si>
    <t>Biztosító által fizetett kártérítés</t>
  </si>
  <si>
    <t>K335.</t>
  </si>
  <si>
    <t>Közvetített szolgáltatások</t>
  </si>
  <si>
    <t>K512.</t>
  </si>
  <si>
    <t xml:space="preserve">    Adatok Ft-ban</t>
  </si>
  <si>
    <t>Előzetesen felszámított és fizetendő áfa</t>
  </si>
  <si>
    <t>Igazgatáshoz szükséges kis értékű tárgyi eszközök beszerzés</t>
  </si>
  <si>
    <t>Víziközmű felújítása</t>
  </si>
  <si>
    <t>Felhalmozási jellegű bevétel megnevezése</t>
  </si>
  <si>
    <t>Felhalmozási jellegű kiadás megnevezése</t>
  </si>
  <si>
    <t xml:space="preserve"> Adatok Ft-ban</t>
  </si>
  <si>
    <t>2018.</t>
  </si>
  <si>
    <t>2019.</t>
  </si>
  <si>
    <t>K89.</t>
  </si>
  <si>
    <t>Egyéb felhalmozási célú támogatások áht-n kívülre</t>
  </si>
  <si>
    <t>K5021.</t>
  </si>
  <si>
    <t>A helyi önkormányzatok előző évi elszámolásaiból származó kiadások</t>
  </si>
  <si>
    <t>K352.</t>
  </si>
  <si>
    <t>Fizetendő áfa előirányzata</t>
  </si>
  <si>
    <t>2.1. Működési célú támogatás aht-n belül</t>
  </si>
  <si>
    <t xml:space="preserve">2.2. Működési bevételek </t>
  </si>
  <si>
    <t>2.3. Felhalmozási bevételek</t>
  </si>
  <si>
    <t xml:space="preserve">1.6. Beruházások </t>
  </si>
  <si>
    <t>1.7. Felújítások</t>
  </si>
  <si>
    <t>1.8. Egyéb felhalmozási célú kiadások</t>
  </si>
  <si>
    <t>1.9. Tartalékok</t>
  </si>
  <si>
    <t>1.8. Előző évi költségvetési maradvány igénybevétele</t>
  </si>
  <si>
    <t>2.4. Előző évi költségvetési maradvány igénybevétele</t>
  </si>
  <si>
    <t>Működési célú támogatások áht-n belülről</t>
  </si>
  <si>
    <t>Előző évi költségvetési maradvány igénybevétele</t>
  </si>
  <si>
    <t>2020.</t>
  </si>
  <si>
    <t>B411.</t>
  </si>
  <si>
    <t>Eredeti előirányzat 2018.</t>
  </si>
  <si>
    <t>B25.</t>
  </si>
  <si>
    <t>Egyéb felhalmozási célú támogatások áht-n belülről</t>
  </si>
  <si>
    <t>B75.</t>
  </si>
  <si>
    <t>Egyéb felhalmozási célú átvett pénzeszközök</t>
  </si>
  <si>
    <t>2018. ÉVI MŰKÖDÉSI ÉS FELHALMOZÁSI CÉLÚ BEVÉTELEI ÉS KIADÁSAI</t>
  </si>
  <si>
    <t>1.7. Felhalmozási célú átvett pénzeszközök</t>
  </si>
  <si>
    <t xml:space="preserve"> </t>
  </si>
  <si>
    <t>2018. évi előirányzat</t>
  </si>
  <si>
    <t>Költségvetési bevételek összesen: (1.+3.+4.+6.+7.)</t>
  </si>
  <si>
    <t>Hiány belső finanszírozás bevételei ( 10.+…+14.)</t>
  </si>
  <si>
    <t>Hiány külső finanszírozásának bevételei (16.+…+20. )</t>
  </si>
  <si>
    <t>Felhalmozási célú finanszírozási bevételek összesen (9.+15.)</t>
  </si>
  <si>
    <t>BEVÉTEL ÖSSZESEN (8.+21.)</t>
  </si>
  <si>
    <t>Költségvetési kiadások összesen: (1.+3.+5.+6.+7.)</t>
  </si>
  <si>
    <t>Felhalmozási célú finanszírozási kiadások összesen
(9.+...+20.)</t>
  </si>
  <si>
    <t>KIADÁSOK ÖSSZESEN (8.+21.)</t>
  </si>
  <si>
    <t>GO IN NATURE projekt</t>
  </si>
  <si>
    <t>2018. előtti kifizetések</t>
  </si>
  <si>
    <t>Összesen (1+2+3+5+7)</t>
  </si>
  <si>
    <t>Dózsa úti járda részleges felújítása</t>
  </si>
  <si>
    <t>Védőnő részére kis értékű eszközök beszerzése</t>
  </si>
  <si>
    <t>Egyéb felhalmozási célú támogatások áht-n kívülre (Sportegyesület)</t>
  </si>
  <si>
    <t>Fecskeház kialakítása</t>
  </si>
  <si>
    <t>Ady úti járda felújítása</t>
  </si>
  <si>
    <t>Kátyúzás</t>
  </si>
  <si>
    <t>Egészségügy részére kis értékű eszközök beszerzése</t>
  </si>
  <si>
    <t>Tartalékok (EFOP 1.5.3.)</t>
  </si>
  <si>
    <t>Tartalékok (EFOP 3.9.2.)</t>
  </si>
  <si>
    <t>Tartalékok (GO IN NATURE)</t>
  </si>
  <si>
    <t>Tartalékok (KerKaLand)</t>
  </si>
  <si>
    <t>Felhalmozási jellegű bevételek és kiadások (önkormányzati szinten)</t>
  </si>
  <si>
    <t>Tulajdonosi bevételek (Zalavíz)</t>
  </si>
  <si>
    <t>Előző évi maradvány igénybevétele</t>
  </si>
  <si>
    <t>Fecskeházak kialakítására kapott pályázati támogatás</t>
  </si>
  <si>
    <t>Konyha felújítására kapott pályázati támogatás</t>
  </si>
  <si>
    <t>EFOP 1.5.3. - pályázati támogatás</t>
  </si>
  <si>
    <t>EFOP 3.9.2. - pályázati támogatás</t>
  </si>
  <si>
    <t>Felhalmozási célú támogatások áht-n belülről</t>
  </si>
  <si>
    <t>igazg.</t>
  </si>
  <si>
    <t>Dózsa úit járda</t>
  </si>
  <si>
    <t>kátyúzás</t>
  </si>
  <si>
    <t>GO IN NATURE</t>
  </si>
  <si>
    <t>vízmű</t>
  </si>
  <si>
    <t>orvos</t>
  </si>
  <si>
    <t>műv. Ház felúj.</t>
  </si>
  <si>
    <t>műv. Ház beruh.</t>
  </si>
  <si>
    <t xml:space="preserve">konyha </t>
  </si>
  <si>
    <t>hivatal</t>
  </si>
  <si>
    <t>Értékesítési forgalmi adók (Iparűzési adó)</t>
  </si>
  <si>
    <t>Tartalékok (általános)</t>
  </si>
  <si>
    <t>Művelődési Ház felújítása, valamint eszközök beszerzése</t>
  </si>
  <si>
    <t>Előirányzat módosítás 04.15.</t>
  </si>
  <si>
    <t>Módosított előirányzat 04.15.</t>
  </si>
  <si>
    <t>Előrányzat módosítás 04.15.</t>
  </si>
  <si>
    <t>Ebből: Közművelődési érdekeltségnövelő támogatáshoz kapcsolódó beruházás</t>
  </si>
  <si>
    <t>Ebből: Közművelődési érdekeltségnövelő támogatáshoz kapcsolódó beruházás általános forgalmi adója</t>
  </si>
  <si>
    <t>Előriányzat módosítás 04.15.</t>
  </si>
  <si>
    <t>A K5 rovaton (működési célú kiadás) könyvelendő felhalmozási célú céltartalék a mérlegszerű bemutatásban a felhalmozási célú kiadások között szerepel!</t>
  </si>
  <si>
    <t>H</t>
  </si>
  <si>
    <t>Közművelődési érdekeltségnövelő támogatásból történő eszközbeszerzés (Művelődési Házba székek vásárlása)</t>
  </si>
  <si>
    <t>Közművelődési érdekeltségnövelő támogatás</t>
  </si>
  <si>
    <t>érd.növ.tám.</t>
  </si>
  <si>
    <t>Előirányzat módosítás 05.31.</t>
  </si>
  <si>
    <t>Módosított előirányzat 05.31.</t>
  </si>
  <si>
    <t>Előrányzat módosítás 05.31.</t>
  </si>
  <si>
    <t>2/2018. (II. 15.) önkormányzati rendelet 2,b. melléklete</t>
  </si>
  <si>
    <t>Központi, irányítószervi támogatás</t>
  </si>
  <si>
    <t>………... önkormányzati rendelet 3. melléklete</t>
  </si>
  <si>
    <t>Előriányzat módosítás 05.31.</t>
  </si>
  <si>
    <t>2.4. Egyéb működési célú kiadások</t>
  </si>
  <si>
    <t>2/2018. (II. 15.) önkormányzati rendelet 1. melléklete</t>
  </si>
  <si>
    <t>2.5. Beruházási kiadás</t>
  </si>
  <si>
    <t>I. Működési célú bevételek és kiadások mérlege
(Önkormányzati szinten)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</si>
  <si>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</si>
  <si>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</si>
  <si>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</si>
  <si>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</si>
  <si>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</si>
  <si>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6.-ból EU-s támogatás (közvetlen)</t>
  </si>
  <si>
    <t>Költségvetési bevételek összesen (1.+2.+4.+5.+6.+8.)</t>
  </si>
  <si>
    <t>Költségvetési kiadások összesen (1.+...+8.)</t>
  </si>
  <si>
    <t>Hiány belső finanszírozásának bevételei (11.+…+14. )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</si>
  <si>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</si>
  <si>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</si>
  <si>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</si>
  <si>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</si>
  <si>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</si>
  <si>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(16.+17.) </t>
  </si>
  <si>
    <t>Forgatási célú belföldi, külföldi értékpapírok vásárlása</t>
  </si>
  <si>
    <t xml:space="preserve">   Likviditási célú hitelek, kölcsönök felvétele</t>
  </si>
  <si>
    <t>Pénzeszközök lekötött betétként elhelyezése</t>
  </si>
  <si>
    <t xml:space="preserve">   Értékpapírok bevételei</t>
  </si>
  <si>
    <t>Adóssághoz nem kapcsolódó származékos ügyletek</t>
  </si>
  <si>
    <t>Váltóbevételek</t>
  </si>
  <si>
    <t>Váltókiadások</t>
  </si>
  <si>
    <t>Adóssághoz nem kapcsolódó származékos ügyletek bevételei</t>
  </si>
  <si>
    <t>Működési célú finanszírozási bevételek összesen (10.+15.+19.+20.)</t>
  </si>
  <si>
    <t>Működési célú finanszírozási kiadások összesen (10.+...+20.)</t>
  </si>
  <si>
    <t>BEVÉTEL ÖSSZESEN (9.+21.)</t>
  </si>
  <si>
    <t>KIADÁSOK ÖSSZESEN (9.+21.)</t>
  </si>
  <si>
    <t>23.</t>
  </si>
  <si>
    <t>Költségvetési hiány:</t>
  </si>
  <si>
    <t>Költségvetési többlet:</t>
  </si>
  <si>
    <t>24.</t>
  </si>
  <si>
    <t>Tárgyévi  hiány:</t>
  </si>
  <si>
    <t>Tárgyévi  többlet:</t>
  </si>
  <si>
    <t>2/2018. (II. 15.) önkormányzati rendelet 5. melléklete</t>
  </si>
  <si>
    <t>Módosított előirányzat 05.31</t>
  </si>
  <si>
    <t>2/2018. (II. 15.) önkormányzati rendelet 6.a, melléklete</t>
  </si>
  <si>
    <t>I</t>
  </si>
  <si>
    <t>2/2018. (II. 15.) önkormányzati rendelet 6.b, melléklete</t>
  </si>
  <si>
    <t>Előriányzat módosítás 05.31</t>
  </si>
  <si>
    <t>-</t>
  </si>
  <si>
    <t>J</t>
  </si>
  <si>
    <t>K</t>
  </si>
  <si>
    <t>2/2018. (II. 15.) önkormányzati rendelet 10. melléklete</t>
  </si>
  <si>
    <t>2/2018. (II. 15.) önkormányzati rendelet 12. melléklete</t>
  </si>
  <si>
    <t>Módosított előirányzat 06.30.</t>
  </si>
  <si>
    <t>Előrányzat módosítás 06.30.</t>
  </si>
  <si>
    <t>K84.</t>
  </si>
  <si>
    <t>Egyéb felhalmozási célú támogatások áht-n belülre</t>
  </si>
  <si>
    <t>Előriányzat módosítás 06.30.</t>
  </si>
  <si>
    <t>Előirányzat módosítás 06.30.</t>
  </si>
  <si>
    <t>Kerkaland projekt 2017. évben megkapott felhalmozási célú pályázati bevételének visszafizetése</t>
  </si>
  <si>
    <t>KerKaLand projekthez kapcsolódó beruházás</t>
  </si>
  <si>
    <t>GO IN NATURE projekthez kapcsolódó beruházás</t>
  </si>
  <si>
    <t>CSESZTREG KÖZSÉG ÖNKORMÁNYZATA 2018. ÉVI TARTALÉKAI</t>
  </si>
  <si>
    <t>Sorszám.</t>
  </si>
  <si>
    <t>Feladat / cél</t>
  </si>
  <si>
    <t>Az átcsoportosítás jogát gyakorolja</t>
  </si>
  <si>
    <t>A.</t>
  </si>
  <si>
    <t>Polgármester</t>
  </si>
  <si>
    <t>EFOP 1.5.3. - Humán szolgáltatások fejlesztése Lenti járás területén</t>
  </si>
  <si>
    <t>EFOP 3.9.2. - Humán kapacitások fejlesztése a Lenti járásban</t>
  </si>
  <si>
    <t>Kalandozások a Kerka völgyében- KerKaLand</t>
  </si>
  <si>
    <t>B.</t>
  </si>
  <si>
    <t xml:space="preserve">Általános tartalék </t>
  </si>
  <si>
    <t xml:space="preserve">Tartalékok mindösszesen </t>
  </si>
  <si>
    <t>2/2018. (II. 15.) önkormányzati rendelet 7. melléklete</t>
  </si>
  <si>
    <t>Egyéb tárgyi eszközök beszerzése, létesítése</t>
  </si>
  <si>
    <t>7 db pelenkázó beszerzése védőnői szolgálathoz</t>
  </si>
  <si>
    <t>pelenkázó</t>
  </si>
  <si>
    <t xml:space="preserve"> Csesztregi Közös Önkormányzati Hivatal költségvetése</t>
  </si>
  <si>
    <t>2/2018. (II. 15.) önkormányzati rendelet 3. melléklete</t>
  </si>
  <si>
    <t>BEVÉTELEK</t>
  </si>
  <si>
    <t>Eredeti előirányzat        2017.</t>
  </si>
  <si>
    <t>2017. évi várható teljesítés</t>
  </si>
  <si>
    <t>Eredeti előirányzat       2018.</t>
  </si>
  <si>
    <t>Működési célú támogatások ÁHT-n belülről</t>
  </si>
  <si>
    <t>Egyéb működési célú támogatások ÁHT-n belülről</t>
  </si>
  <si>
    <t>B403.</t>
  </si>
  <si>
    <t>Ellátási díjak előirányzata</t>
  </si>
  <si>
    <t>Kiszámlázott áfa előirányzata</t>
  </si>
  <si>
    <t>B53.</t>
  </si>
  <si>
    <t>Egyéb tárgyi eszközök értékesítése</t>
  </si>
  <si>
    <t>B1-B7.</t>
  </si>
  <si>
    <t>B816.</t>
  </si>
  <si>
    <t>B1.- B8.</t>
  </si>
  <si>
    <t>KIADÁSOK</t>
  </si>
  <si>
    <t>Egyáb működési célú támogatások ÁHT-n kívülre</t>
  </si>
  <si>
    <t xml:space="preserve">K6. </t>
  </si>
  <si>
    <t>Egyéb tárgyi eszközök beszerzése</t>
  </si>
  <si>
    <t xml:space="preserve">Beruházási célú áfa </t>
  </si>
  <si>
    <t>K1.- K8.</t>
  </si>
  <si>
    <t>Engedélyezett létszám keret (fő)</t>
  </si>
  <si>
    <t>Közfoglalkoztatottak létszáma (fő)</t>
  </si>
  <si>
    <t>Csodavilág Mini Bölcsőde költségvetése</t>
  </si>
  <si>
    <t>Módosított előirányzat 07.01.</t>
  </si>
  <si>
    <t>2/2018. (II. 15.) önkormányzati rendelet 14. melléklete</t>
  </si>
  <si>
    <t>Előrányzat módosítás 07.01.</t>
  </si>
  <si>
    <t>Előirányzat módosítás 07.01.</t>
  </si>
  <si>
    <t>2/2018. (II. 15.) önkormányzati rendelet 2,a. melléklete</t>
  </si>
  <si>
    <t>1.1. Működési célú támogatás áht-n belül</t>
  </si>
  <si>
    <t>Csodavilág Mini Bölcsőde</t>
  </si>
  <si>
    <t>Csodavilág Mini Bölcsőde össz.</t>
  </si>
  <si>
    <t>CSESZTREG KÖZSÉG ÖNKORMÁNYZATA ÉS INTÉZMÉNYEI</t>
  </si>
  <si>
    <t>GO IN NATURE projekt előleg visszautaláskor realizált veszteség</t>
  </si>
  <si>
    <t>Csodavilág Mini Bölcsőde kialakítása (beruházás, eszközök)</t>
  </si>
  <si>
    <t>Előriányzat módosítás 07.01.</t>
  </si>
  <si>
    <t>Összesen:</t>
  </si>
  <si>
    <t>Beruházások EFOP 3.9.2 projekt keretében</t>
  </si>
  <si>
    <t>3.1. Működési bevételek</t>
  </si>
  <si>
    <t>3.2. Munkaadókat terhelő járulékok és szociális hozzájárulási adó</t>
  </si>
  <si>
    <t>3.1. Személyi juttatások</t>
  </si>
  <si>
    <t>3.3. Dologi kiadások</t>
  </si>
  <si>
    <t>Előirányzat módosítás 10.31.</t>
  </si>
  <si>
    <t>Módosított előirányzat 10.31.</t>
  </si>
  <si>
    <t xml:space="preserve">Biztosító által fizetett kártérítés </t>
  </si>
  <si>
    <t>Előrányzat módosítás 10.31.</t>
  </si>
  <si>
    <t>Közüzemi díjak</t>
  </si>
  <si>
    <t>3.4. Beruházási kiadás</t>
  </si>
  <si>
    <t>Előriányzat módosítás 10.31.</t>
  </si>
  <si>
    <t>Fejlesztési, pályázati célú céltartalékok</t>
  </si>
  <si>
    <t>Csesztreg Község Önkormányzata által adott közvetett támogatások 2018. évben
(kedvezmények)</t>
  </si>
  <si>
    <t>Sor-szám</t>
  </si>
  <si>
    <t>Bevételi jogcím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</si>
  <si>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</si>
  <si>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</si>
  <si>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</si>
  <si>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</si>
  <si>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</si>
  <si>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</si>
  <si>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</si>
  <si>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</si>
  <si>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</si>
  <si>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</si>
  <si>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</si>
  <si>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</si>
  <si>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</si>
  <si>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</si>
  <si>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</si>
  <si>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</si>
  <si>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</si>
  <si>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Csesztreg Község Önkormányzata adósságot keletkeztető 2018. évi fejlesztési céljai, az ügyletekből és kezességvállalásokból fennálló kötelezettségei, valamint azok fedezetéül szolgáló saját bevételek</t>
  </si>
  <si>
    <t>1, 2018. évi adósságkeletkeztető fejlesztési célok</t>
  </si>
  <si>
    <t>Fejlesztési cél leírása</t>
  </si>
  <si>
    <t>Fejlesztés várható kiadása</t>
  </si>
  <si>
    <t>ADÓSSÁGOT KELETKEZTETŐ ÜGYLETEK VÁRHATÓ EGYÜTTES ÖSSZEGE</t>
  </si>
  <si>
    <t>2, Az adósságot keletkezető ügyletekből és kezességvállalásokból fennálló kötelezettségek</t>
  </si>
  <si>
    <t>MEGNEVEZÉS</t>
  </si>
  <si>
    <t>Évek</t>
  </si>
  <si>
    <t>Összesen
(G=C+D+E+F)</t>
  </si>
  <si>
    <t>Tárgyév</t>
  </si>
  <si>
    <t>2021.</t>
  </si>
  <si>
    <t>ÖSSZES KÖTELEZETTSÉG</t>
  </si>
  <si>
    <t>3, Saját bevételek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</si>
  <si>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</si>
  <si>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</si>
  <si>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</si>
  <si>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</si>
  <si>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</si>
  <si>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</si>
  <si>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</si>
  <si>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</si>
  <si>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</si>
  <si>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2/2018. (II. 15.) önkormányzati rendelet 11. melléklete</t>
  </si>
  <si>
    <t>………... önkormányzati rendelet 12. melléklete</t>
  </si>
  <si>
    <t>2/2018. (II. 15.) önkormányzati rendelet 13. melléklete</t>
  </si>
  <si>
    <t xml:space="preserve">    lásd: ezen rendelet 6. melléklete</t>
  </si>
  <si>
    <t xml:space="preserve">   lásd: ezen rendelet 6. melléklete</t>
  </si>
  <si>
    <t>Módosított előirányzat 10.31</t>
  </si>
  <si>
    <t>Csesztreg 11/1 hrsz-ú ingatlan vásárlása</t>
  </si>
  <si>
    <t>Kossuth út asztfaltozása</t>
  </si>
  <si>
    <t>Közétkeztetési fejlesztési projekt</t>
  </si>
  <si>
    <t>Családsegítő szolgálat részére bútorzat vásárlása</t>
  </si>
  <si>
    <t>Parasztporta melléképületének, pajtájának felújítása</t>
  </si>
  <si>
    <t>parasztporta</t>
  </si>
  <si>
    <t>bölcsi</t>
  </si>
  <si>
    <t>ingatlan vás.</t>
  </si>
  <si>
    <t>csal.segítő bútor</t>
  </si>
  <si>
    <t>Előirányzat módosítás 12.31.</t>
  </si>
  <si>
    <t>Módosított előirányzat 12.31.</t>
  </si>
  <si>
    <t>Előirányzat módosítás 12.31</t>
  </si>
  <si>
    <t>Módosított előirányzat 12.31</t>
  </si>
  <si>
    <t xml:space="preserve">Tartózkodás után fizetett idegenforgalmi adó </t>
  </si>
  <si>
    <t>Előrányzat módosítás 12.31.</t>
  </si>
  <si>
    <t>Előriányzat módosítás 12.31.</t>
  </si>
  <si>
    <t>2018. évi módosított előirányzat</t>
  </si>
  <si>
    <t>2018. évi módosított előirányzat (12.31.)</t>
  </si>
  <si>
    <t>Kedvezmény nélkül elérhető bevétel (módosított előirányzat 12.31.)</t>
  </si>
  <si>
    <t>CSESZTREG KÖZSÉG ÖNKORMÁNYZATA ÉS INTÉZMÉNYEI 2018. ÉVI MÓDOSÍTOTT ELŐIRÁNYZAT FELHASZNÁLÁSI ÜTEMTERVE</t>
  </si>
  <si>
    <t xml:space="preserve">Államháztartáson belüli megelőlegezések </t>
  </si>
  <si>
    <t>10..</t>
  </si>
  <si>
    <t>védőnő</t>
  </si>
  <si>
    <t>Térfigyelő kamerarendszer bővítése az EFOP 1.5.3. projekt keretében</t>
  </si>
  <si>
    <t>Játszótér építése</t>
  </si>
  <si>
    <t>Kültéri nyílászárók cseréje a csesztegi Kolping épületén</t>
  </si>
  <si>
    <t>Rendezvénysátor vásárlása</t>
  </si>
  <si>
    <t>Terület értékesítése</t>
  </si>
  <si>
    <t>2/2019. (II. 25.) önkormányzati rendelet 1. melléklete</t>
  </si>
  <si>
    <t>2/2019. (II. 25.) önkormányzati rendelet 2. melléklete</t>
  </si>
  <si>
    <t>2/2019. (II. 25.) önkormányzati rendelet 3. melléklete</t>
  </si>
  <si>
    <t>2/2019. (II. 25.) önkormányzati rendelet 4. melléklete</t>
  </si>
  <si>
    <t>2/2019. (II. 25.) önkormányzati rendelet 5. melléklete</t>
  </si>
  <si>
    <t>2/2019. (II. 25.) önkormányzati rendelet 6. melléklete</t>
  </si>
  <si>
    <t>2/2019. (II. 25.) önkormányzati rendelet 7. melléklete</t>
  </si>
  <si>
    <t>2/2019. (II. 25.) önkormányzati rendelet 8. melléklete</t>
  </si>
  <si>
    <t>2/2019. (II. 25.) önkormányzati rendelet 9. melléklete</t>
  </si>
  <si>
    <t>2/2019. (II. 25.) önkormányzati rendelet 10. melléklete</t>
  </si>
  <si>
    <t>2/2019. (II. 25.) önkormányzati rendelet 11. melléklete</t>
  </si>
  <si>
    <t>2/2019. (II. 25.) önkormányzati rendelet 12. melléklete</t>
  </si>
  <si>
    <t>2/2019. (II. 25.) önkormányzati rendelet 13.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</si>
</sst>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92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 CE"/>
      <family val="0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3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i/>
      <sz val="6"/>
      <name val="Times New Roman CE"/>
      <family val="0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14"/>
      <color indexed="10"/>
      <name val="Times New Roman CE"/>
      <family val="0"/>
    </font>
    <font>
      <b/>
      <sz val="9"/>
      <color indexed="8"/>
      <name val="Times New Roman"/>
      <family val="1"/>
    </font>
    <font>
      <sz val="11"/>
      <name val="Arial"/>
      <family val="2"/>
    </font>
    <font>
      <i/>
      <sz val="10"/>
      <color indexed="8"/>
      <name val="Times New Roman"/>
      <family val="1"/>
    </font>
    <font>
      <b/>
      <i/>
      <sz val="16"/>
      <name val="Times New Roman"/>
      <family val="1"/>
    </font>
    <font>
      <b/>
      <i/>
      <sz val="16"/>
      <name val="Arial CE"/>
      <family val="0"/>
    </font>
    <font>
      <i/>
      <sz val="16"/>
      <name val="Arial CE"/>
      <family val="0"/>
    </font>
    <font>
      <b/>
      <sz val="6"/>
      <color indexed="8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Times New Roman CE"/>
      <family val="0"/>
    </font>
    <font>
      <b/>
      <i/>
      <sz val="9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7"/>
      <color indexed="8"/>
      <name val="Times New Roman"/>
      <family val="1"/>
    </font>
    <font>
      <sz val="7"/>
      <name val="Arial"/>
      <family val="2"/>
    </font>
    <font>
      <sz val="8"/>
      <name val="Times New Roman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5" borderId="0" applyNumberFormat="0" applyBorder="0" applyAlignment="0" applyProtection="0"/>
    <xf numFmtId="0" fontId="7" fillId="9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21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7" fillId="9" borderId="1" applyNumberFormat="0" applyAlignment="0" applyProtection="0"/>
    <xf numFmtId="0" fontId="15" fillId="22" borderId="7" applyNumberFormat="0" applyFont="0" applyAlignment="0" applyProtection="0"/>
    <xf numFmtId="0" fontId="18" fillId="6" borderId="0" applyNumberFormat="0" applyBorder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3" fillId="22" borderId="7" applyNumberFormat="0" applyFont="0" applyAlignment="0" applyProtection="0"/>
    <xf numFmtId="0" fontId="21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23" fillId="23" borderId="0" applyNumberFormat="0" applyBorder="0" applyAlignment="0" applyProtection="0"/>
    <xf numFmtId="0" fontId="8" fillId="20" borderId="1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84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6" fillId="0" borderId="0" xfId="101">
      <alignment/>
      <protection/>
    </xf>
    <xf numFmtId="0" fontId="16" fillId="0" borderId="0" xfId="101" applyFont="1" applyBorder="1" applyAlignment="1">
      <alignment horizontal="center"/>
      <protection/>
    </xf>
    <xf numFmtId="0" fontId="27" fillId="0" borderId="10" xfId="101" applyFont="1" applyBorder="1" applyAlignment="1">
      <alignment vertical="center" wrapText="1"/>
      <protection/>
    </xf>
    <xf numFmtId="0" fontId="27" fillId="0" borderId="11" xfId="101" applyFont="1" applyBorder="1" applyAlignment="1">
      <alignment horizontal="center" vertical="center" wrapText="1"/>
      <protection/>
    </xf>
    <xf numFmtId="49" fontId="16" fillId="0" borderId="12" xfId="101" applyNumberFormat="1" applyFont="1" applyBorder="1" applyAlignment="1">
      <alignment horizontal="right"/>
      <protection/>
    </xf>
    <xf numFmtId="49" fontId="16" fillId="0" borderId="13" xfId="101" applyNumberFormat="1" applyFont="1" applyBorder="1" applyAlignment="1">
      <alignment horizontal="right"/>
      <protection/>
    </xf>
    <xf numFmtId="180" fontId="16" fillId="0" borderId="13" xfId="101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4" xfId="101" applyFont="1" applyBorder="1">
      <alignment/>
      <protection/>
    </xf>
    <xf numFmtId="0" fontId="16" fillId="0" borderId="15" xfId="101" applyFont="1" applyBorder="1">
      <alignment/>
      <protection/>
    </xf>
    <xf numFmtId="49" fontId="16" fillId="0" borderId="16" xfId="101" applyNumberFormat="1" applyBorder="1">
      <alignment/>
      <protection/>
    </xf>
    <xf numFmtId="49" fontId="16" fillId="0" borderId="17" xfId="101" applyNumberFormat="1" applyBorder="1">
      <alignment/>
      <protection/>
    </xf>
    <xf numFmtId="0" fontId="27" fillId="0" borderId="18" xfId="101" applyFont="1" applyBorder="1" applyAlignment="1">
      <alignment horizontal="left"/>
      <protection/>
    </xf>
    <xf numFmtId="0" fontId="27" fillId="0" borderId="19" xfId="101" applyFont="1" applyBorder="1" applyAlignment="1">
      <alignment horizontal="left"/>
      <protection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34" fillId="0" borderId="0" xfId="0" applyFont="1" applyAlignment="1">
      <alignment/>
    </xf>
    <xf numFmtId="0" fontId="1" fillId="0" borderId="0" xfId="0" applyFont="1" applyAlignment="1">
      <alignment/>
    </xf>
    <xf numFmtId="0" fontId="35" fillId="0" borderId="0" xfId="0" applyFont="1" applyAlignment="1">
      <alignment/>
    </xf>
    <xf numFmtId="0" fontId="39" fillId="0" borderId="0" xfId="0" applyFont="1" applyAlignment="1">
      <alignment/>
    </xf>
    <xf numFmtId="0" fontId="31" fillId="0" borderId="20" xfId="0" applyFont="1" applyBorder="1" applyAlignment="1">
      <alignment wrapText="1"/>
    </xf>
    <xf numFmtId="0" fontId="31" fillId="0" borderId="13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0" fontId="25" fillId="0" borderId="20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0" fontId="33" fillId="0" borderId="20" xfId="0" applyFont="1" applyBorder="1" applyAlignment="1">
      <alignment wrapText="1"/>
    </xf>
    <xf numFmtId="0" fontId="33" fillId="0" borderId="13" xfId="0" applyFont="1" applyBorder="1" applyAlignment="1">
      <alignment wrapText="1"/>
    </xf>
    <xf numFmtId="0" fontId="33" fillId="0" borderId="21" xfId="0" applyFont="1" applyBorder="1" applyAlignment="1">
      <alignment wrapText="1"/>
    </xf>
    <xf numFmtId="0" fontId="33" fillId="0" borderId="22" xfId="0" applyFont="1" applyBorder="1" applyAlignment="1">
      <alignment wrapText="1"/>
    </xf>
    <xf numFmtId="0" fontId="25" fillId="0" borderId="23" xfId="0" applyFont="1" applyBorder="1" applyAlignment="1">
      <alignment wrapText="1"/>
    </xf>
    <xf numFmtId="0" fontId="25" fillId="0" borderId="24" xfId="0" applyFont="1" applyBorder="1" applyAlignment="1">
      <alignment wrapText="1"/>
    </xf>
    <xf numFmtId="0" fontId="25" fillId="0" borderId="25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  <xf numFmtId="0" fontId="44" fillId="0" borderId="0" xfId="101" applyFont="1" applyAlignment="1">
      <alignment horizontal="center"/>
      <protection/>
    </xf>
    <xf numFmtId="0" fontId="16" fillId="0" borderId="0" xfId="101" applyFont="1" applyBorder="1" applyAlignment="1">
      <alignment horizontal="right"/>
      <protection/>
    </xf>
    <xf numFmtId="3" fontId="16" fillId="0" borderId="13" xfId="101" applyNumberFormat="1" applyFont="1" applyBorder="1">
      <alignment/>
      <protection/>
    </xf>
    <xf numFmtId="3" fontId="16" fillId="0" borderId="17" xfId="101" applyNumberFormat="1" applyFont="1" applyBorder="1">
      <alignment/>
      <protection/>
    </xf>
    <xf numFmtId="3" fontId="16" fillId="0" borderId="13" xfId="101" applyNumberFormat="1" applyFont="1" applyFill="1" applyBorder="1" applyAlignment="1" applyProtection="1">
      <alignment vertical="center" wrapText="1"/>
      <protection locked="0"/>
    </xf>
    <xf numFmtId="3" fontId="25" fillId="0" borderId="13" xfId="0" applyNumberFormat="1" applyFont="1" applyBorder="1" applyAlignment="1">
      <alignment horizontal="right" wrapText="1"/>
    </xf>
    <xf numFmtId="3" fontId="31" fillId="0" borderId="13" xfId="0" applyNumberFormat="1" applyFont="1" applyBorder="1" applyAlignment="1">
      <alignment horizontal="right" wrapText="1"/>
    </xf>
    <xf numFmtId="3" fontId="29" fillId="0" borderId="13" xfId="0" applyNumberFormat="1" applyFont="1" applyBorder="1" applyAlignment="1">
      <alignment horizontal="right" wrapText="1"/>
    </xf>
    <xf numFmtId="0" fontId="1" fillId="0" borderId="13" xfId="0" applyFont="1" applyBorder="1" applyAlignment="1">
      <alignment wrapText="1"/>
    </xf>
    <xf numFmtId="3" fontId="1" fillId="0" borderId="13" xfId="0" applyNumberFormat="1" applyFont="1" applyBorder="1" applyAlignment="1">
      <alignment horizontal="right" wrapText="1"/>
    </xf>
    <xf numFmtId="3" fontId="33" fillId="0" borderId="13" xfId="0" applyNumberFormat="1" applyFont="1" applyBorder="1" applyAlignment="1">
      <alignment horizontal="right" wrapText="1"/>
    </xf>
    <xf numFmtId="3" fontId="33" fillId="0" borderId="22" xfId="0" applyNumberFormat="1" applyFont="1" applyBorder="1" applyAlignment="1">
      <alignment horizontal="right" wrapText="1"/>
    </xf>
    <xf numFmtId="3" fontId="25" fillId="0" borderId="24" xfId="0" applyNumberFormat="1" applyFont="1" applyBorder="1" applyAlignment="1">
      <alignment horizontal="right" wrapText="1"/>
    </xf>
    <xf numFmtId="3" fontId="29" fillId="0" borderId="24" xfId="0" applyNumberFormat="1" applyFont="1" applyBorder="1" applyAlignment="1">
      <alignment horizontal="right" wrapText="1"/>
    </xf>
    <xf numFmtId="0" fontId="30" fillId="0" borderId="26" xfId="0" applyFont="1" applyBorder="1" applyAlignment="1">
      <alignment horizontal="center" wrapText="1"/>
    </xf>
    <xf numFmtId="0" fontId="38" fillId="0" borderId="13" xfId="0" applyFont="1" applyBorder="1" applyAlignment="1">
      <alignment wrapText="1"/>
    </xf>
    <xf numFmtId="0" fontId="30" fillId="0" borderId="27" xfId="0" applyFont="1" applyBorder="1" applyAlignment="1">
      <alignment horizontal="center" wrapText="1"/>
    </xf>
    <xf numFmtId="0" fontId="25" fillId="0" borderId="28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6" fillId="0" borderId="29" xfId="0" applyFont="1" applyBorder="1" applyAlignment="1">
      <alignment horizontal="center" wrapText="1"/>
    </xf>
    <xf numFmtId="0" fontId="46" fillId="0" borderId="30" xfId="0" applyFont="1" applyBorder="1" applyAlignment="1">
      <alignment horizontal="center" wrapText="1"/>
    </xf>
    <xf numFmtId="0" fontId="47" fillId="0" borderId="12" xfId="101" applyFont="1" applyBorder="1" applyAlignment="1">
      <alignment horizontal="center"/>
      <protection/>
    </xf>
    <xf numFmtId="0" fontId="47" fillId="0" borderId="13" xfId="101" applyFont="1" applyBorder="1" applyAlignment="1">
      <alignment horizontal="center"/>
      <protection/>
    </xf>
    <xf numFmtId="0" fontId="47" fillId="0" borderId="14" xfId="101" applyFont="1" applyBorder="1" applyAlignment="1">
      <alignment horizontal="center"/>
      <protection/>
    </xf>
    <xf numFmtId="0" fontId="47" fillId="0" borderId="0" xfId="101" applyFont="1">
      <alignment/>
      <protection/>
    </xf>
    <xf numFmtId="180" fontId="16" fillId="0" borderId="0" xfId="105" applyNumberFormat="1" applyFill="1" applyAlignment="1" applyProtection="1">
      <alignment vertical="center" wrapText="1"/>
      <protection/>
    </xf>
    <xf numFmtId="180" fontId="16" fillId="0" borderId="0" xfId="105" applyNumberFormat="1" applyFill="1" applyAlignment="1" applyProtection="1">
      <alignment horizontal="centerContinuous" vertical="center"/>
      <protection/>
    </xf>
    <xf numFmtId="180" fontId="16" fillId="0" borderId="0" xfId="105" applyNumberFormat="1" applyFill="1" applyAlignment="1" applyProtection="1">
      <alignment horizontal="center" vertical="center" wrapText="1"/>
      <protection/>
    </xf>
    <xf numFmtId="180" fontId="51" fillId="0" borderId="31" xfId="105" applyNumberFormat="1" applyFont="1" applyFill="1" applyBorder="1" applyAlignment="1" applyProtection="1">
      <alignment horizontal="centerContinuous" vertical="center" wrapText="1"/>
      <protection/>
    </xf>
    <xf numFmtId="180" fontId="51" fillId="0" borderId="32" xfId="105" applyNumberFormat="1" applyFont="1" applyFill="1" applyBorder="1" applyAlignment="1" applyProtection="1">
      <alignment horizontal="centerContinuous" vertical="center" wrapText="1"/>
      <protection/>
    </xf>
    <xf numFmtId="180" fontId="51" fillId="0" borderId="33" xfId="105" applyNumberFormat="1" applyFont="1" applyFill="1" applyBorder="1" applyAlignment="1" applyProtection="1">
      <alignment horizontal="centerContinuous" vertical="center" wrapText="1"/>
      <protection/>
    </xf>
    <xf numFmtId="180" fontId="51" fillId="0" borderId="31" xfId="105" applyNumberFormat="1" applyFont="1" applyFill="1" applyBorder="1" applyAlignment="1" applyProtection="1">
      <alignment horizontal="center" vertical="center" wrapText="1"/>
      <protection/>
    </xf>
    <xf numFmtId="180" fontId="51" fillId="0" borderId="32" xfId="105" applyNumberFormat="1" applyFont="1" applyFill="1" applyBorder="1" applyAlignment="1" applyProtection="1">
      <alignment horizontal="center" vertical="center" wrapText="1"/>
      <protection/>
    </xf>
    <xf numFmtId="180" fontId="27" fillId="0" borderId="0" xfId="105" applyNumberFormat="1" applyFont="1" applyFill="1" applyAlignment="1" applyProtection="1">
      <alignment horizontal="center" vertical="center" wrapText="1"/>
      <protection/>
    </xf>
    <xf numFmtId="180" fontId="47" fillId="0" borderId="34" xfId="105" applyNumberFormat="1" applyFont="1" applyFill="1" applyBorder="1" applyAlignment="1" applyProtection="1">
      <alignment horizontal="center" vertical="center" wrapText="1"/>
      <protection/>
    </xf>
    <xf numFmtId="180" fontId="47" fillId="0" borderId="31" xfId="105" applyNumberFormat="1" applyFont="1" applyFill="1" applyBorder="1" applyAlignment="1" applyProtection="1">
      <alignment horizontal="center" vertical="center" wrapText="1"/>
      <protection/>
    </xf>
    <xf numFmtId="180" fontId="47" fillId="0" borderId="32" xfId="105" applyNumberFormat="1" applyFont="1" applyFill="1" applyBorder="1" applyAlignment="1" applyProtection="1">
      <alignment horizontal="center" vertical="center" wrapText="1"/>
      <protection/>
    </xf>
    <xf numFmtId="180" fontId="16" fillId="0" borderId="35" xfId="105" applyNumberFormat="1" applyFill="1" applyBorder="1" applyAlignment="1" applyProtection="1">
      <alignment horizontal="left" vertical="center" wrapText="1" indent="1"/>
      <protection/>
    </xf>
    <xf numFmtId="180" fontId="52" fillId="0" borderId="36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24" xfId="105" applyNumberFormat="1" applyFont="1" applyFill="1" applyBorder="1" applyAlignment="1" applyProtection="1">
      <alignment horizontal="right" vertical="center" wrapText="1" indent="1"/>
      <protection locked="0"/>
    </xf>
    <xf numFmtId="180" fontId="16" fillId="0" borderId="37" xfId="105" applyNumberFormat="1" applyFill="1" applyBorder="1" applyAlignment="1" applyProtection="1">
      <alignment horizontal="left" vertical="center" wrapText="1" indent="1"/>
      <protection/>
    </xf>
    <xf numFmtId="180" fontId="52" fillId="0" borderId="12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13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38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39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40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2" xfId="105" applyNumberFormat="1" applyFont="1" applyFill="1" applyBorder="1" applyAlignment="1" applyProtection="1">
      <alignment horizontal="left" vertical="center" wrapText="1" indent="1"/>
      <protection locked="0"/>
    </xf>
    <xf numFmtId="180" fontId="27" fillId="0" borderId="34" xfId="105" applyNumberFormat="1" applyFont="1" applyFill="1" applyBorder="1" applyAlignment="1" applyProtection="1">
      <alignment horizontal="left" vertical="center" wrapText="1" indent="1"/>
      <protection/>
    </xf>
    <xf numFmtId="180" fontId="47" fillId="0" borderId="31" xfId="105" applyNumberFormat="1" applyFont="1" applyFill="1" applyBorder="1" applyAlignment="1" applyProtection="1">
      <alignment horizontal="left" vertical="center" wrapText="1" indent="1"/>
      <protection/>
    </xf>
    <xf numFmtId="180" fontId="47" fillId="0" borderId="32" xfId="105" applyNumberFormat="1" applyFont="1" applyFill="1" applyBorder="1" applyAlignment="1" applyProtection="1">
      <alignment horizontal="right" vertical="center" wrapText="1" indent="1"/>
      <protection/>
    </xf>
    <xf numFmtId="180" fontId="52" fillId="0" borderId="13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38" xfId="105" applyNumberFormat="1" applyFont="1" applyFill="1" applyBorder="1" applyAlignment="1" applyProtection="1">
      <alignment horizontal="right" vertical="center" wrapText="1" indent="1"/>
      <protection locked="0"/>
    </xf>
    <xf numFmtId="180" fontId="53" fillId="0" borderId="13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31" xfId="105" applyNumberFormat="1" applyFont="1" applyFill="1" applyBorder="1" applyAlignment="1" applyProtection="1">
      <alignment horizontal="left" vertical="center" wrapText="1" indent="1"/>
      <protection/>
    </xf>
    <xf numFmtId="180" fontId="27" fillId="0" borderId="41" xfId="105" applyNumberFormat="1" applyFont="1" applyFill="1" applyBorder="1" applyAlignment="1" applyProtection="1">
      <alignment horizontal="right" vertical="center" wrapText="1" indent="1"/>
      <protection/>
    </xf>
    <xf numFmtId="180" fontId="53" fillId="0" borderId="42" xfId="105" applyNumberFormat="1" applyFont="1" applyFill="1" applyBorder="1" applyAlignment="1" applyProtection="1">
      <alignment horizontal="left" vertical="center" wrapText="1" indent="1"/>
      <protection/>
    </xf>
    <xf numFmtId="180" fontId="53" fillId="0" borderId="24" xfId="105" applyNumberFormat="1" applyFont="1" applyFill="1" applyBorder="1" applyAlignment="1" applyProtection="1">
      <alignment horizontal="right" vertical="center" wrapText="1" indent="1"/>
      <protection/>
    </xf>
    <xf numFmtId="180" fontId="52" fillId="0" borderId="12" xfId="105" applyNumberFormat="1" applyFont="1" applyFill="1" applyBorder="1" applyAlignment="1" applyProtection="1">
      <alignment horizontal="left" vertical="center" wrapText="1" indent="2"/>
      <protection/>
    </xf>
    <xf numFmtId="180" fontId="52" fillId="0" borderId="13" xfId="105" applyNumberFormat="1" applyFont="1" applyFill="1" applyBorder="1" applyAlignment="1" applyProtection="1">
      <alignment horizontal="left" vertical="center" wrapText="1" indent="2"/>
      <protection/>
    </xf>
    <xf numFmtId="180" fontId="53" fillId="0" borderId="13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36" xfId="105" applyNumberFormat="1" applyFont="1" applyFill="1" applyBorder="1" applyAlignment="1" applyProtection="1">
      <alignment horizontal="left" vertical="center" wrapText="1" indent="2"/>
      <protection/>
    </xf>
    <xf numFmtId="180" fontId="52" fillId="0" borderId="16" xfId="105" applyNumberFormat="1" applyFont="1" applyFill="1" applyBorder="1" applyAlignment="1" applyProtection="1">
      <alignment horizontal="left" vertical="center" wrapText="1" indent="2"/>
      <protection/>
    </xf>
    <xf numFmtId="3" fontId="54" fillId="0" borderId="13" xfId="0" applyNumberFormat="1" applyFont="1" applyBorder="1" applyAlignment="1">
      <alignment horizontal="right" wrapText="1"/>
    </xf>
    <xf numFmtId="3" fontId="54" fillId="0" borderId="22" xfId="0" applyNumberFormat="1" applyFont="1" applyBorder="1" applyAlignment="1">
      <alignment horizontal="right" wrapText="1"/>
    </xf>
    <xf numFmtId="180" fontId="52" fillId="0" borderId="43" xfId="105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108">
      <alignment/>
      <protection/>
    </xf>
    <xf numFmtId="0" fontId="15" fillId="0" borderId="0" xfId="108" applyBorder="1">
      <alignment/>
      <protection/>
    </xf>
    <xf numFmtId="0" fontId="36" fillId="0" borderId="44" xfId="108" applyFont="1" applyFill="1" applyBorder="1" applyAlignment="1">
      <alignment horizontal="left" vertical="center"/>
      <protection/>
    </xf>
    <xf numFmtId="0" fontId="36" fillId="0" borderId="14" xfId="108" applyFont="1" applyFill="1" applyBorder="1" applyAlignment="1">
      <alignment horizontal="left" vertical="center"/>
      <protection/>
    </xf>
    <xf numFmtId="0" fontId="42" fillId="0" borderId="13" xfId="108" applyFont="1" applyBorder="1" applyAlignment="1">
      <alignment horizontal="left" vertical="center"/>
      <protection/>
    </xf>
    <xf numFmtId="0" fontId="42" fillId="0" borderId="13" xfId="108" applyFont="1" applyFill="1" applyBorder="1">
      <alignment/>
      <protection/>
    </xf>
    <xf numFmtId="0" fontId="56" fillId="0" borderId="14" xfId="102" applyFont="1" applyBorder="1" applyAlignment="1">
      <alignment horizontal="center"/>
      <protection/>
    </xf>
    <xf numFmtId="0" fontId="41" fillId="0" borderId="14" xfId="108" applyFont="1" applyBorder="1" applyAlignment="1">
      <alignment horizontal="left" vertical="center"/>
      <protection/>
    </xf>
    <xf numFmtId="0" fontId="42" fillId="0" borderId="14" xfId="108" applyFont="1" applyBorder="1" applyAlignment="1">
      <alignment horizontal="left" vertical="center"/>
      <protection/>
    </xf>
    <xf numFmtId="0" fontId="41" fillId="0" borderId="13" xfId="108" applyFont="1" applyBorder="1" applyAlignment="1">
      <alignment horizontal="left" vertical="center"/>
      <protection/>
    </xf>
    <xf numFmtId="0" fontId="56" fillId="0" borderId="14" xfId="108" applyFont="1" applyBorder="1" applyAlignment="1">
      <alignment horizontal="center" vertical="center"/>
      <protection/>
    </xf>
    <xf numFmtId="0" fontId="42" fillId="0" borderId="14" xfId="108" applyFont="1" applyBorder="1" applyAlignment="1">
      <alignment vertical="center"/>
      <protection/>
    </xf>
    <xf numFmtId="0" fontId="41" fillId="0" borderId="13" xfId="108" applyFont="1" applyFill="1" applyBorder="1" applyAlignment="1">
      <alignment horizontal="left" vertical="center"/>
      <protection/>
    </xf>
    <xf numFmtId="0" fontId="41" fillId="0" borderId="13" xfId="102" applyFont="1" applyBorder="1" applyAlignment="1">
      <alignment horizontal="left"/>
      <protection/>
    </xf>
    <xf numFmtId="0" fontId="56" fillId="0" borderId="14" xfId="108" applyFont="1" applyBorder="1" applyAlignment="1">
      <alignment horizontal="left" vertical="center"/>
      <protection/>
    </xf>
    <xf numFmtId="0" fontId="42" fillId="0" borderId="14" xfId="108" applyFont="1" applyBorder="1" applyAlignment="1">
      <alignment horizontal="left"/>
      <protection/>
    </xf>
    <xf numFmtId="0" fontId="56" fillId="0" borderId="13" xfId="108" applyFont="1" applyBorder="1" applyAlignment="1">
      <alignment horizontal="left" vertical="center"/>
      <protection/>
    </xf>
    <xf numFmtId="0" fontId="42" fillId="0" borderId="14" xfId="108" applyFont="1" applyBorder="1" applyAlignment="1">
      <alignment horizontal="center"/>
      <protection/>
    </xf>
    <xf numFmtId="0" fontId="42" fillId="0" borderId="44" xfId="108" applyFont="1" applyBorder="1" applyAlignment="1">
      <alignment horizontal="left"/>
      <protection/>
    </xf>
    <xf numFmtId="0" fontId="42" fillId="0" borderId="44" xfId="108" applyFont="1" applyBorder="1" applyAlignment="1">
      <alignment horizontal="left" vertical="center"/>
      <protection/>
    </xf>
    <xf numFmtId="0" fontId="42" fillId="0" borderId="14" xfId="108" applyFont="1" applyBorder="1" applyAlignment="1">
      <alignment horizontal="center" vertical="center"/>
      <protection/>
    </xf>
    <xf numFmtId="0" fontId="36" fillId="0" borderId="14" xfId="108" applyFont="1" applyBorder="1" applyAlignment="1">
      <alignment horizontal="center" vertical="center"/>
      <protection/>
    </xf>
    <xf numFmtId="3" fontId="41" fillId="0" borderId="38" xfId="108" applyNumberFormat="1" applyFont="1" applyBorder="1" applyAlignment="1">
      <alignment vertical="center"/>
      <protection/>
    </xf>
    <xf numFmtId="3" fontId="41" fillId="0" borderId="38" xfId="102" applyNumberFormat="1" applyFont="1" applyBorder="1" applyAlignment="1">
      <alignment horizontal="right"/>
      <protection/>
    </xf>
    <xf numFmtId="3" fontId="41" fillId="0" borderId="38" xfId="108" applyNumberFormat="1" applyFont="1" applyBorder="1" applyAlignment="1">
      <alignment horizontal="right" vertical="center"/>
      <protection/>
    </xf>
    <xf numFmtId="3" fontId="56" fillId="0" borderId="38" xfId="108" applyNumberFormat="1" applyFont="1" applyBorder="1" applyAlignment="1">
      <alignment horizontal="right" vertical="center"/>
      <protection/>
    </xf>
    <xf numFmtId="3" fontId="42" fillId="0" borderId="38" xfId="108" applyNumberFormat="1" applyFont="1" applyBorder="1" applyAlignment="1">
      <alignment horizontal="right" vertical="center"/>
      <protection/>
    </xf>
    <xf numFmtId="3" fontId="55" fillId="0" borderId="38" xfId="108" applyNumberFormat="1" applyFont="1" applyFill="1" applyBorder="1" applyAlignment="1">
      <alignment vertical="center"/>
      <protection/>
    </xf>
    <xf numFmtId="3" fontId="42" fillId="0" borderId="38" xfId="108" applyNumberFormat="1" applyFont="1" applyBorder="1" applyAlignment="1">
      <alignment vertical="center"/>
      <protection/>
    </xf>
    <xf numFmtId="3" fontId="56" fillId="0" borderId="38" xfId="108" applyNumberFormat="1" applyFont="1" applyBorder="1" applyAlignment="1">
      <alignment vertical="center"/>
      <protection/>
    </xf>
    <xf numFmtId="3" fontId="35" fillId="0" borderId="38" xfId="108" applyNumberFormat="1" applyFont="1" applyBorder="1" applyAlignment="1">
      <alignment vertical="center"/>
      <protection/>
    </xf>
    <xf numFmtId="0" fontId="42" fillId="0" borderId="44" xfId="108" applyFont="1" applyBorder="1" applyAlignment="1">
      <alignment horizontal="center" vertical="center"/>
      <protection/>
    </xf>
    <xf numFmtId="3" fontId="56" fillId="0" borderId="38" xfId="108" applyNumberFormat="1" applyFont="1" applyBorder="1">
      <alignment/>
      <protection/>
    </xf>
    <xf numFmtId="0" fontId="56" fillId="0" borderId="13" xfId="108" applyFont="1" applyFill="1" applyBorder="1" applyAlignment="1">
      <alignment horizontal="left" vertical="center"/>
      <protection/>
    </xf>
    <xf numFmtId="0" fontId="41" fillId="0" borderId="45" xfId="108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2" fillId="0" borderId="44" xfId="108" applyFont="1" applyBorder="1" applyAlignment="1">
      <alignment horizontal="center"/>
      <protection/>
    </xf>
    <xf numFmtId="0" fontId="42" fillId="20" borderId="46" xfId="108" applyFont="1" applyFill="1" applyBorder="1" applyAlignment="1">
      <alignment horizontal="center" vertical="center"/>
      <protection/>
    </xf>
    <xf numFmtId="0" fontId="42" fillId="20" borderId="47" xfId="108" applyFont="1" applyFill="1" applyBorder="1" applyAlignment="1">
      <alignment horizontal="center" vertical="center"/>
      <protection/>
    </xf>
    <xf numFmtId="0" fontId="42" fillId="20" borderId="48" xfId="108" applyFont="1" applyFill="1" applyBorder="1" applyAlignment="1">
      <alignment horizontal="center" vertical="center" wrapText="1"/>
      <protection/>
    </xf>
    <xf numFmtId="0" fontId="42" fillId="20" borderId="49" xfId="108" applyFont="1" applyFill="1" applyBorder="1" applyAlignment="1">
      <alignment horizontal="center" vertical="center"/>
      <protection/>
    </xf>
    <xf numFmtId="0" fontId="42" fillId="0" borderId="12" xfId="108" applyFont="1" applyBorder="1" applyAlignment="1">
      <alignment horizontal="center" vertical="center"/>
      <protection/>
    </xf>
    <xf numFmtId="0" fontId="56" fillId="0" borderId="50" xfId="108" applyFont="1" applyBorder="1" applyAlignment="1">
      <alignment horizontal="center" vertical="center"/>
      <protection/>
    </xf>
    <xf numFmtId="0" fontId="42" fillId="0" borderId="50" xfId="108" applyFont="1" applyBorder="1" applyAlignment="1">
      <alignment horizontal="left" vertical="center"/>
      <protection/>
    </xf>
    <xf numFmtId="3" fontId="58" fillId="24" borderId="38" xfId="108" applyNumberFormat="1" applyFont="1" applyFill="1" applyBorder="1">
      <alignment/>
      <protection/>
    </xf>
    <xf numFmtId="3" fontId="55" fillId="0" borderId="38" xfId="108" applyNumberFormat="1" applyFont="1" applyFill="1" applyBorder="1">
      <alignment/>
      <protection/>
    </xf>
    <xf numFmtId="0" fontId="41" fillId="0" borderId="12" xfId="108" applyFont="1" applyBorder="1" applyAlignment="1">
      <alignment horizontal="center" vertical="center"/>
      <protection/>
    </xf>
    <xf numFmtId="3" fontId="43" fillId="0" borderId="38" xfId="108" applyNumberFormat="1" applyFont="1" applyBorder="1" applyAlignment="1">
      <alignment vertical="center"/>
      <protection/>
    </xf>
    <xf numFmtId="0" fontId="42" fillId="0" borderId="50" xfId="108" applyFont="1" applyBorder="1" applyAlignment="1">
      <alignment horizontal="center" vertical="center"/>
      <protection/>
    </xf>
    <xf numFmtId="0" fontId="0" fillId="0" borderId="0" xfId="100">
      <alignment/>
      <protection/>
    </xf>
    <xf numFmtId="0" fontId="34" fillId="0" borderId="0" xfId="100" applyFont="1">
      <alignment/>
      <protection/>
    </xf>
    <xf numFmtId="180" fontId="48" fillId="0" borderId="0" xfId="105" applyNumberFormat="1" applyFont="1" applyFill="1" applyAlignment="1" applyProtection="1">
      <alignment vertical="center"/>
      <protection/>
    </xf>
    <xf numFmtId="180" fontId="48" fillId="0" borderId="0" xfId="105" applyNumberFormat="1" applyFont="1" applyFill="1" applyAlignment="1" applyProtection="1">
      <alignment horizontal="center" vertical="center"/>
      <protection/>
    </xf>
    <xf numFmtId="180" fontId="48" fillId="0" borderId="0" xfId="105" applyNumberFormat="1" applyFont="1" applyFill="1" applyAlignment="1" applyProtection="1">
      <alignment horizontal="center" vertical="center" wrapText="1"/>
      <protection/>
    </xf>
    <xf numFmtId="180" fontId="47" fillId="0" borderId="12" xfId="105" applyNumberFormat="1" applyFont="1" applyFill="1" applyBorder="1" applyAlignment="1" applyProtection="1">
      <alignment horizontal="center" vertical="center" wrapText="1"/>
      <protection/>
    </xf>
    <xf numFmtId="0" fontId="16" fillId="0" borderId="0" xfId="105" applyFill="1" applyAlignment="1">
      <alignment vertical="center" wrapText="1"/>
      <protection/>
    </xf>
    <xf numFmtId="180" fontId="62" fillId="0" borderId="0" xfId="105" applyNumberFormat="1" applyFont="1" applyFill="1" applyAlignment="1">
      <alignment vertical="center" wrapText="1"/>
      <protection/>
    </xf>
    <xf numFmtId="180" fontId="50" fillId="0" borderId="0" xfId="105" applyNumberFormat="1" applyFont="1" applyFill="1" applyAlignment="1">
      <alignment vertical="center" wrapText="1"/>
      <protection/>
    </xf>
    <xf numFmtId="180" fontId="64" fillId="0" borderId="0" xfId="105" applyNumberFormat="1" applyFont="1" applyFill="1" applyAlignment="1" applyProtection="1">
      <alignment vertical="center" wrapText="1"/>
      <protection/>
    </xf>
    <xf numFmtId="182" fontId="16" fillId="0" borderId="13" xfId="74" applyNumberFormat="1" applyFont="1" applyFill="1" applyBorder="1" applyAlignment="1" applyProtection="1">
      <alignment horizontal="center" vertical="center" wrapText="1"/>
      <protection locked="0"/>
    </xf>
    <xf numFmtId="182" fontId="52" fillId="0" borderId="13" xfId="74" applyNumberFormat="1" applyFont="1" applyFill="1" applyBorder="1" applyAlignment="1" applyProtection="1">
      <alignment vertical="center" wrapText="1"/>
      <protection locked="0"/>
    </xf>
    <xf numFmtId="0" fontId="40" fillId="20" borderId="13" xfId="100" applyFont="1" applyFill="1" applyBorder="1" applyAlignment="1">
      <alignment horizontal="center" vertical="center" wrapText="1"/>
      <protection/>
    </xf>
    <xf numFmtId="0" fontId="42" fillId="20" borderId="13" xfId="100" applyFont="1" applyFill="1" applyBorder="1" applyAlignment="1">
      <alignment horizontal="center" vertical="center"/>
      <protection/>
    </xf>
    <xf numFmtId="0" fontId="1" fillId="0" borderId="13" xfId="100" applyFont="1" applyBorder="1">
      <alignment/>
      <protection/>
    </xf>
    <xf numFmtId="0" fontId="42" fillId="0" borderId="13" xfId="100" applyFont="1" applyBorder="1" applyAlignment="1">
      <alignment horizontal="left"/>
      <protection/>
    </xf>
    <xf numFmtId="0" fontId="1" fillId="0" borderId="13" xfId="100" applyFont="1" applyBorder="1" applyAlignment="1">
      <alignment horizontal="center"/>
      <protection/>
    </xf>
    <xf numFmtId="0" fontId="41" fillId="0" borderId="13" xfId="100" applyFont="1" applyBorder="1" applyAlignment="1">
      <alignment horizontal="left" vertical="distributed"/>
      <protection/>
    </xf>
    <xf numFmtId="0" fontId="41" fillId="0" borderId="13" xfId="100" applyFont="1" applyBorder="1" applyAlignment="1">
      <alignment horizontal="left"/>
      <protection/>
    </xf>
    <xf numFmtId="0" fontId="41" fillId="0" borderId="40" xfId="100" applyFont="1" applyBorder="1" applyAlignment="1">
      <alignment horizontal="left"/>
      <protection/>
    </xf>
    <xf numFmtId="0" fontId="41" fillId="0" borderId="40" xfId="100" applyFont="1" applyBorder="1" applyAlignment="1">
      <alignment horizontal="left" vertical="distributed"/>
      <protection/>
    </xf>
    <xf numFmtId="3" fontId="1" fillId="0" borderId="13" xfId="100" applyNumberFormat="1" applyFont="1" applyBorder="1">
      <alignment/>
      <protection/>
    </xf>
    <xf numFmtId="180" fontId="51" fillId="0" borderId="13" xfId="105" applyNumberFormat="1" applyFont="1" applyFill="1" applyBorder="1" applyAlignment="1" applyProtection="1">
      <alignment horizontal="center" vertical="center"/>
      <protection/>
    </xf>
    <xf numFmtId="180" fontId="47" fillId="0" borderId="13" xfId="105" applyNumberFormat="1" applyFont="1" applyFill="1" applyBorder="1" applyAlignment="1" applyProtection="1">
      <alignment horizontal="center" vertical="center" wrapText="1"/>
      <protection/>
    </xf>
    <xf numFmtId="180" fontId="47" fillId="0" borderId="38" xfId="105" applyNumberFormat="1" applyFont="1" applyFill="1" applyBorder="1" applyAlignment="1" applyProtection="1">
      <alignment horizontal="center" vertical="center" wrapText="1"/>
      <protection/>
    </xf>
    <xf numFmtId="180" fontId="47" fillId="0" borderId="13" xfId="105" applyNumberFormat="1" applyFont="1" applyFill="1" applyBorder="1" applyAlignment="1" applyProtection="1">
      <alignment horizontal="left" vertical="center" wrapText="1" indent="1"/>
      <protection/>
    </xf>
    <xf numFmtId="182" fontId="52" fillId="0" borderId="13" xfId="74" applyNumberFormat="1" applyFont="1" applyFill="1" applyBorder="1" applyAlignment="1" applyProtection="1">
      <alignment horizontal="center" vertical="center" wrapText="1"/>
      <protection locked="0"/>
    </xf>
    <xf numFmtId="182" fontId="52" fillId="0" borderId="13" xfId="74" applyNumberFormat="1" applyFont="1" applyFill="1" applyBorder="1" applyAlignment="1" applyProtection="1">
      <alignment vertical="center" wrapText="1"/>
      <protection/>
    </xf>
    <xf numFmtId="182" fontId="52" fillId="0" borderId="38" xfId="74" applyNumberFormat="1" applyFont="1" applyFill="1" applyBorder="1" applyAlignment="1" applyProtection="1">
      <alignment vertical="center" wrapText="1"/>
      <protection/>
    </xf>
    <xf numFmtId="182" fontId="27" fillId="0" borderId="13" xfId="74" applyNumberFormat="1" applyFont="1" applyFill="1" applyBorder="1" applyAlignment="1" applyProtection="1">
      <alignment horizontal="center" vertical="center" wrapText="1"/>
      <protection locked="0"/>
    </xf>
    <xf numFmtId="182" fontId="47" fillId="0" borderId="13" xfId="74" applyNumberFormat="1" applyFont="1" applyFill="1" applyBorder="1" applyAlignment="1" applyProtection="1">
      <alignment vertical="center" wrapText="1"/>
      <protection/>
    </xf>
    <xf numFmtId="182" fontId="47" fillId="0" borderId="38" xfId="74" applyNumberFormat="1" applyFont="1" applyFill="1" applyBorder="1" applyAlignment="1" applyProtection="1">
      <alignment vertical="center" wrapText="1"/>
      <protection/>
    </xf>
    <xf numFmtId="180" fontId="52" fillId="0" borderId="13" xfId="105" applyNumberFormat="1" applyFont="1" applyFill="1" applyBorder="1" applyAlignment="1" applyProtection="1">
      <alignment horizontal="left" vertical="center" wrapText="1" indent="1"/>
      <protection locked="0"/>
    </xf>
    <xf numFmtId="180" fontId="47" fillId="0" borderId="13" xfId="105" applyNumberFormat="1" applyFont="1" applyFill="1" applyBorder="1" applyAlignment="1" applyProtection="1">
      <alignment horizontal="left" vertical="center" wrapText="1" indent="1"/>
      <protection/>
    </xf>
    <xf numFmtId="182" fontId="16" fillId="0" borderId="13" xfId="74" applyNumberFormat="1" applyFont="1" applyFill="1" applyBorder="1" applyAlignment="1" applyProtection="1">
      <alignment horizontal="center" vertical="center" wrapText="1"/>
      <protection locked="0"/>
    </xf>
    <xf numFmtId="182" fontId="52" fillId="0" borderId="13" xfId="74" applyNumberFormat="1" applyFont="1" applyFill="1" applyBorder="1" applyAlignment="1" applyProtection="1">
      <alignment vertical="center" wrapText="1"/>
      <protection/>
    </xf>
    <xf numFmtId="182" fontId="52" fillId="0" borderId="38" xfId="74" applyNumberFormat="1" applyFont="1" applyFill="1" applyBorder="1" applyAlignment="1" applyProtection="1">
      <alignment vertical="center" wrapText="1"/>
      <protection/>
    </xf>
    <xf numFmtId="182" fontId="64" fillId="25" borderId="19" xfId="74" applyNumberFormat="1" applyFont="1" applyFill="1" applyBorder="1" applyAlignment="1" applyProtection="1">
      <alignment horizontal="left" vertical="center" wrapText="1" indent="2"/>
      <protection/>
    </xf>
    <xf numFmtId="182" fontId="64" fillId="0" borderId="19" xfId="74" applyNumberFormat="1" applyFont="1" applyFill="1" applyBorder="1" applyAlignment="1" applyProtection="1">
      <alignment vertical="center" wrapText="1"/>
      <protection/>
    </xf>
    <xf numFmtId="182" fontId="64" fillId="0" borderId="43" xfId="74" applyNumberFormat="1" applyFont="1" applyFill="1" applyBorder="1" applyAlignment="1" applyProtection="1">
      <alignment vertical="center" wrapText="1"/>
      <protection/>
    </xf>
    <xf numFmtId="0" fontId="60" fillId="0" borderId="13" xfId="100" applyFont="1" applyBorder="1" applyAlignment="1">
      <alignment horizontal="center"/>
      <protection/>
    </xf>
    <xf numFmtId="0" fontId="56" fillId="0" borderId="13" xfId="100" applyFont="1" applyBorder="1" applyAlignment="1">
      <alignment horizontal="left"/>
      <protection/>
    </xf>
    <xf numFmtId="3" fontId="43" fillId="0" borderId="13" xfId="100" applyNumberFormat="1" applyFont="1" applyBorder="1">
      <alignment/>
      <protection/>
    </xf>
    <xf numFmtId="0" fontId="65" fillId="0" borderId="0" xfId="100" applyFont="1">
      <alignment/>
      <protection/>
    </xf>
    <xf numFmtId="0" fontId="0" fillId="0" borderId="0" xfId="100" applyFont="1">
      <alignment/>
      <protection/>
    </xf>
    <xf numFmtId="0" fontId="1" fillId="0" borderId="0" xfId="108" applyFont="1">
      <alignment/>
      <protection/>
    </xf>
    <xf numFmtId="0" fontId="40" fillId="0" borderId="0" xfId="108" applyFont="1" applyAlignment="1">
      <alignment horizontal="right"/>
      <protection/>
    </xf>
    <xf numFmtId="0" fontId="45" fillId="0" borderId="0" xfId="108" applyFont="1" applyAlignment="1">
      <alignment horizontal="center"/>
      <protection/>
    </xf>
    <xf numFmtId="0" fontId="27" fillId="0" borderId="0" xfId="101" applyFont="1" applyAlignment="1">
      <alignment horizontal="right"/>
      <protection/>
    </xf>
    <xf numFmtId="180" fontId="27" fillId="0" borderId="0" xfId="105" applyNumberFormat="1" applyFont="1" applyFill="1" applyAlignment="1" applyProtection="1">
      <alignment horizontal="centerContinuous" vertical="center"/>
      <protection/>
    </xf>
    <xf numFmtId="180" fontId="52" fillId="0" borderId="0" xfId="105" applyNumberFormat="1" applyFont="1" applyFill="1" applyAlignment="1" applyProtection="1">
      <alignment horizontal="right" vertical="center"/>
      <protection/>
    </xf>
    <xf numFmtId="0" fontId="1" fillId="0" borderId="0" xfId="108" applyFont="1" applyAlignment="1">
      <alignment/>
      <protection/>
    </xf>
    <xf numFmtId="0" fontId="42" fillId="0" borderId="0" xfId="108" applyFont="1" applyAlignment="1">
      <alignment/>
      <protection/>
    </xf>
    <xf numFmtId="0" fontId="36" fillId="0" borderId="0" xfId="108" applyFont="1" applyAlignment="1">
      <alignment horizontal="right"/>
      <protection/>
    </xf>
    <xf numFmtId="180" fontId="52" fillId="0" borderId="0" xfId="105" applyNumberFormat="1" applyFont="1" applyFill="1" applyAlignment="1">
      <alignment horizontal="center" vertical="center"/>
      <protection/>
    </xf>
    <xf numFmtId="0" fontId="66" fillId="0" borderId="0" xfId="105" applyFont="1" applyAlignment="1">
      <alignment wrapText="1"/>
      <protection/>
    </xf>
    <xf numFmtId="182" fontId="29" fillId="0" borderId="13" xfId="74" applyNumberFormat="1" applyFont="1" applyBorder="1" applyAlignment="1">
      <alignment horizontal="right" wrapText="1"/>
    </xf>
    <xf numFmtId="0" fontId="66" fillId="0" borderId="0" xfId="105" applyFont="1" applyAlignment="1">
      <alignment horizontal="right" wrapText="1"/>
      <protection/>
    </xf>
    <xf numFmtId="49" fontId="16" fillId="0" borderId="16" xfId="101" applyNumberFormat="1" applyFont="1" applyBorder="1" applyAlignment="1">
      <alignment horizontal="right"/>
      <protection/>
    </xf>
    <xf numFmtId="49" fontId="16" fillId="0" borderId="17" xfId="101" applyNumberFormat="1" applyFont="1" applyBorder="1" applyAlignment="1">
      <alignment horizontal="right"/>
      <protection/>
    </xf>
    <xf numFmtId="3" fontId="16" fillId="0" borderId="17" xfId="101" applyNumberFormat="1" applyFont="1" applyFill="1" applyBorder="1" applyAlignment="1" applyProtection="1">
      <alignment vertical="center" wrapText="1"/>
      <protection locked="0"/>
    </xf>
    <xf numFmtId="0" fontId="27" fillId="0" borderId="51" xfId="101" applyFont="1" applyBorder="1" applyAlignment="1">
      <alignment horizontal="center" vertical="center" wrapText="1"/>
      <protection/>
    </xf>
    <xf numFmtId="3" fontId="29" fillId="0" borderId="13" xfId="0" applyNumberFormat="1" applyFont="1" applyFill="1" applyBorder="1" applyAlignment="1">
      <alignment horizontal="right" wrapText="1"/>
    </xf>
    <xf numFmtId="3" fontId="25" fillId="0" borderId="13" xfId="0" applyNumberFormat="1" applyFont="1" applyFill="1" applyBorder="1" applyAlignment="1">
      <alignment horizontal="right" wrapText="1"/>
    </xf>
    <xf numFmtId="0" fontId="25" fillId="0" borderId="13" xfId="0" applyFont="1" applyFill="1" applyBorder="1" applyAlignment="1">
      <alignment horizontal="right" wrapText="1"/>
    </xf>
    <xf numFmtId="3" fontId="33" fillId="0" borderId="13" xfId="0" applyNumberFormat="1" applyFont="1" applyFill="1" applyBorder="1" applyAlignment="1">
      <alignment horizontal="right" wrapText="1"/>
    </xf>
    <xf numFmtId="0" fontId="68" fillId="0" borderId="20" xfId="0" applyFont="1" applyBorder="1" applyAlignment="1">
      <alignment wrapText="1"/>
    </xf>
    <xf numFmtId="0" fontId="68" fillId="0" borderId="13" xfId="0" applyFont="1" applyBorder="1" applyAlignment="1">
      <alignment wrapText="1"/>
    </xf>
    <xf numFmtId="3" fontId="68" fillId="0" borderId="13" xfId="0" applyNumberFormat="1" applyFont="1" applyBorder="1" applyAlignment="1">
      <alignment horizontal="right" wrapText="1"/>
    </xf>
    <xf numFmtId="0" fontId="32" fillId="0" borderId="0" xfId="0" applyFont="1" applyAlignment="1">
      <alignment/>
    </xf>
    <xf numFmtId="0" fontId="35" fillId="0" borderId="13" xfId="108" applyFont="1" applyBorder="1" applyAlignment="1">
      <alignment vertical="center" wrapText="1"/>
      <protection/>
    </xf>
    <xf numFmtId="0" fontId="41" fillId="0" borderId="14" xfId="108" applyFont="1" applyBorder="1" applyAlignment="1">
      <alignment horizontal="left" vertical="center" wrapText="1"/>
      <protection/>
    </xf>
    <xf numFmtId="0" fontId="42" fillId="0" borderId="12" xfId="108" applyFont="1" applyBorder="1" applyAlignment="1">
      <alignment horizontal="center" vertical="center" wrapText="1"/>
      <protection/>
    </xf>
    <xf numFmtId="0" fontId="42" fillId="0" borderId="13" xfId="108" applyFont="1" applyBorder="1" applyAlignment="1">
      <alignment horizontal="left" vertical="center" wrapText="1"/>
      <protection/>
    </xf>
    <xf numFmtId="0" fontId="41" fillId="0" borderId="12" xfId="108" applyFont="1" applyBorder="1" applyAlignment="1">
      <alignment horizontal="center" vertical="center" wrapText="1"/>
      <protection/>
    </xf>
    <xf numFmtId="0" fontId="41" fillId="0" borderId="13" xfId="108" applyFont="1" applyFill="1" applyBorder="1" applyAlignment="1">
      <alignment horizontal="left" vertical="center" wrapText="1"/>
      <protection/>
    </xf>
    <xf numFmtId="0" fontId="56" fillId="0" borderId="14" xfId="108" applyFont="1" applyBorder="1" applyAlignment="1">
      <alignment horizontal="left" vertical="center" wrapText="1"/>
      <protection/>
    </xf>
    <xf numFmtId="0" fontId="41" fillId="0" borderId="50" xfId="108" applyFont="1" applyBorder="1" applyAlignment="1">
      <alignment horizontal="center" vertical="center" wrapText="1"/>
      <protection/>
    </xf>
    <xf numFmtId="0" fontId="36" fillId="0" borderId="50" xfId="108" applyFont="1" applyBorder="1" applyAlignment="1">
      <alignment vertical="center" wrapText="1"/>
      <protection/>
    </xf>
    <xf numFmtId="0" fontId="36" fillId="0" borderId="14" xfId="108" applyFont="1" applyBorder="1" applyAlignment="1">
      <alignment vertical="center" wrapText="1"/>
      <protection/>
    </xf>
    <xf numFmtId="0" fontId="42" fillId="0" borderId="14" xfId="108" applyFont="1" applyBorder="1" applyAlignment="1">
      <alignment vertical="center" wrapText="1"/>
      <protection/>
    </xf>
    <xf numFmtId="16" fontId="41" fillId="0" borderId="14" xfId="108" applyNumberFormat="1" applyFont="1" applyBorder="1" applyAlignment="1">
      <alignment horizontal="left" vertical="center" wrapText="1"/>
      <protection/>
    </xf>
    <xf numFmtId="0" fontId="42" fillId="0" borderId="50" xfId="108" applyFont="1" applyBorder="1" applyAlignment="1">
      <alignment horizontal="center" vertical="center" wrapText="1"/>
      <protection/>
    </xf>
    <xf numFmtId="0" fontId="42" fillId="0" borderId="14" xfId="108" applyFont="1" applyBorder="1" applyAlignment="1">
      <alignment horizontal="center" vertical="center" wrapText="1"/>
      <protection/>
    </xf>
    <xf numFmtId="0" fontId="41" fillId="0" borderId="40" xfId="100" applyFont="1" applyBorder="1" applyAlignment="1">
      <alignment horizontal="left" wrapText="1"/>
      <protection/>
    </xf>
    <xf numFmtId="182" fontId="35" fillId="0" borderId="13" xfId="74" applyNumberFormat="1" applyFont="1" applyBorder="1" applyAlignment="1">
      <alignment/>
    </xf>
    <xf numFmtId="182" fontId="61" fillId="0" borderId="13" xfId="74" applyNumberFormat="1" applyFont="1" applyBorder="1" applyAlignment="1">
      <alignment/>
    </xf>
    <xf numFmtId="182" fontId="35" fillId="0" borderId="13" xfId="74" applyNumberFormat="1" applyFont="1" applyBorder="1" applyAlignment="1">
      <alignment horizontal="center"/>
    </xf>
    <xf numFmtId="0" fontId="1" fillId="0" borderId="0" xfId="100" applyFont="1" applyBorder="1">
      <alignment/>
      <protection/>
    </xf>
    <xf numFmtId="0" fontId="42" fillId="0" borderId="0" xfId="100" applyFont="1" applyBorder="1" applyAlignment="1">
      <alignment horizontal="left"/>
      <protection/>
    </xf>
    <xf numFmtId="3" fontId="1" fillId="0" borderId="0" xfId="100" applyNumberFormat="1" applyFont="1" applyBorder="1">
      <alignment/>
      <protection/>
    </xf>
    <xf numFmtId="3" fontId="25" fillId="0" borderId="13" xfId="0" applyNumberFormat="1" applyFont="1" applyFill="1" applyBorder="1" applyAlignment="1">
      <alignment wrapText="1"/>
    </xf>
    <xf numFmtId="0" fontId="38" fillId="0" borderId="20" xfId="0" applyFont="1" applyBorder="1" applyAlignment="1">
      <alignment wrapText="1"/>
    </xf>
    <xf numFmtId="0" fontId="38" fillId="0" borderId="21" xfId="0" applyFont="1" applyBorder="1" applyAlignment="1">
      <alignment wrapText="1"/>
    </xf>
    <xf numFmtId="0" fontId="38" fillId="0" borderId="22" xfId="0" applyFont="1" applyBorder="1" applyAlignment="1">
      <alignment wrapText="1"/>
    </xf>
    <xf numFmtId="3" fontId="58" fillId="24" borderId="38" xfId="108" applyNumberFormat="1" applyFont="1" applyFill="1" applyBorder="1" applyAlignment="1">
      <alignment horizontal="right" vertical="center"/>
      <protection/>
    </xf>
    <xf numFmtId="3" fontId="59" fillId="24" borderId="38" xfId="108" applyNumberFormat="1" applyFont="1" applyFill="1" applyBorder="1" applyAlignment="1">
      <alignment vertical="center"/>
      <protection/>
    </xf>
    <xf numFmtId="3" fontId="45" fillId="20" borderId="43" xfId="108" applyNumberFormat="1" applyFont="1" applyFill="1" applyBorder="1" applyAlignment="1">
      <alignment vertical="center"/>
      <protection/>
    </xf>
    <xf numFmtId="3" fontId="16" fillId="0" borderId="0" xfId="101" applyNumberFormat="1">
      <alignment/>
      <protection/>
    </xf>
    <xf numFmtId="3" fontId="16" fillId="0" borderId="13" xfId="101" applyNumberFormat="1" applyFont="1" applyFill="1" applyBorder="1">
      <alignment/>
      <protection/>
    </xf>
    <xf numFmtId="3" fontId="16" fillId="0" borderId="17" xfId="101" applyNumberFormat="1" applyFont="1" applyFill="1" applyBorder="1">
      <alignment/>
      <protection/>
    </xf>
    <xf numFmtId="0" fontId="41" fillId="0" borderId="13" xfId="100" applyFont="1" applyFill="1" applyBorder="1">
      <alignment/>
      <protection/>
    </xf>
    <xf numFmtId="3" fontId="42" fillId="0" borderId="13" xfId="100" applyNumberFormat="1" applyFont="1" applyFill="1" applyBorder="1">
      <alignment/>
      <protection/>
    </xf>
    <xf numFmtId="3" fontId="56" fillId="0" borderId="13" xfId="100" applyNumberFormat="1" applyFont="1" applyFill="1" applyBorder="1">
      <alignment/>
      <protection/>
    </xf>
    <xf numFmtId="0" fontId="36" fillId="0" borderId="44" xfId="108" applyFont="1" applyBorder="1" applyAlignment="1">
      <alignment horizontal="left" vertical="center" wrapText="1"/>
      <protection/>
    </xf>
    <xf numFmtId="0" fontId="1" fillId="0" borderId="52" xfId="108" applyFont="1" applyBorder="1" applyAlignment="1">
      <alignment horizontal="center"/>
      <protection/>
    </xf>
    <xf numFmtId="0" fontId="36" fillId="0" borderId="53" xfId="108" applyFont="1" applyFill="1" applyBorder="1" applyAlignment="1">
      <alignment horizontal="left" vertical="center"/>
      <protection/>
    </xf>
    <xf numFmtId="0" fontId="25" fillId="0" borderId="0" xfId="0" applyFont="1" applyAlignment="1">
      <alignment horizontal="right" wrapText="1"/>
    </xf>
    <xf numFmtId="0" fontId="29" fillId="0" borderId="54" xfId="0" applyFont="1" applyBorder="1" applyAlignment="1">
      <alignment horizontal="right" wrapText="1"/>
    </xf>
    <xf numFmtId="0" fontId="29" fillId="0" borderId="54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42" fillId="0" borderId="0" xfId="108" applyFont="1" applyAlignment="1">
      <alignment horizontal="center"/>
      <protection/>
    </xf>
    <xf numFmtId="180" fontId="50" fillId="0" borderId="0" xfId="105" applyNumberFormat="1" applyFont="1" applyFill="1" applyAlignment="1" applyProtection="1">
      <alignment horizontal="center" textRotation="180" wrapText="1"/>
      <protection/>
    </xf>
    <xf numFmtId="180" fontId="63" fillId="0" borderId="0" xfId="105" applyNumberFormat="1" applyFont="1" applyFill="1" applyAlignment="1" applyProtection="1">
      <alignment horizontal="center" vertical="center" wrapText="1"/>
      <protection/>
    </xf>
    <xf numFmtId="0" fontId="29" fillId="0" borderId="0" xfId="0" applyFont="1" applyBorder="1" applyAlignment="1">
      <alignment horizontal="right" wrapText="1"/>
    </xf>
    <xf numFmtId="0" fontId="29" fillId="0" borderId="0" xfId="0" applyFont="1" applyBorder="1" applyAlignment="1">
      <alignment horizontal="center" wrapText="1"/>
    </xf>
    <xf numFmtId="0" fontId="70" fillId="0" borderId="20" xfId="0" applyFont="1" applyBorder="1" applyAlignment="1">
      <alignment wrapText="1"/>
    </xf>
    <xf numFmtId="0" fontId="70" fillId="0" borderId="13" xfId="0" applyFont="1" applyBorder="1" applyAlignment="1">
      <alignment wrapText="1"/>
    </xf>
    <xf numFmtId="3" fontId="70" fillId="0" borderId="24" xfId="0" applyNumberFormat="1" applyFont="1" applyBorder="1" applyAlignment="1">
      <alignment horizontal="right" wrapText="1"/>
    </xf>
    <xf numFmtId="0" fontId="71" fillId="0" borderId="0" xfId="0" applyFont="1" applyAlignment="1">
      <alignment/>
    </xf>
    <xf numFmtId="3" fontId="70" fillId="0" borderId="13" xfId="0" applyNumberFormat="1" applyFont="1" applyBorder="1" applyAlignment="1">
      <alignment horizontal="right" wrapText="1"/>
    </xf>
    <xf numFmtId="0" fontId="42" fillId="20" borderId="49" xfId="108" applyFont="1" applyFill="1" applyBorder="1" applyAlignment="1">
      <alignment horizontal="center" vertical="center" wrapText="1"/>
      <protection/>
    </xf>
    <xf numFmtId="3" fontId="41" fillId="0" borderId="44" xfId="108" applyNumberFormat="1" applyFont="1" applyBorder="1" applyAlignment="1">
      <alignment vertical="center"/>
      <protection/>
    </xf>
    <xf numFmtId="3" fontId="41" fillId="0" borderId="44" xfId="102" applyNumberFormat="1" applyFont="1" applyBorder="1" applyAlignment="1">
      <alignment horizontal="right"/>
      <protection/>
    </xf>
    <xf numFmtId="3" fontId="41" fillId="0" borderId="44" xfId="108" applyNumberFormat="1" applyFont="1" applyBorder="1" applyAlignment="1">
      <alignment horizontal="right" vertical="center"/>
      <protection/>
    </xf>
    <xf numFmtId="3" fontId="56" fillId="0" borderId="44" xfId="108" applyNumberFormat="1" applyFont="1" applyBorder="1" applyAlignment="1">
      <alignment horizontal="right" vertical="center"/>
      <protection/>
    </xf>
    <xf numFmtId="3" fontId="42" fillId="0" borderId="44" xfId="108" applyNumberFormat="1" applyFont="1" applyBorder="1" applyAlignment="1">
      <alignment horizontal="right" vertical="center"/>
      <protection/>
    </xf>
    <xf numFmtId="3" fontId="58" fillId="24" borderId="44" xfId="108" applyNumberFormat="1" applyFont="1" applyFill="1" applyBorder="1" applyAlignment="1">
      <alignment horizontal="right" vertical="center"/>
      <protection/>
    </xf>
    <xf numFmtId="3" fontId="55" fillId="0" borderId="44" xfId="108" applyNumberFormat="1" applyFont="1" applyFill="1" applyBorder="1" applyAlignment="1">
      <alignment vertical="center"/>
      <protection/>
    </xf>
    <xf numFmtId="3" fontId="56" fillId="0" borderId="44" xfId="108" applyNumberFormat="1" applyFont="1" applyBorder="1">
      <alignment/>
      <protection/>
    </xf>
    <xf numFmtId="3" fontId="42" fillId="0" borderId="44" xfId="108" applyNumberFormat="1" applyFont="1" applyBorder="1" applyAlignment="1">
      <alignment vertical="center"/>
      <protection/>
    </xf>
    <xf numFmtId="3" fontId="56" fillId="0" borderId="44" xfId="108" applyNumberFormat="1" applyFont="1" applyBorder="1" applyAlignment="1">
      <alignment vertical="center"/>
      <protection/>
    </xf>
    <xf numFmtId="3" fontId="35" fillId="0" borderId="44" xfId="108" applyNumberFormat="1" applyFont="1" applyBorder="1" applyAlignment="1">
      <alignment vertical="center"/>
      <protection/>
    </xf>
    <xf numFmtId="3" fontId="59" fillId="24" borderId="44" xfId="108" applyNumberFormat="1" applyFont="1" applyFill="1" applyBorder="1" applyAlignment="1">
      <alignment vertical="center"/>
      <protection/>
    </xf>
    <xf numFmtId="0" fontId="1" fillId="0" borderId="0" xfId="108" applyFont="1" applyBorder="1" applyAlignment="1">
      <alignment horizontal="center"/>
      <protection/>
    </xf>
    <xf numFmtId="0" fontId="36" fillId="0" borderId="0" xfId="108" applyFont="1" applyFill="1" applyBorder="1" applyAlignment="1">
      <alignment horizontal="left" vertical="center"/>
      <protection/>
    </xf>
    <xf numFmtId="0" fontId="36" fillId="0" borderId="55" xfId="108" applyFont="1" applyFill="1" applyBorder="1" applyAlignment="1">
      <alignment horizontal="left" vertical="center"/>
      <protection/>
    </xf>
    <xf numFmtId="180" fontId="53" fillId="0" borderId="38" xfId="105" applyNumberFormat="1" applyFont="1" applyFill="1" applyBorder="1" applyAlignment="1" applyProtection="1">
      <alignment horizontal="right" vertical="center" wrapText="1" indent="1"/>
      <protection/>
    </xf>
    <xf numFmtId="180" fontId="51" fillId="0" borderId="56" xfId="105" applyNumberFormat="1" applyFont="1" applyFill="1" applyBorder="1" applyAlignment="1" applyProtection="1">
      <alignment horizontal="center" vertical="center" wrapText="1"/>
      <protection/>
    </xf>
    <xf numFmtId="180" fontId="47" fillId="0" borderId="56" xfId="105" applyNumberFormat="1" applyFont="1" applyFill="1" applyBorder="1" applyAlignment="1" applyProtection="1">
      <alignment horizontal="center" vertical="center" wrapText="1"/>
      <protection/>
    </xf>
    <xf numFmtId="180" fontId="52" fillId="0" borderId="57" xfId="105" applyNumberFormat="1" applyFont="1" applyFill="1" applyBorder="1" applyAlignment="1" applyProtection="1">
      <alignment horizontal="left" vertical="center" wrapText="1" indent="1"/>
      <protection/>
    </xf>
    <xf numFmtId="180" fontId="69" fillId="0" borderId="50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50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50" xfId="105" applyNumberFormat="1" applyFont="1" applyFill="1" applyBorder="1" applyAlignment="1" applyProtection="1" quotePrefix="1">
      <alignment horizontal="left" vertical="center" wrapText="1" indent="6"/>
      <protection locked="0"/>
    </xf>
    <xf numFmtId="180" fontId="47" fillId="0" borderId="56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50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39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57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57" xfId="105" applyNumberFormat="1" applyFont="1" applyFill="1" applyBorder="1" applyAlignment="1" applyProtection="1">
      <alignment horizontal="left" vertical="center" wrapText="1" indent="1"/>
      <protection locked="0"/>
    </xf>
    <xf numFmtId="180" fontId="52" fillId="0" borderId="57" xfId="105" applyNumberFormat="1" applyFont="1" applyFill="1" applyBorder="1" applyAlignment="1" applyProtection="1">
      <alignment horizontal="left" vertical="center" wrapText="1" indent="1"/>
      <protection locked="0"/>
    </xf>
    <xf numFmtId="180" fontId="52" fillId="0" borderId="50" xfId="105" applyNumberFormat="1" applyFont="1" applyFill="1" applyBorder="1" applyAlignment="1" applyProtection="1">
      <alignment horizontal="left" vertical="center" wrapText="1" indent="1"/>
      <protection locked="0"/>
    </xf>
    <xf numFmtId="180" fontId="27" fillId="0" borderId="56" xfId="105" applyNumberFormat="1" applyFont="1" applyFill="1" applyBorder="1" applyAlignment="1" applyProtection="1">
      <alignment horizontal="left" vertical="center" wrapText="1" indent="1"/>
      <protection/>
    </xf>
    <xf numFmtId="180" fontId="51" fillId="0" borderId="34" xfId="105" applyNumberFormat="1" applyFont="1" applyFill="1" applyBorder="1" applyAlignment="1" applyProtection="1">
      <alignment horizontal="center" vertical="center" wrapText="1"/>
      <protection/>
    </xf>
    <xf numFmtId="180" fontId="47" fillId="0" borderId="34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34" xfId="105" applyNumberFormat="1" applyFont="1" applyFill="1" applyBorder="1" applyAlignment="1" applyProtection="1">
      <alignment horizontal="right" vertical="center" wrapText="1" indent="1"/>
      <protection/>
    </xf>
    <xf numFmtId="180" fontId="52" fillId="0" borderId="10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1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58" xfId="105" applyNumberFormat="1" applyFont="1" applyFill="1" applyBorder="1" applyAlignment="1" applyProtection="1">
      <alignment horizontal="right" vertical="center" wrapText="1" indent="1"/>
      <protection locked="0"/>
    </xf>
    <xf numFmtId="180" fontId="69" fillId="0" borderId="12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2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8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9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43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0" xfId="105" applyNumberFormat="1" applyFont="1" applyFill="1" applyBorder="1" applyAlignment="1" applyProtection="1">
      <alignment horizontal="right" vertical="center" wrapText="1" indent="1"/>
      <protection locked="0"/>
    </xf>
    <xf numFmtId="180" fontId="53" fillId="0" borderId="11" xfId="105" applyNumberFormat="1" applyFont="1" applyFill="1" applyBorder="1" applyAlignment="1" applyProtection="1">
      <alignment horizontal="right" vertical="center" wrapText="1" indent="1"/>
      <protection/>
    </xf>
    <xf numFmtId="180" fontId="53" fillId="0" borderId="58" xfId="105" applyNumberFormat="1" applyFont="1" applyFill="1" applyBorder="1" applyAlignment="1" applyProtection="1">
      <alignment horizontal="right" vertical="center" wrapText="1" indent="1"/>
      <protection/>
    </xf>
    <xf numFmtId="180" fontId="52" fillId="0" borderId="12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8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9" xfId="105" applyNumberFormat="1" applyFont="1" applyFill="1" applyBorder="1" applyAlignment="1" applyProtection="1">
      <alignment horizontal="right" vertical="center" wrapText="1" indent="1"/>
      <protection locked="0"/>
    </xf>
    <xf numFmtId="180" fontId="27" fillId="0" borderId="0" xfId="105" applyNumberFormat="1" applyFont="1" applyFill="1" applyAlignment="1" applyProtection="1">
      <alignment horizontal="right" vertical="center"/>
      <protection/>
    </xf>
    <xf numFmtId="0" fontId="36" fillId="0" borderId="37" xfId="108" applyFont="1" applyFill="1" applyBorder="1" applyAlignment="1">
      <alignment horizontal="left" vertical="center"/>
      <protection/>
    </xf>
    <xf numFmtId="0" fontId="36" fillId="0" borderId="35" xfId="108" applyFont="1" applyFill="1" applyBorder="1" applyAlignment="1">
      <alignment horizontal="left" vertical="center"/>
      <protection/>
    </xf>
    <xf numFmtId="180" fontId="51" fillId="0" borderId="33" xfId="105" applyNumberFormat="1" applyFont="1" applyFill="1" applyBorder="1" applyAlignment="1" applyProtection="1">
      <alignment horizontal="center" vertical="center" wrapText="1"/>
      <protection/>
    </xf>
    <xf numFmtId="180" fontId="47" fillId="0" borderId="33" xfId="105" applyNumberFormat="1" applyFont="1" applyFill="1" applyBorder="1" applyAlignment="1" applyProtection="1">
      <alignment horizontal="center" vertical="center" wrapText="1"/>
      <protection/>
    </xf>
    <xf numFmtId="180" fontId="47" fillId="0" borderId="0" xfId="105" applyNumberFormat="1" applyFont="1" applyFill="1" applyAlignment="1" applyProtection="1">
      <alignment horizontal="center" vertical="center" wrapText="1"/>
      <protection/>
    </xf>
    <xf numFmtId="180" fontId="52" fillId="0" borderId="59" xfId="105" applyNumberFormat="1" applyFont="1" applyFill="1" applyBorder="1" applyAlignment="1" applyProtection="1">
      <alignment horizontal="right" vertical="center" wrapText="1" indent="1"/>
      <protection locked="0"/>
    </xf>
    <xf numFmtId="180" fontId="27" fillId="0" borderId="37" xfId="105" applyNumberFormat="1" applyFont="1" applyFill="1" applyBorder="1" applyAlignment="1" applyProtection="1">
      <alignment horizontal="left" vertical="center" wrapText="1" indent="1"/>
      <protection/>
    </xf>
    <xf numFmtId="180" fontId="47" fillId="0" borderId="33" xfId="105" applyNumberFormat="1" applyFont="1" applyFill="1" applyBorder="1" applyAlignment="1" applyProtection="1">
      <alignment horizontal="right" vertical="center" wrapText="1" indent="1"/>
      <protection/>
    </xf>
    <xf numFmtId="180" fontId="52" fillId="0" borderId="42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12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60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14" xfId="105" applyNumberFormat="1" applyFont="1" applyFill="1" applyBorder="1" applyAlignment="1" applyProtection="1">
      <alignment horizontal="left" vertical="center" wrapText="1" indent="1"/>
      <protection/>
    </xf>
    <xf numFmtId="180" fontId="52" fillId="0" borderId="18" xfId="105" applyNumberFormat="1" applyFont="1" applyFill="1" applyBorder="1" applyAlignment="1" applyProtection="1">
      <alignment horizontal="left" vertical="center" wrapText="1" indent="1"/>
      <protection locked="0"/>
    </xf>
    <xf numFmtId="180" fontId="47" fillId="0" borderId="61" xfId="105" applyNumberFormat="1" applyFont="1" applyFill="1" applyBorder="1" applyAlignment="1" applyProtection="1">
      <alignment horizontal="left" vertical="center" wrapText="1" indent="1"/>
      <protection/>
    </xf>
    <xf numFmtId="180" fontId="51" fillId="0" borderId="62" xfId="105" applyNumberFormat="1" applyFont="1" applyFill="1" applyBorder="1" applyAlignment="1" applyProtection="1">
      <alignment horizontal="centerContinuous" vertical="center" wrapText="1"/>
      <protection/>
    </xf>
    <xf numFmtId="180" fontId="52" fillId="0" borderId="14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1" xfId="105" applyNumberFormat="1" applyFont="1" applyFill="1" applyBorder="1" applyAlignment="1" applyProtection="1">
      <alignment horizontal="right" vertical="center" wrapText="1" indent="1"/>
      <protection locked="0"/>
    </xf>
    <xf numFmtId="180" fontId="51" fillId="0" borderId="41" xfId="105" applyNumberFormat="1" applyFont="1" applyFill="1" applyBorder="1" applyAlignment="1" applyProtection="1">
      <alignment horizontal="center" vertical="center" wrapText="1"/>
      <protection/>
    </xf>
    <xf numFmtId="180" fontId="47" fillId="0" borderId="41" xfId="105" applyNumberFormat="1" applyFont="1" applyFill="1" applyBorder="1" applyAlignment="1" applyProtection="1">
      <alignment horizontal="center" vertical="center" wrapText="1"/>
      <protection/>
    </xf>
    <xf numFmtId="180" fontId="52" fillId="0" borderId="17" xfId="105" applyNumberFormat="1" applyFont="1" applyFill="1" applyBorder="1" applyAlignment="1" applyProtection="1">
      <alignment horizontal="right" vertical="center" wrapText="1" indent="1"/>
      <protection locked="0"/>
    </xf>
    <xf numFmtId="180" fontId="47" fillId="0" borderId="63" xfId="105" applyNumberFormat="1" applyFont="1" applyFill="1" applyBorder="1" applyAlignment="1" applyProtection="1">
      <alignment horizontal="center" vertical="center" wrapText="1"/>
      <protection/>
    </xf>
    <xf numFmtId="180" fontId="47" fillId="0" borderId="64" xfId="105" applyNumberFormat="1" applyFont="1" applyFill="1" applyBorder="1" applyAlignment="1" applyProtection="1">
      <alignment horizontal="center" vertical="center" wrapText="1"/>
      <protection/>
    </xf>
    <xf numFmtId="180" fontId="47" fillId="0" borderId="65" xfId="105" applyNumberFormat="1" applyFont="1" applyFill="1" applyBorder="1" applyAlignment="1" applyProtection="1">
      <alignment horizontal="center" vertical="center" wrapText="1"/>
      <protection/>
    </xf>
    <xf numFmtId="180" fontId="27" fillId="0" borderId="0" xfId="105" applyNumberFormat="1" applyFont="1" applyFill="1" applyAlignment="1" applyProtection="1">
      <alignment horizontal="center" vertical="center"/>
      <protection/>
    </xf>
    <xf numFmtId="180" fontId="47" fillId="0" borderId="62" xfId="105" applyNumberFormat="1" applyFont="1" applyFill="1" applyBorder="1" applyAlignment="1" applyProtection="1">
      <alignment horizontal="right" vertical="center" wrapText="1" indent="1"/>
      <protection/>
    </xf>
    <xf numFmtId="180" fontId="47" fillId="0" borderId="66" xfId="105" applyNumberFormat="1" applyFont="1" applyFill="1" applyBorder="1" applyAlignment="1" applyProtection="1">
      <alignment horizontal="center" vertical="center" wrapText="1"/>
      <protection/>
    </xf>
    <xf numFmtId="180" fontId="47" fillId="0" borderId="67" xfId="105" applyNumberFormat="1" applyFont="1" applyFill="1" applyBorder="1" applyAlignment="1" applyProtection="1">
      <alignment horizontal="center" vertical="center" wrapText="1"/>
      <protection/>
    </xf>
    <xf numFmtId="180" fontId="52" fillId="0" borderId="68" xfId="105" applyNumberFormat="1" applyFont="1" applyFill="1" applyBorder="1" applyAlignment="1" applyProtection="1">
      <alignment horizontal="right" vertical="center" wrapText="1" indent="1"/>
      <protection locked="0"/>
    </xf>
    <xf numFmtId="180" fontId="53" fillId="0" borderId="51" xfId="105" applyNumberFormat="1" applyFont="1" applyFill="1" applyBorder="1" applyAlignment="1" applyProtection="1">
      <alignment horizontal="right" vertical="center" wrapText="1" indent="1"/>
      <protection/>
    </xf>
    <xf numFmtId="180" fontId="52" fillId="0" borderId="14" xfId="105" applyNumberFormat="1" applyFont="1" applyFill="1" applyBorder="1" applyAlignment="1" applyProtection="1">
      <alignment horizontal="right" vertical="center" wrapText="1" indent="1"/>
      <protection locked="0"/>
    </xf>
    <xf numFmtId="180" fontId="53" fillId="0" borderId="14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62" xfId="105" applyNumberFormat="1" applyFont="1" applyFill="1" applyBorder="1" applyAlignment="1" applyProtection="1">
      <alignment horizontal="right" vertical="center" wrapText="1" indent="1"/>
      <protection/>
    </xf>
    <xf numFmtId="180" fontId="52" fillId="0" borderId="15" xfId="105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69" xfId="105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0" xfId="103" applyFont="1" applyAlignment="1">
      <alignment horizontal="center"/>
      <protection/>
    </xf>
    <xf numFmtId="0" fontId="0" fillId="0" borderId="0" xfId="103">
      <alignment/>
      <protection/>
    </xf>
    <xf numFmtId="0" fontId="25" fillId="0" borderId="0" xfId="103" applyFont="1" applyAlignment="1">
      <alignment horizontal="center"/>
      <protection/>
    </xf>
    <xf numFmtId="0" fontId="46" fillId="0" borderId="0" xfId="103" applyFont="1" applyAlignment="1">
      <alignment horizontal="right"/>
      <protection/>
    </xf>
    <xf numFmtId="0" fontId="28" fillId="0" borderId="0" xfId="103" applyFont="1">
      <alignment/>
      <protection/>
    </xf>
    <xf numFmtId="0" fontId="25" fillId="0" borderId="12" xfId="103" applyFont="1" applyBorder="1" applyAlignment="1">
      <alignment horizontal="center"/>
      <protection/>
    </xf>
    <xf numFmtId="0" fontId="25" fillId="0" borderId="70" xfId="103" applyFont="1" applyBorder="1" applyAlignment="1">
      <alignment horizontal="left"/>
      <protection/>
    </xf>
    <xf numFmtId="0" fontId="28" fillId="0" borderId="13" xfId="103" applyFont="1" applyBorder="1" applyAlignment="1">
      <alignment horizontal="right"/>
      <protection/>
    </xf>
    <xf numFmtId="3" fontId="25" fillId="0" borderId="40" xfId="103" applyNumberFormat="1" applyFont="1" applyBorder="1" applyAlignment="1">
      <alignment horizontal="right"/>
      <protection/>
    </xf>
    <xf numFmtId="0" fontId="28" fillId="0" borderId="38" xfId="103" applyFont="1" applyBorder="1" applyAlignment="1">
      <alignment horizontal="center"/>
      <protection/>
    </xf>
    <xf numFmtId="0" fontId="74" fillId="0" borderId="0" xfId="103" applyFont="1">
      <alignment/>
      <protection/>
    </xf>
    <xf numFmtId="0" fontId="28" fillId="0" borderId="13" xfId="103" applyFont="1" applyBorder="1" applyAlignment="1">
      <alignment horizontal="center"/>
      <protection/>
    </xf>
    <xf numFmtId="0" fontId="75" fillId="0" borderId="13" xfId="103" applyFont="1" applyBorder="1" applyAlignment="1">
      <alignment horizontal="left" wrapText="1"/>
      <protection/>
    </xf>
    <xf numFmtId="0" fontId="75" fillId="0" borderId="13" xfId="103" applyFont="1" applyBorder="1" applyAlignment="1">
      <alignment horizontal="right"/>
      <protection/>
    </xf>
    <xf numFmtId="3" fontId="75" fillId="0" borderId="13" xfId="103" applyNumberFormat="1" applyFont="1" applyBorder="1" applyAlignment="1">
      <alignment horizontal="right"/>
      <protection/>
    </xf>
    <xf numFmtId="0" fontId="75" fillId="0" borderId="13" xfId="103" applyFont="1" applyBorder="1" applyAlignment="1">
      <alignment horizontal="center"/>
      <protection/>
    </xf>
    <xf numFmtId="0" fontId="75" fillId="0" borderId="13" xfId="103" applyFont="1" applyBorder="1" applyAlignment="1">
      <alignment horizontal="left"/>
      <protection/>
    </xf>
    <xf numFmtId="0" fontId="25" fillId="0" borderId="17" xfId="103" applyFont="1" applyBorder="1" applyAlignment="1">
      <alignment horizontal="left"/>
      <protection/>
    </xf>
    <xf numFmtId="0" fontId="25" fillId="0" borderId="15" xfId="103" applyFont="1" applyBorder="1" applyAlignment="1">
      <alignment horizontal="right"/>
      <protection/>
    </xf>
    <xf numFmtId="0" fontId="28" fillId="21" borderId="18" xfId="103" applyFont="1" applyFill="1" applyBorder="1" applyAlignment="1">
      <alignment horizontal="center"/>
      <protection/>
    </xf>
    <xf numFmtId="0" fontId="25" fillId="21" borderId="19" xfId="103" applyFont="1" applyFill="1" applyBorder="1" applyAlignment="1">
      <alignment horizontal="left"/>
      <protection/>
    </xf>
    <xf numFmtId="0" fontId="25" fillId="21" borderId="61" xfId="103" applyFont="1" applyFill="1" applyBorder="1" applyAlignment="1">
      <alignment horizontal="right"/>
      <protection/>
    </xf>
    <xf numFmtId="3" fontId="25" fillId="21" borderId="71" xfId="103" applyNumberFormat="1" applyFont="1" applyFill="1" applyBorder="1" applyAlignment="1">
      <alignment horizontal="right"/>
      <protection/>
    </xf>
    <xf numFmtId="0" fontId="28" fillId="21" borderId="43" xfId="103" applyFont="1" applyFill="1" applyBorder="1" applyAlignment="1">
      <alignment horizontal="center"/>
      <protection/>
    </xf>
    <xf numFmtId="0" fontId="35" fillId="0" borderId="0" xfId="103" applyFont="1">
      <alignment/>
      <protection/>
    </xf>
    <xf numFmtId="0" fontId="28" fillId="0" borderId="0" xfId="103" applyFont="1" applyAlignment="1">
      <alignment horizontal="right"/>
      <protection/>
    </xf>
    <xf numFmtId="0" fontId="15" fillId="0" borderId="0" xfId="106" applyBorder="1" applyAlignment="1" applyProtection="1">
      <alignment horizontal="right"/>
      <protection locked="0"/>
    </xf>
    <xf numFmtId="0" fontId="15" fillId="0" borderId="0" xfId="106" applyFont="1" applyBorder="1" applyAlignment="1" applyProtection="1">
      <alignment horizontal="right"/>
      <protection locked="0"/>
    </xf>
    <xf numFmtId="0" fontId="15" fillId="0" borderId="0" xfId="106">
      <alignment/>
      <protection/>
    </xf>
    <xf numFmtId="0" fontId="0" fillId="0" borderId="0" xfId="96">
      <alignment/>
      <protection/>
    </xf>
    <xf numFmtId="0" fontId="76" fillId="0" borderId="0" xfId="106" applyFont="1" applyBorder="1" applyAlignment="1" applyProtection="1">
      <alignment horizontal="center" vertical="center" wrapText="1"/>
      <protection locked="0"/>
    </xf>
    <xf numFmtId="0" fontId="1" fillId="0" borderId="0" xfId="106" applyFont="1">
      <alignment/>
      <protection/>
    </xf>
    <xf numFmtId="0" fontId="1" fillId="0" borderId="0" xfId="96" applyFont="1">
      <alignment/>
      <protection/>
    </xf>
    <xf numFmtId="0" fontId="77" fillId="0" borderId="0" xfId="106" applyFont="1" applyBorder="1" applyAlignment="1" applyProtection="1">
      <alignment horizontal="center" vertical="center" wrapText="1"/>
      <protection locked="0"/>
    </xf>
    <xf numFmtId="0" fontId="40" fillId="0" borderId="0" xfId="106" applyFont="1" applyAlignment="1">
      <alignment horizontal="center" wrapText="1"/>
      <protection/>
    </xf>
    <xf numFmtId="0" fontId="40" fillId="0" borderId="0" xfId="106" applyFont="1" applyFill="1" applyAlignment="1">
      <alignment horizontal="right" wrapText="1"/>
      <protection/>
    </xf>
    <xf numFmtId="0" fontId="78" fillId="0" borderId="0" xfId="106" applyFont="1" applyBorder="1" applyAlignment="1" applyProtection="1">
      <alignment horizontal="center" vertical="center"/>
      <protection locked="0"/>
    </xf>
    <xf numFmtId="0" fontId="1" fillId="0" borderId="0" xfId="106" applyFont="1" applyAlignment="1">
      <alignment horizontal="right" wrapText="1"/>
      <protection/>
    </xf>
    <xf numFmtId="0" fontId="1" fillId="0" borderId="0" xfId="106" applyFont="1" applyAlignment="1">
      <alignment wrapText="1"/>
      <protection/>
    </xf>
    <xf numFmtId="0" fontId="79" fillId="0" borderId="26" xfId="96" applyFont="1" applyBorder="1" applyAlignment="1">
      <alignment horizontal="center" wrapText="1"/>
      <protection/>
    </xf>
    <xf numFmtId="0" fontId="25" fillId="0" borderId="25" xfId="96" applyFont="1" applyBorder="1" applyAlignment="1">
      <alignment horizontal="center" wrapText="1"/>
      <protection/>
    </xf>
    <xf numFmtId="0" fontId="25" fillId="0" borderId="72" xfId="96" applyFont="1" applyBorder="1" applyAlignment="1">
      <alignment horizontal="center" wrapText="1"/>
      <protection/>
    </xf>
    <xf numFmtId="0" fontId="25" fillId="0" borderId="73" xfId="96" applyFont="1" applyBorder="1" applyAlignment="1">
      <alignment horizontal="center" wrapText="1"/>
      <protection/>
    </xf>
    <xf numFmtId="0" fontId="46" fillId="0" borderId="29" xfId="96" applyFont="1" applyBorder="1" applyAlignment="1">
      <alignment horizontal="center" wrapText="1"/>
      <protection/>
    </xf>
    <xf numFmtId="0" fontId="46" fillId="0" borderId="30" xfId="96" applyFont="1" applyBorder="1" applyAlignment="1">
      <alignment horizontal="center" wrapText="1"/>
      <protection/>
    </xf>
    <xf numFmtId="0" fontId="46" fillId="0" borderId="30" xfId="96" applyFont="1" applyFill="1" applyBorder="1" applyAlignment="1">
      <alignment horizontal="center" wrapText="1"/>
      <protection/>
    </xf>
    <xf numFmtId="0" fontId="46" fillId="0" borderId="74" xfId="96" applyFont="1" applyBorder="1" applyAlignment="1">
      <alignment horizontal="center" wrapText="1"/>
      <protection/>
    </xf>
    <xf numFmtId="0" fontId="80" fillId="0" borderId="20" xfId="96" applyFont="1" applyBorder="1" applyAlignment="1">
      <alignment wrapText="1"/>
      <protection/>
    </xf>
    <xf numFmtId="0" fontId="80" fillId="0" borderId="13" xfId="96" applyFont="1" applyBorder="1" applyAlignment="1">
      <alignment wrapText="1"/>
      <protection/>
    </xf>
    <xf numFmtId="3" fontId="80" fillId="0" borderId="13" xfId="79" applyNumberFormat="1" applyFont="1" applyBorder="1" applyAlignment="1">
      <alignment horizontal="right" wrapText="1"/>
    </xf>
    <xf numFmtId="3" fontId="80" fillId="0" borderId="13" xfId="79" applyNumberFormat="1" applyFont="1" applyFill="1" applyBorder="1" applyAlignment="1">
      <alignment horizontal="right" wrapText="1"/>
    </xf>
    <xf numFmtId="3" fontId="80" fillId="0" borderId="14" xfId="79" applyNumberFormat="1" applyFont="1" applyBorder="1" applyAlignment="1">
      <alignment horizontal="right" wrapText="1"/>
    </xf>
    <xf numFmtId="0" fontId="1" fillId="0" borderId="20" xfId="106" applyFont="1" applyBorder="1" applyProtection="1">
      <alignment/>
      <protection locked="0"/>
    </xf>
    <xf numFmtId="0" fontId="1" fillId="0" borderId="13" xfId="106" applyFont="1" applyBorder="1" applyProtection="1">
      <alignment/>
      <protection locked="0"/>
    </xf>
    <xf numFmtId="3" fontId="1" fillId="0" borderId="13" xfId="79" applyNumberFormat="1" applyFont="1" applyBorder="1" applyAlignment="1">
      <alignment/>
    </xf>
    <xf numFmtId="3" fontId="1" fillId="0" borderId="13" xfId="79" applyNumberFormat="1" applyFont="1" applyFill="1" applyBorder="1" applyAlignment="1">
      <alignment/>
    </xf>
    <xf numFmtId="3" fontId="1" fillId="0" borderId="14" xfId="79" applyNumberFormat="1" applyFont="1" applyBorder="1" applyAlignment="1">
      <alignment/>
    </xf>
    <xf numFmtId="3" fontId="80" fillId="0" borderId="13" xfId="79" applyNumberFormat="1" applyFont="1" applyBorder="1" applyAlignment="1">
      <alignment wrapText="1"/>
    </xf>
    <xf numFmtId="3" fontId="80" fillId="0" borderId="14" xfId="79" applyNumberFormat="1" applyFont="1" applyBorder="1" applyAlignment="1">
      <alignment wrapText="1"/>
    </xf>
    <xf numFmtId="0" fontId="29" fillId="0" borderId="20" xfId="96" applyFont="1" applyBorder="1" applyAlignment="1">
      <alignment wrapText="1"/>
      <protection/>
    </xf>
    <xf numFmtId="0" fontId="29" fillId="0" borderId="13" xfId="96" applyFont="1" applyBorder="1" applyAlignment="1">
      <alignment wrapText="1"/>
      <protection/>
    </xf>
    <xf numFmtId="3" fontId="29" fillId="0" borderId="13" xfId="79" applyNumberFormat="1" applyFont="1" applyBorder="1" applyAlignment="1">
      <alignment wrapText="1"/>
    </xf>
    <xf numFmtId="3" fontId="29" fillId="0" borderId="14" xfId="79" applyNumberFormat="1" applyFont="1" applyBorder="1" applyAlignment="1">
      <alignment wrapText="1"/>
    </xf>
    <xf numFmtId="0" fontId="25" fillId="0" borderId="20" xfId="96" applyFont="1" applyBorder="1" applyAlignment="1">
      <alignment wrapText="1"/>
      <protection/>
    </xf>
    <xf numFmtId="0" fontId="25" fillId="0" borderId="13" xfId="96" applyFont="1" applyBorder="1" applyAlignment="1">
      <alignment wrapText="1"/>
      <protection/>
    </xf>
    <xf numFmtId="3" fontId="25" fillId="0" borderId="13" xfId="79" applyNumberFormat="1" applyFont="1" applyBorder="1" applyAlignment="1">
      <alignment wrapText="1"/>
    </xf>
    <xf numFmtId="3" fontId="25" fillId="0" borderId="13" xfId="79" applyNumberFormat="1" applyFont="1" applyFill="1" applyBorder="1" applyAlignment="1">
      <alignment wrapText="1"/>
    </xf>
    <xf numFmtId="3" fontId="25" fillId="0" borderId="14" xfId="79" applyNumberFormat="1" applyFont="1" applyBorder="1" applyAlignment="1">
      <alignment wrapText="1"/>
    </xf>
    <xf numFmtId="3" fontId="36" fillId="0" borderId="13" xfId="79" applyNumberFormat="1" applyFont="1" applyBorder="1" applyAlignment="1">
      <alignment/>
    </xf>
    <xf numFmtId="3" fontId="36" fillId="0" borderId="13" xfId="79" applyNumberFormat="1" applyFont="1" applyFill="1" applyBorder="1" applyAlignment="1">
      <alignment/>
    </xf>
    <xf numFmtId="3" fontId="81" fillId="0" borderId="13" xfId="79" applyNumberFormat="1" applyFont="1" applyBorder="1" applyAlignment="1">
      <alignment/>
    </xf>
    <xf numFmtId="3" fontId="81" fillId="0" borderId="13" xfId="79" applyNumberFormat="1" applyFont="1" applyFill="1" applyBorder="1" applyAlignment="1">
      <alignment/>
    </xf>
    <xf numFmtId="3" fontId="1" fillId="0" borderId="13" xfId="79" applyNumberFormat="1" applyFont="1" applyBorder="1" applyAlignment="1" applyProtection="1">
      <alignment/>
      <protection locked="0"/>
    </xf>
    <xf numFmtId="3" fontId="1" fillId="0" borderId="14" xfId="79" applyNumberFormat="1" applyFont="1" applyBorder="1" applyAlignment="1" applyProtection="1">
      <alignment/>
      <protection locked="0"/>
    </xf>
    <xf numFmtId="0" fontId="33" fillId="0" borderId="21" xfId="96" applyFont="1" applyBorder="1" applyAlignment="1">
      <alignment wrapText="1"/>
      <protection/>
    </xf>
    <xf numFmtId="0" fontId="33" fillId="0" borderId="22" xfId="96" applyFont="1" applyBorder="1" applyAlignment="1">
      <alignment wrapText="1"/>
      <protection/>
    </xf>
    <xf numFmtId="3" fontId="33" fillId="0" borderId="22" xfId="79" applyNumberFormat="1" applyFont="1" applyBorder="1" applyAlignment="1">
      <alignment wrapText="1"/>
    </xf>
    <xf numFmtId="3" fontId="42" fillId="0" borderId="22" xfId="79" applyNumberFormat="1" applyFont="1" applyBorder="1" applyAlignment="1">
      <alignment/>
    </xf>
    <xf numFmtId="3" fontId="33" fillId="0" borderId="75" xfId="79" applyNumberFormat="1" applyFont="1" applyBorder="1" applyAlignment="1">
      <alignment wrapText="1"/>
    </xf>
    <xf numFmtId="0" fontId="33" fillId="0" borderId="0" xfId="96" applyFont="1" applyBorder="1" applyAlignment="1">
      <alignment wrapText="1"/>
      <protection/>
    </xf>
    <xf numFmtId="3" fontId="33" fillId="0" borderId="0" xfId="96" applyNumberFormat="1" applyFont="1" applyBorder="1" applyAlignment="1">
      <alignment wrapText="1"/>
      <protection/>
    </xf>
    <xf numFmtId="3" fontId="1" fillId="0" borderId="0" xfId="106" applyNumberFormat="1" applyFont="1" applyBorder="1">
      <alignment/>
      <protection/>
    </xf>
    <xf numFmtId="0" fontId="1" fillId="0" borderId="54" xfId="106" applyFont="1" applyBorder="1">
      <alignment/>
      <protection/>
    </xf>
    <xf numFmtId="0" fontId="42" fillId="0" borderId="54" xfId="106" applyFont="1" applyBorder="1">
      <alignment/>
      <protection/>
    </xf>
    <xf numFmtId="3" fontId="42" fillId="0" borderId="54" xfId="106" applyNumberFormat="1" applyFont="1" applyBorder="1">
      <alignment/>
      <protection/>
    </xf>
    <xf numFmtId="3" fontId="1" fillId="0" borderId="54" xfId="106" applyNumberFormat="1" applyFont="1" applyBorder="1">
      <alignment/>
      <protection/>
    </xf>
    <xf numFmtId="3" fontId="46" fillId="0" borderId="30" xfId="96" applyNumberFormat="1" applyFont="1" applyBorder="1" applyAlignment="1">
      <alignment horizontal="center" wrapText="1"/>
      <protection/>
    </xf>
    <xf numFmtId="3" fontId="46" fillId="0" borderId="74" xfId="96" applyNumberFormat="1" applyFont="1" applyBorder="1" applyAlignment="1">
      <alignment horizontal="center" wrapText="1"/>
      <protection/>
    </xf>
    <xf numFmtId="3" fontId="80" fillId="0" borderId="13" xfId="96" applyNumberFormat="1" applyFont="1" applyBorder="1" applyAlignment="1">
      <alignment wrapText="1"/>
      <protection/>
    </xf>
    <xf numFmtId="3" fontId="80" fillId="0" borderId="13" xfId="96" applyNumberFormat="1" applyFont="1" applyBorder="1" applyAlignment="1">
      <alignment horizontal="right" wrapText="1"/>
      <protection/>
    </xf>
    <xf numFmtId="3" fontId="80" fillId="0" borderId="14" xfId="96" applyNumberFormat="1" applyFont="1" applyBorder="1" applyAlignment="1">
      <alignment wrapText="1"/>
      <protection/>
    </xf>
    <xf numFmtId="3" fontId="29" fillId="0" borderId="13" xfId="96" applyNumberFormat="1" applyFont="1" applyBorder="1" applyAlignment="1">
      <alignment wrapText="1"/>
      <protection/>
    </xf>
    <xf numFmtId="3" fontId="1" fillId="0" borderId="13" xfId="106" applyNumberFormat="1" applyFont="1" applyBorder="1">
      <alignment/>
      <protection/>
    </xf>
    <xf numFmtId="3" fontId="1" fillId="0" borderId="13" xfId="106" applyNumberFormat="1" applyFont="1" applyFill="1" applyBorder="1">
      <alignment/>
      <protection/>
    </xf>
    <xf numFmtId="3" fontId="29" fillId="0" borderId="14" xfId="96" applyNumberFormat="1" applyFont="1" applyBorder="1" applyAlignment="1">
      <alignment wrapText="1"/>
      <protection/>
    </xf>
    <xf numFmtId="0" fontId="81" fillId="0" borderId="13" xfId="96" applyFont="1" applyBorder="1" applyAlignment="1">
      <alignment wrapText="1"/>
      <protection/>
    </xf>
    <xf numFmtId="3" fontId="81" fillId="0" borderId="13" xfId="96" applyNumberFormat="1" applyFont="1" applyBorder="1" applyAlignment="1">
      <alignment wrapText="1"/>
      <protection/>
    </xf>
    <xf numFmtId="3" fontId="81" fillId="0" borderId="13" xfId="106" applyNumberFormat="1" applyFont="1" applyBorder="1">
      <alignment/>
      <protection/>
    </xf>
    <xf numFmtId="3" fontId="81" fillId="0" borderId="14" xfId="96" applyNumberFormat="1" applyFont="1" applyBorder="1" applyAlignment="1">
      <alignment wrapText="1"/>
      <protection/>
    </xf>
    <xf numFmtId="0" fontId="31" fillId="0" borderId="20" xfId="96" applyFont="1" applyBorder="1" applyAlignment="1">
      <alignment wrapText="1"/>
      <protection/>
    </xf>
    <xf numFmtId="0" fontId="31" fillId="0" borderId="13" xfId="96" applyFont="1" applyBorder="1" applyAlignment="1">
      <alignment wrapText="1"/>
      <protection/>
    </xf>
    <xf numFmtId="3" fontId="31" fillId="0" borderId="13" xfId="96" applyNumberFormat="1" applyFont="1" applyBorder="1" applyAlignment="1">
      <alignment wrapText="1"/>
      <protection/>
    </xf>
    <xf numFmtId="3" fontId="31" fillId="0" borderId="14" xfId="96" applyNumberFormat="1" applyFont="1" applyBorder="1" applyAlignment="1">
      <alignment wrapText="1"/>
      <protection/>
    </xf>
    <xf numFmtId="3" fontId="33" fillId="0" borderId="22" xfId="96" applyNumberFormat="1" applyFont="1" applyBorder="1" applyAlignment="1">
      <alignment wrapText="1"/>
      <protection/>
    </xf>
    <xf numFmtId="3" fontId="42" fillId="0" borderId="22" xfId="106" applyNumberFormat="1" applyFont="1" applyBorder="1">
      <alignment/>
      <protection/>
    </xf>
    <xf numFmtId="3" fontId="42" fillId="0" borderId="0" xfId="106" applyNumberFormat="1" applyFont="1" applyBorder="1">
      <alignment/>
      <protection/>
    </xf>
    <xf numFmtId="0" fontId="0" fillId="0" borderId="0" xfId="96" applyFill="1" applyAlignment="1" applyProtection="1">
      <alignment vertical="center" wrapText="1"/>
      <protection/>
    </xf>
    <xf numFmtId="0" fontId="42" fillId="0" borderId="0" xfId="106" applyFont="1" applyBorder="1">
      <alignment/>
      <protection/>
    </xf>
    <xf numFmtId="0" fontId="48" fillId="0" borderId="31" xfId="96" applyFont="1" applyFill="1" applyBorder="1" applyAlignment="1" applyProtection="1">
      <alignment horizontal="left" vertical="center"/>
      <protection/>
    </xf>
    <xf numFmtId="0" fontId="27" fillId="0" borderId="62" xfId="96" applyFont="1" applyFill="1" applyBorder="1" applyAlignment="1" applyProtection="1">
      <alignment vertical="center" wrapText="1"/>
      <protection/>
    </xf>
    <xf numFmtId="0" fontId="27" fillId="0" borderId="76" xfId="96" applyFont="1" applyFill="1" applyBorder="1" applyAlignment="1" applyProtection="1">
      <alignment vertical="center" wrapText="1"/>
      <protection/>
    </xf>
    <xf numFmtId="3" fontId="27" fillId="0" borderId="33" xfId="96" applyNumberFormat="1" applyFont="1" applyFill="1" applyBorder="1" applyAlignment="1" applyProtection="1">
      <alignment horizontal="right" vertical="center" wrapText="1" indent="1"/>
      <protection locked="0"/>
    </xf>
    <xf numFmtId="167" fontId="27" fillId="0" borderId="33" xfId="9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Alignment="1">
      <alignment/>
    </xf>
    <xf numFmtId="16" fontId="41" fillId="0" borderId="13" xfId="108" applyNumberFormat="1" applyFont="1" applyBorder="1" applyAlignment="1">
      <alignment horizontal="left" vertical="center"/>
      <protection/>
    </xf>
    <xf numFmtId="0" fontId="42" fillId="20" borderId="58" xfId="108" applyFont="1" applyFill="1" applyBorder="1" applyAlignment="1">
      <alignment horizontal="center" vertical="center" wrapText="1"/>
      <protection/>
    </xf>
    <xf numFmtId="0" fontId="45" fillId="20" borderId="77" xfId="108" applyFont="1" applyFill="1" applyBorder="1" applyAlignment="1">
      <alignment vertical="center"/>
      <protection/>
    </xf>
    <xf numFmtId="0" fontId="45" fillId="20" borderId="78" xfId="108" applyFont="1" applyFill="1" applyBorder="1" applyAlignment="1">
      <alignment vertical="center"/>
      <protection/>
    </xf>
    <xf numFmtId="0" fontId="45" fillId="20" borderId="61" xfId="108" applyFont="1" applyFill="1" applyBorder="1" applyAlignment="1">
      <alignment vertical="center"/>
      <protection/>
    </xf>
    <xf numFmtId="180" fontId="16" fillId="0" borderId="17" xfId="101" applyNumberFormat="1" applyFont="1" applyFill="1" applyBorder="1" applyAlignment="1" applyProtection="1">
      <alignment horizontal="left" vertical="center" wrapText="1" indent="1"/>
      <protection locked="0"/>
    </xf>
    <xf numFmtId="0" fontId="67" fillId="0" borderId="0" xfId="105" applyFont="1" applyAlignment="1">
      <alignment horizontal="right" wrapText="1"/>
      <protection/>
    </xf>
    <xf numFmtId="0" fontId="56" fillId="0" borderId="14" xfId="108" applyFont="1" applyFill="1" applyBorder="1" applyAlignment="1">
      <alignment horizontal="left" vertical="center"/>
      <protection/>
    </xf>
    <xf numFmtId="0" fontId="16" fillId="0" borderId="0" xfId="105" applyFont="1" applyFill="1" applyAlignment="1">
      <alignment horizontal="center" vertical="center" wrapText="1"/>
      <protection/>
    </xf>
    <xf numFmtId="0" fontId="42" fillId="0" borderId="0" xfId="105" applyFont="1" applyAlignment="1">
      <alignment horizontal="center" wrapText="1"/>
      <protection/>
    </xf>
    <xf numFmtId="180" fontId="50" fillId="0" borderId="0" xfId="105" applyNumberFormat="1" applyFont="1" applyFill="1" applyAlignment="1">
      <alignment horizontal="center" vertical="center" wrapText="1"/>
      <protection/>
    </xf>
    <xf numFmtId="0" fontId="40" fillId="0" borderId="0" xfId="105" applyFont="1" applyAlignment="1">
      <alignment horizontal="center" wrapText="1"/>
      <protection/>
    </xf>
    <xf numFmtId="0" fontId="27" fillId="0" borderId="31" xfId="105" applyFont="1" applyFill="1" applyBorder="1" applyAlignment="1">
      <alignment horizontal="center" vertical="center" wrapText="1"/>
      <protection/>
    </xf>
    <xf numFmtId="0" fontId="27" fillId="0" borderId="32" xfId="105" applyFont="1" applyFill="1" applyBorder="1" applyAlignment="1" applyProtection="1">
      <alignment horizontal="center" vertical="center" wrapText="1"/>
      <protection/>
    </xf>
    <xf numFmtId="0" fontId="27" fillId="0" borderId="33" xfId="105" applyFont="1" applyFill="1" applyBorder="1" applyAlignment="1" applyProtection="1">
      <alignment horizontal="center" vertical="center" wrapText="1"/>
      <protection/>
    </xf>
    <xf numFmtId="0" fontId="27" fillId="0" borderId="0" xfId="105" applyFont="1" applyFill="1" applyAlignment="1">
      <alignment horizontal="center" vertical="center" wrapText="1"/>
      <protection/>
    </xf>
    <xf numFmtId="0" fontId="16" fillId="0" borderId="10" xfId="105" applyFont="1" applyFill="1" applyBorder="1" applyAlignment="1">
      <alignment horizontal="center" vertical="center" wrapText="1"/>
      <protection/>
    </xf>
    <xf numFmtId="0" fontId="1" fillId="0" borderId="68" xfId="105" applyFont="1" applyFill="1" applyBorder="1" applyAlignment="1" applyProtection="1">
      <alignment horizontal="left" vertical="center" wrapText="1" indent="1"/>
      <protection/>
    </xf>
    <xf numFmtId="182" fontId="16" fillId="0" borderId="68" xfId="79" applyNumberFormat="1" applyFont="1" applyFill="1" applyBorder="1" applyAlignment="1" applyProtection="1">
      <alignment horizontal="right" vertical="center" wrapText="1" indent="1"/>
      <protection locked="0"/>
    </xf>
    <xf numFmtId="182" fontId="16" fillId="0" borderId="59" xfId="79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2" xfId="105" applyFont="1" applyFill="1" applyBorder="1" applyAlignment="1">
      <alignment horizontal="center" vertical="center" wrapText="1"/>
      <protection/>
    </xf>
    <xf numFmtId="0" fontId="1" fillId="0" borderId="14" xfId="105" applyFont="1" applyFill="1" applyBorder="1" applyAlignment="1" applyProtection="1">
      <alignment horizontal="left" vertical="center" wrapText="1" indent="1"/>
      <protection/>
    </xf>
    <xf numFmtId="182" fontId="16" fillId="0" borderId="14" xfId="79" applyNumberFormat="1" applyFont="1" applyFill="1" applyBorder="1" applyAlignment="1" applyProtection="1">
      <alignment horizontal="right" vertical="center" wrapText="1" indent="1"/>
      <protection locked="0"/>
    </xf>
    <xf numFmtId="182" fontId="16" fillId="0" borderId="38" xfId="79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4" xfId="105" applyFont="1" applyFill="1" applyBorder="1" applyAlignment="1" applyProtection="1">
      <alignment horizontal="left" vertical="center" wrapText="1" indent="8"/>
      <protection/>
    </xf>
    <xf numFmtId="0" fontId="16" fillId="0" borderId="24" xfId="105" applyFont="1" applyFill="1" applyBorder="1" applyAlignment="1" applyProtection="1">
      <alignment vertical="center" wrapText="1"/>
      <protection locked="0"/>
    </xf>
    <xf numFmtId="180" fontId="16" fillId="0" borderId="13" xfId="105" applyNumberFormat="1" applyFont="1" applyFill="1" applyBorder="1" applyAlignment="1" applyProtection="1">
      <alignment horizontal="right" vertical="center" wrapText="1" indent="1"/>
      <protection locked="0"/>
    </xf>
    <xf numFmtId="180" fontId="16" fillId="0" borderId="38" xfId="105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3" xfId="105" applyFont="1" applyFill="1" applyBorder="1" applyAlignment="1" applyProtection="1">
      <alignment vertical="center" wrapText="1"/>
      <protection locked="0"/>
    </xf>
    <xf numFmtId="0" fontId="27" fillId="0" borderId="31" xfId="105" applyFont="1" applyFill="1" applyBorder="1" applyAlignment="1">
      <alignment horizontal="center" vertical="center" wrapText="1"/>
      <protection/>
    </xf>
    <xf numFmtId="0" fontId="27" fillId="0" borderId="64" xfId="105" applyFont="1" applyFill="1" applyBorder="1" applyAlignment="1" applyProtection="1">
      <alignment vertical="center" wrapText="1"/>
      <protection/>
    </xf>
    <xf numFmtId="180" fontId="27" fillId="0" borderId="64" xfId="105" applyNumberFormat="1" applyFont="1" applyFill="1" applyBorder="1" applyAlignment="1" applyProtection="1">
      <alignment vertical="center" wrapText="1"/>
      <protection/>
    </xf>
    <xf numFmtId="1" fontId="27" fillId="0" borderId="65" xfId="105" applyNumberFormat="1" applyFont="1" applyFill="1" applyBorder="1" applyAlignment="1" applyProtection="1">
      <alignment vertical="center" wrapText="1"/>
      <protection/>
    </xf>
    <xf numFmtId="0" fontId="16" fillId="0" borderId="0" xfId="105" applyFont="1" applyFill="1" applyAlignment="1">
      <alignment horizontal="right" vertical="center" wrapText="1"/>
      <protection/>
    </xf>
    <xf numFmtId="0" fontId="16" fillId="0" borderId="0" xfId="105" applyFont="1" applyFill="1" applyAlignment="1">
      <alignment vertical="center" wrapText="1"/>
      <protection/>
    </xf>
    <xf numFmtId="0" fontId="16" fillId="0" borderId="0" xfId="105" applyFill="1" applyAlignment="1">
      <alignment horizontal="center" vertical="center" wrapText="1"/>
      <protection/>
    </xf>
    <xf numFmtId="0" fontId="84" fillId="0" borderId="0" xfId="104" applyFont="1" applyFill="1">
      <alignment/>
      <protection/>
    </xf>
    <xf numFmtId="180" fontId="52" fillId="0" borderId="0" xfId="105" applyNumberFormat="1" applyFont="1" applyFill="1" applyBorder="1" applyAlignment="1">
      <alignment horizontal="right" vertical="center" wrapText="1"/>
      <protection/>
    </xf>
    <xf numFmtId="180" fontId="52" fillId="0" borderId="0" xfId="105" applyNumberFormat="1" applyFont="1" applyFill="1" applyBorder="1" applyAlignment="1">
      <alignment horizontal="center" vertical="center" wrapText="1"/>
      <protection/>
    </xf>
    <xf numFmtId="0" fontId="85" fillId="0" borderId="0" xfId="105" applyFont="1" applyFill="1" applyBorder="1" applyAlignment="1" applyProtection="1">
      <alignment horizontal="right"/>
      <protection/>
    </xf>
    <xf numFmtId="0" fontId="86" fillId="0" borderId="0" xfId="105" applyFont="1" applyFill="1" applyBorder="1" applyAlignment="1" applyProtection="1">
      <alignment/>
      <protection/>
    </xf>
    <xf numFmtId="0" fontId="87" fillId="0" borderId="0" xfId="104" applyFont="1" applyFill="1">
      <alignment/>
      <protection/>
    </xf>
    <xf numFmtId="180" fontId="48" fillId="0" borderId="0" xfId="104" applyNumberFormat="1" applyFont="1" applyFill="1" applyBorder="1" applyAlignment="1" applyProtection="1">
      <alignment horizontal="centerContinuous" vertical="center"/>
      <protection/>
    </xf>
    <xf numFmtId="0" fontId="86" fillId="0" borderId="0" xfId="105" applyFont="1" applyFill="1" applyBorder="1" applyAlignment="1" applyProtection="1">
      <alignment horizontal="right"/>
      <protection/>
    </xf>
    <xf numFmtId="0" fontId="47" fillId="0" borderId="10" xfId="104" applyFont="1" applyFill="1" applyBorder="1" applyAlignment="1" applyProtection="1">
      <alignment horizontal="center" vertical="center" wrapText="1"/>
      <protection/>
    </xf>
    <xf numFmtId="0" fontId="52" fillId="0" borderId="12" xfId="104" applyFont="1" applyFill="1" applyBorder="1" applyAlignment="1" applyProtection="1">
      <alignment horizontal="center" vertical="center"/>
      <protection/>
    </xf>
    <xf numFmtId="0" fontId="47" fillId="0" borderId="18" xfId="104" applyFont="1" applyFill="1" applyBorder="1" applyAlignment="1" applyProtection="1">
      <alignment horizontal="center" vertical="center"/>
      <protection/>
    </xf>
    <xf numFmtId="0" fontId="47" fillId="0" borderId="0" xfId="104" applyFont="1" applyFill="1" applyBorder="1" applyAlignment="1" applyProtection="1">
      <alignment horizontal="center" vertical="center"/>
      <protection/>
    </xf>
    <xf numFmtId="0" fontId="47" fillId="0" borderId="0" xfId="104" applyFont="1" applyFill="1" applyBorder="1" applyAlignment="1" applyProtection="1">
      <alignment horizontal="center" vertical="center" wrapText="1"/>
      <protection/>
    </xf>
    <xf numFmtId="182" fontId="47" fillId="0" borderId="0" xfId="79" applyNumberFormat="1" applyFont="1" applyFill="1" applyBorder="1" applyAlignment="1" applyProtection="1">
      <alignment horizontal="center"/>
      <protection/>
    </xf>
    <xf numFmtId="0" fontId="27" fillId="0" borderId="17" xfId="104" applyFont="1" applyFill="1" applyBorder="1" applyAlignment="1">
      <alignment horizontal="center" vertical="center" wrapText="1"/>
      <protection/>
    </xf>
    <xf numFmtId="186" fontId="27" fillId="0" borderId="17" xfId="104" applyNumberFormat="1" applyFont="1" applyFill="1" applyBorder="1" applyAlignment="1">
      <alignment horizontal="center" vertical="center" wrapText="1"/>
      <protection/>
    </xf>
    <xf numFmtId="0" fontId="16" fillId="0" borderId="31" xfId="104" applyFont="1" applyFill="1" applyBorder="1" applyAlignment="1">
      <alignment horizontal="center" vertical="center"/>
      <protection/>
    </xf>
    <xf numFmtId="0" fontId="16" fillId="0" borderId="32" xfId="104" applyFont="1" applyFill="1" applyBorder="1" applyAlignment="1">
      <alignment horizontal="center" vertical="center"/>
      <protection/>
    </xf>
    <xf numFmtId="0" fontId="16" fillId="0" borderId="33" xfId="104" applyFont="1" applyFill="1" applyBorder="1" applyAlignment="1">
      <alignment horizontal="center" vertical="center"/>
      <protection/>
    </xf>
    <xf numFmtId="0" fontId="16" fillId="0" borderId="36" xfId="104" applyFont="1" applyFill="1" applyBorder="1" applyAlignment="1">
      <alignment horizontal="center" vertical="center"/>
      <protection/>
    </xf>
    <xf numFmtId="0" fontId="16" fillId="0" borderId="24" xfId="104" applyFont="1" applyFill="1" applyBorder="1" applyProtection="1">
      <alignment/>
      <protection locked="0"/>
    </xf>
    <xf numFmtId="182" fontId="16" fillId="0" borderId="24" xfId="79" applyNumberFormat="1" applyFont="1" applyFill="1" applyBorder="1" applyAlignment="1" applyProtection="1">
      <alignment/>
      <protection locked="0"/>
    </xf>
    <xf numFmtId="182" fontId="16" fillId="0" borderId="59" xfId="79" applyNumberFormat="1" applyFont="1" applyFill="1" applyBorder="1" applyAlignment="1">
      <alignment/>
    </xf>
    <xf numFmtId="0" fontId="16" fillId="0" borderId="12" xfId="104" applyFont="1" applyFill="1" applyBorder="1" applyAlignment="1">
      <alignment horizontal="center" vertical="center"/>
      <protection/>
    </xf>
    <xf numFmtId="0" fontId="16" fillId="0" borderId="13" xfId="104" applyFont="1" applyFill="1" applyBorder="1" applyProtection="1">
      <alignment/>
      <protection locked="0"/>
    </xf>
    <xf numFmtId="182" fontId="16" fillId="0" borderId="13" xfId="79" applyNumberFormat="1" applyFont="1" applyFill="1" applyBorder="1" applyAlignment="1" applyProtection="1">
      <alignment/>
      <protection locked="0"/>
    </xf>
    <xf numFmtId="182" fontId="16" fillId="0" borderId="38" xfId="79" applyNumberFormat="1" applyFont="1" applyFill="1" applyBorder="1" applyAlignment="1">
      <alignment/>
    </xf>
    <xf numFmtId="0" fontId="27" fillId="0" borderId="31" xfId="104" applyFont="1" applyFill="1" applyBorder="1" applyAlignment="1">
      <alignment horizontal="center" vertical="center"/>
      <protection/>
    </xf>
    <xf numFmtId="0" fontId="27" fillId="0" borderId="32" xfId="104" applyFont="1" applyFill="1" applyBorder="1">
      <alignment/>
      <protection/>
    </xf>
    <xf numFmtId="182" fontId="27" fillId="0" borderId="32" xfId="104" applyNumberFormat="1" applyFont="1" applyFill="1" applyBorder="1">
      <alignment/>
      <protection/>
    </xf>
    <xf numFmtId="182" fontId="27" fillId="0" borderId="33" xfId="104" applyNumberFormat="1" applyFont="1" applyFill="1" applyBorder="1">
      <alignment/>
      <protection/>
    </xf>
    <xf numFmtId="0" fontId="48" fillId="0" borderId="0" xfId="104" applyFont="1" applyFill="1">
      <alignment/>
      <protection/>
    </xf>
    <xf numFmtId="0" fontId="27" fillId="0" borderId="0" xfId="104" applyFont="1" applyFill="1" applyBorder="1" applyAlignment="1">
      <alignment horizontal="center" vertical="center"/>
      <protection/>
    </xf>
    <xf numFmtId="0" fontId="27" fillId="0" borderId="0" xfId="104" applyFont="1" applyFill="1" applyBorder="1">
      <alignment/>
      <protection/>
    </xf>
    <xf numFmtId="182" fontId="27" fillId="0" borderId="0" xfId="104" applyNumberFormat="1" applyFont="1" applyFill="1" applyBorder="1">
      <alignment/>
      <protection/>
    </xf>
    <xf numFmtId="0" fontId="87" fillId="0" borderId="0" xfId="104" applyFont="1" applyFill="1" applyAlignment="1">
      <alignment wrapText="1"/>
      <protection/>
    </xf>
    <xf numFmtId="0" fontId="47" fillId="0" borderId="34" xfId="104" applyFont="1" applyFill="1" applyBorder="1" applyAlignment="1" applyProtection="1">
      <alignment horizontal="center" vertical="center" wrapText="1"/>
      <protection/>
    </xf>
    <xf numFmtId="0" fontId="52" fillId="0" borderId="66" xfId="104" applyFont="1" applyFill="1" applyBorder="1" applyAlignment="1" applyProtection="1">
      <alignment horizontal="center" vertical="center"/>
      <protection/>
    </xf>
    <xf numFmtId="0" fontId="52" fillId="0" borderId="37" xfId="104" applyFont="1" applyFill="1" applyBorder="1" applyAlignment="1" applyProtection="1">
      <alignment horizontal="center" vertical="center"/>
      <protection/>
    </xf>
    <xf numFmtId="182" fontId="52" fillId="0" borderId="37" xfId="79" applyNumberFormat="1" applyFont="1" applyFill="1" applyBorder="1" applyAlignment="1" applyProtection="1">
      <alignment/>
      <protection locked="0"/>
    </xf>
    <xf numFmtId="0" fontId="52" fillId="0" borderId="79" xfId="104" applyFont="1" applyFill="1" applyBorder="1" applyAlignment="1" applyProtection="1">
      <alignment horizontal="center" vertical="center"/>
      <protection/>
    </xf>
    <xf numFmtId="0" fontId="51" fillId="0" borderId="63" xfId="104" applyFont="1" applyFill="1" applyBorder="1" applyAlignment="1" applyProtection="1">
      <alignment/>
      <protection/>
    </xf>
    <xf numFmtId="0" fontId="51" fillId="0" borderId="71" xfId="104" applyFont="1" applyFill="1" applyBorder="1" applyAlignment="1" applyProtection="1">
      <alignment/>
      <protection/>
    </xf>
    <xf numFmtId="0" fontId="51" fillId="0" borderId="78" xfId="104" applyFont="1" applyFill="1" applyBorder="1" applyAlignment="1" applyProtection="1">
      <alignment/>
      <protection/>
    </xf>
    <xf numFmtId="182" fontId="47" fillId="0" borderId="79" xfId="79" applyNumberFormat="1" applyFont="1" applyFill="1" applyBorder="1" applyAlignment="1" applyProtection="1">
      <alignment/>
      <protection/>
    </xf>
    <xf numFmtId="180" fontId="62" fillId="0" borderId="0" xfId="105" applyNumberFormat="1" applyFont="1" applyFill="1" applyBorder="1" applyAlignment="1">
      <alignment vertical="center" wrapText="1"/>
      <protection/>
    </xf>
    <xf numFmtId="180" fontId="52" fillId="0" borderId="0" xfId="105" applyNumberFormat="1" applyFont="1" applyFill="1" applyBorder="1" applyAlignment="1">
      <alignment vertical="center" wrapText="1"/>
      <protection/>
    </xf>
    <xf numFmtId="49" fontId="87" fillId="0" borderId="16" xfId="101" applyNumberFormat="1" applyFont="1" applyBorder="1">
      <alignment/>
      <protection/>
    </xf>
    <xf numFmtId="49" fontId="87" fillId="0" borderId="17" xfId="101" applyNumberFormat="1" applyFont="1" applyBorder="1">
      <alignment/>
      <protection/>
    </xf>
    <xf numFmtId="0" fontId="48" fillId="0" borderId="19" xfId="101" applyFont="1" applyBorder="1" applyAlignment="1">
      <alignment horizontal="left"/>
      <protection/>
    </xf>
    <xf numFmtId="3" fontId="48" fillId="0" borderId="19" xfId="101" applyNumberFormat="1" applyFont="1" applyBorder="1">
      <alignment/>
      <protection/>
    </xf>
    <xf numFmtId="0" fontId="48" fillId="0" borderId="61" xfId="101" applyFont="1" applyBorder="1" applyAlignment="1">
      <alignment horizontal="left"/>
      <protection/>
    </xf>
    <xf numFmtId="0" fontId="87" fillId="0" borderId="0" xfId="101" applyFont="1">
      <alignment/>
      <protection/>
    </xf>
    <xf numFmtId="0" fontId="88" fillId="0" borderId="20" xfId="0" applyFont="1" applyBorder="1" applyAlignment="1">
      <alignment wrapText="1"/>
    </xf>
    <xf numFmtId="0" fontId="88" fillId="0" borderId="13" xfId="0" applyFont="1" applyBorder="1" applyAlignment="1">
      <alignment wrapText="1"/>
    </xf>
    <xf numFmtId="3" fontId="88" fillId="0" borderId="13" xfId="0" applyNumberFormat="1" applyFont="1" applyBorder="1" applyAlignment="1">
      <alignment horizontal="right" wrapText="1"/>
    </xf>
    <xf numFmtId="0" fontId="89" fillId="0" borderId="0" xfId="0" applyFont="1" applyAlignment="1">
      <alignment/>
    </xf>
    <xf numFmtId="0" fontId="90" fillId="0" borderId="13" xfId="0" applyFont="1" applyBorder="1" applyAlignment="1">
      <alignment wrapText="1"/>
    </xf>
    <xf numFmtId="3" fontId="90" fillId="0" borderId="13" xfId="0" applyNumberFormat="1" applyFont="1" applyBorder="1" applyAlignment="1">
      <alignment horizontal="right" wrapText="1"/>
    </xf>
    <xf numFmtId="0" fontId="75" fillId="0" borderId="20" xfId="0" applyFont="1" applyBorder="1" applyAlignment="1">
      <alignment wrapText="1"/>
    </xf>
    <xf numFmtId="0" fontId="75" fillId="0" borderId="13" xfId="0" applyFont="1" applyBorder="1" applyAlignment="1">
      <alignment wrapText="1"/>
    </xf>
    <xf numFmtId="3" fontId="75" fillId="0" borderId="13" xfId="0" applyNumberFormat="1" applyFont="1" applyBorder="1" applyAlignment="1">
      <alignment horizontal="right" wrapText="1"/>
    </xf>
    <xf numFmtId="0" fontId="65" fillId="0" borderId="0" xfId="0" applyFont="1" applyAlignment="1">
      <alignment/>
    </xf>
    <xf numFmtId="0" fontId="29" fillId="0" borderId="23" xfId="0" applyFont="1" applyBorder="1" applyAlignment="1">
      <alignment wrapText="1"/>
    </xf>
    <xf numFmtId="0" fontId="29" fillId="0" borderId="24" xfId="0" applyFont="1" applyBorder="1" applyAlignment="1">
      <alignment wrapText="1"/>
    </xf>
    <xf numFmtId="0" fontId="56" fillId="0" borderId="50" xfId="108" applyFont="1" applyBorder="1" applyAlignment="1">
      <alignment horizontal="left" vertical="center" wrapText="1"/>
      <protection/>
    </xf>
    <xf numFmtId="0" fontId="56" fillId="0" borderId="14" xfId="108" applyFont="1" applyBorder="1" applyAlignment="1">
      <alignment horizontal="left" vertical="center" wrapText="1"/>
      <protection/>
    </xf>
    <xf numFmtId="0" fontId="56" fillId="0" borderId="44" xfId="108" applyFont="1" applyBorder="1" applyAlignment="1">
      <alignment horizontal="left" vertical="center"/>
      <protection/>
    </xf>
    <xf numFmtId="0" fontId="56" fillId="0" borderId="14" xfId="108" applyFont="1" applyBorder="1" applyAlignment="1">
      <alignment horizontal="left" vertical="center"/>
      <protection/>
    </xf>
    <xf numFmtId="0" fontId="58" fillId="24" borderId="50" xfId="108" applyFont="1" applyFill="1" applyBorder="1" applyAlignment="1">
      <alignment horizontal="left" vertical="center"/>
      <protection/>
    </xf>
    <xf numFmtId="0" fontId="58" fillId="24" borderId="14" xfId="108" applyFont="1" applyFill="1" applyBorder="1" applyAlignment="1">
      <alignment horizontal="left" vertical="center"/>
      <protection/>
    </xf>
    <xf numFmtId="0" fontId="58" fillId="24" borderId="44" xfId="108" applyFont="1" applyFill="1" applyBorder="1" applyAlignment="1">
      <alignment horizontal="left" vertical="center"/>
      <protection/>
    </xf>
    <xf numFmtId="0" fontId="45" fillId="20" borderId="18" xfId="108" applyFont="1" applyFill="1" applyBorder="1" applyAlignment="1">
      <alignment horizontal="left" vertical="center"/>
      <protection/>
    </xf>
    <xf numFmtId="0" fontId="45" fillId="20" borderId="19" xfId="108" applyFont="1" applyFill="1" applyBorder="1" applyAlignment="1">
      <alignment horizontal="left" vertical="center"/>
      <protection/>
    </xf>
    <xf numFmtId="0" fontId="36" fillId="0" borderId="12" xfId="108" applyFont="1" applyFill="1" applyBorder="1" applyAlignment="1">
      <alignment horizontal="left" vertical="center"/>
      <protection/>
    </xf>
    <xf numFmtId="0" fontId="36" fillId="0" borderId="13" xfId="108" applyFont="1" applyFill="1" applyBorder="1" applyAlignment="1">
      <alignment horizontal="left" vertical="center"/>
      <protection/>
    </xf>
    <xf numFmtId="0" fontId="36" fillId="0" borderId="14" xfId="108" applyFont="1" applyFill="1" applyBorder="1" applyAlignment="1">
      <alignment horizontal="left" vertical="center"/>
      <protection/>
    </xf>
    <xf numFmtId="0" fontId="43" fillId="0" borderId="50" xfId="108" applyFont="1" applyBorder="1" applyAlignment="1">
      <alignment horizontal="left" vertical="center" wrapText="1"/>
      <protection/>
    </xf>
    <xf numFmtId="0" fontId="43" fillId="0" borderId="14" xfId="108" applyFont="1" applyBorder="1" applyAlignment="1">
      <alignment horizontal="left" vertical="center" wrapText="1"/>
      <protection/>
    </xf>
    <xf numFmtId="0" fontId="43" fillId="0" borderId="14" xfId="108" applyFont="1" applyFill="1" applyBorder="1" applyAlignment="1">
      <alignment horizontal="left" vertical="center"/>
      <protection/>
    </xf>
    <xf numFmtId="0" fontId="43" fillId="0" borderId="13" xfId="108" applyFont="1" applyFill="1" applyBorder="1" applyAlignment="1">
      <alignment horizontal="left" vertical="center"/>
      <protection/>
    </xf>
    <xf numFmtId="0" fontId="36" fillId="0" borderId="50" xfId="108" applyFont="1" applyBorder="1" applyAlignment="1">
      <alignment horizontal="left" vertical="center" wrapText="1"/>
      <protection/>
    </xf>
    <xf numFmtId="0" fontId="36" fillId="0" borderId="44" xfId="108" applyFont="1" applyBorder="1" applyAlignment="1">
      <alignment horizontal="left" vertical="center" wrapText="1"/>
      <protection/>
    </xf>
    <xf numFmtId="0" fontId="36" fillId="0" borderId="53" xfId="108" applyFont="1" applyBorder="1" applyAlignment="1">
      <alignment horizontal="left" vertical="center" wrapText="1"/>
      <protection/>
    </xf>
    <xf numFmtId="0" fontId="36" fillId="0" borderId="44" xfId="108" applyFont="1" applyFill="1" applyBorder="1" applyAlignment="1">
      <alignment horizontal="left" vertical="center"/>
      <protection/>
    </xf>
    <xf numFmtId="0" fontId="56" fillId="0" borderId="50" xfId="108" applyFont="1" applyBorder="1" applyAlignment="1">
      <alignment horizontal="left" vertical="center"/>
      <protection/>
    </xf>
    <xf numFmtId="0" fontId="58" fillId="24" borderId="12" xfId="108" applyFont="1" applyFill="1" applyBorder="1" applyAlignment="1">
      <alignment horizontal="left" vertical="center"/>
      <protection/>
    </xf>
    <xf numFmtId="0" fontId="58" fillId="24" borderId="13" xfId="108" applyFont="1" applyFill="1" applyBorder="1" applyAlignment="1">
      <alignment horizontal="left" vertical="center"/>
      <protection/>
    </xf>
    <xf numFmtId="0" fontId="57" fillId="0" borderId="13" xfId="108" applyFont="1" applyFill="1" applyBorder="1" applyAlignment="1">
      <alignment horizontal="left" vertical="center"/>
      <protection/>
    </xf>
    <xf numFmtId="0" fontId="56" fillId="0" borderId="44" xfId="108" applyFont="1" applyBorder="1" applyAlignment="1">
      <alignment horizontal="left"/>
      <protection/>
    </xf>
    <xf numFmtId="0" fontId="56" fillId="0" borderId="14" xfId="108" applyFont="1" applyBorder="1" applyAlignment="1">
      <alignment horizontal="left"/>
      <protection/>
    </xf>
    <xf numFmtId="0" fontId="28" fillId="0" borderId="52" xfId="0" applyFont="1" applyBorder="1" applyAlignment="1">
      <alignment horizontal="left" wrapText="1"/>
    </xf>
    <xf numFmtId="0" fontId="28" fillId="0" borderId="0" xfId="0" applyFont="1" applyAlignment="1">
      <alignment horizontal="left" wrapText="1"/>
    </xf>
    <xf numFmtId="0" fontId="36" fillId="0" borderId="50" xfId="108" applyFont="1" applyFill="1" applyBorder="1" applyAlignment="1">
      <alignment horizontal="left" vertical="center"/>
      <protection/>
    </xf>
    <xf numFmtId="0" fontId="36" fillId="0" borderId="53" xfId="108" applyFont="1" applyFill="1" applyBorder="1" applyAlignment="1">
      <alignment horizontal="left" vertical="center"/>
      <protection/>
    </xf>
    <xf numFmtId="0" fontId="45" fillId="0" borderId="0" xfId="108" applyFont="1" applyAlignment="1">
      <alignment horizontal="center"/>
      <protection/>
    </xf>
    <xf numFmtId="0" fontId="36" fillId="0" borderId="55" xfId="108" applyFont="1" applyFill="1" applyBorder="1" applyAlignment="1">
      <alignment horizontal="left" vertical="center"/>
      <protection/>
    </xf>
    <xf numFmtId="0" fontId="37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76" fillId="0" borderId="0" xfId="106" applyFont="1" applyBorder="1" applyAlignment="1" applyProtection="1">
      <alignment horizontal="center" vertical="center" wrapText="1"/>
      <protection locked="0"/>
    </xf>
    <xf numFmtId="0" fontId="1" fillId="0" borderId="0" xfId="106" applyFont="1" applyAlignment="1">
      <alignment horizontal="right" wrapText="1"/>
      <protection/>
    </xf>
    <xf numFmtId="0" fontId="44" fillId="0" borderId="0" xfId="101" applyFont="1" applyAlignment="1">
      <alignment horizontal="center"/>
      <protection/>
    </xf>
    <xf numFmtId="180" fontId="50" fillId="0" borderId="0" xfId="105" applyNumberFormat="1" applyFont="1" applyFill="1" applyAlignment="1" applyProtection="1">
      <alignment horizontal="center" textRotation="180" wrapText="1"/>
      <protection/>
    </xf>
    <xf numFmtId="180" fontId="51" fillId="0" borderId="80" xfId="105" applyNumberFormat="1" applyFont="1" applyFill="1" applyBorder="1" applyAlignment="1" applyProtection="1">
      <alignment horizontal="center" vertical="center" wrapText="1"/>
      <protection/>
    </xf>
    <xf numFmtId="180" fontId="51" fillId="0" borderId="81" xfId="105" applyNumberFormat="1" applyFont="1" applyFill="1" applyBorder="1" applyAlignment="1" applyProtection="1">
      <alignment horizontal="center" vertical="center" wrapText="1"/>
      <protection/>
    </xf>
    <xf numFmtId="180" fontId="72" fillId="0" borderId="49" xfId="105" applyNumberFormat="1" applyFont="1" applyFill="1" applyBorder="1" applyAlignment="1" applyProtection="1">
      <alignment horizontal="center" vertical="center" wrapText="1"/>
      <protection/>
    </xf>
    <xf numFmtId="180" fontId="49" fillId="0" borderId="0" xfId="105" applyNumberFormat="1" applyFont="1" applyFill="1" applyAlignment="1" applyProtection="1">
      <alignment horizontal="center" vertical="center" wrapText="1"/>
      <protection/>
    </xf>
    <xf numFmtId="180" fontId="51" fillId="0" borderId="66" xfId="105" applyNumberFormat="1" applyFont="1" applyFill="1" applyBorder="1" applyAlignment="1" applyProtection="1">
      <alignment horizontal="center" vertical="center" wrapText="1"/>
      <protection/>
    </xf>
    <xf numFmtId="180" fontId="51" fillId="0" borderId="79" xfId="105" applyNumberFormat="1" applyFont="1" applyFill="1" applyBorder="1" applyAlignment="1" applyProtection="1">
      <alignment horizontal="center" vertical="center" wrapText="1"/>
      <protection/>
    </xf>
    <xf numFmtId="0" fontId="42" fillId="0" borderId="0" xfId="103" applyFont="1" applyAlignment="1">
      <alignment horizontal="center"/>
      <protection/>
    </xf>
    <xf numFmtId="0" fontId="73" fillId="0" borderId="34" xfId="103" applyFont="1" applyFill="1" applyBorder="1" applyAlignment="1">
      <alignment horizontal="center" vertical="center" wrapText="1"/>
      <protection/>
    </xf>
    <xf numFmtId="0" fontId="25" fillId="26" borderId="34" xfId="103" applyFont="1" applyFill="1" applyBorder="1" applyAlignment="1">
      <alignment horizontal="center" vertical="center" wrapText="1"/>
      <protection/>
    </xf>
    <xf numFmtId="0" fontId="25" fillId="26" borderId="80" xfId="103" applyFont="1" applyFill="1" applyBorder="1" applyAlignment="1">
      <alignment horizontal="center" vertical="center" wrapText="1"/>
      <protection/>
    </xf>
    <xf numFmtId="0" fontId="25" fillId="26" borderId="82" xfId="103" applyFont="1" applyFill="1" applyBorder="1" applyAlignment="1">
      <alignment horizontal="center" vertical="center" wrapText="1"/>
      <protection/>
    </xf>
    <xf numFmtId="0" fontId="25" fillId="26" borderId="81" xfId="103" applyFont="1" applyFill="1" applyBorder="1" applyAlignment="1">
      <alignment horizontal="center" vertical="center" wrapText="1"/>
      <protection/>
    </xf>
    <xf numFmtId="0" fontId="42" fillId="0" borderId="0" xfId="108" applyFont="1" applyAlignment="1">
      <alignment horizontal="center"/>
      <protection/>
    </xf>
    <xf numFmtId="0" fontId="1" fillId="0" borderId="83" xfId="108" applyFont="1" applyBorder="1" applyAlignment="1">
      <alignment horizontal="center"/>
      <protection/>
    </xf>
    <xf numFmtId="0" fontId="28" fillId="0" borderId="0" xfId="0" applyFont="1" applyBorder="1" applyAlignment="1">
      <alignment horizontal="left" wrapText="1"/>
    </xf>
    <xf numFmtId="0" fontId="42" fillId="0" borderId="0" xfId="105" applyFont="1" applyAlignment="1">
      <alignment horizontal="center" wrapText="1"/>
      <protection/>
    </xf>
    <xf numFmtId="0" fontId="66" fillId="0" borderId="0" xfId="105" applyFont="1" applyAlignment="1">
      <alignment horizontal="right" wrapText="1"/>
      <protection/>
    </xf>
    <xf numFmtId="0" fontId="16" fillId="0" borderId="49" xfId="105" applyFont="1" applyFill="1" applyBorder="1" applyAlignment="1">
      <alignment horizontal="justify" vertical="center" wrapText="1"/>
      <protection/>
    </xf>
    <xf numFmtId="180" fontId="52" fillId="0" borderId="52" xfId="105" applyNumberFormat="1" applyFont="1" applyFill="1" applyBorder="1" applyAlignment="1">
      <alignment horizontal="right" vertical="center" wrapText="1"/>
      <protection/>
    </xf>
    <xf numFmtId="0" fontId="67" fillId="0" borderId="0" xfId="105" applyFont="1" applyAlignment="1">
      <alignment horizontal="right" wrapText="1"/>
      <protection/>
    </xf>
    <xf numFmtId="180" fontId="50" fillId="0" borderId="39" xfId="105" applyNumberFormat="1" applyFont="1" applyFill="1" applyBorder="1" applyAlignment="1" applyProtection="1">
      <alignment horizontal="center" textRotation="180" wrapText="1"/>
      <protection/>
    </xf>
    <xf numFmtId="180" fontId="63" fillId="0" borderId="0" xfId="105" applyNumberFormat="1" applyFont="1" applyFill="1" applyAlignment="1" applyProtection="1">
      <alignment horizontal="center" vertical="center" wrapText="1"/>
      <protection/>
    </xf>
    <xf numFmtId="180" fontId="64" fillId="0" borderId="18" xfId="105" applyNumberFormat="1" applyFont="1" applyFill="1" applyBorder="1" applyAlignment="1" applyProtection="1">
      <alignment horizontal="left" vertical="center" wrapText="1" indent="2"/>
      <protection/>
    </xf>
    <xf numFmtId="180" fontId="64" fillId="0" borderId="19" xfId="105" applyNumberFormat="1" applyFont="1" applyFill="1" applyBorder="1" applyAlignment="1" applyProtection="1">
      <alignment horizontal="left" vertical="center" wrapText="1" indent="2"/>
      <protection/>
    </xf>
    <xf numFmtId="180" fontId="51" fillId="0" borderId="58" xfId="105" applyNumberFormat="1" applyFont="1" applyFill="1" applyBorder="1" applyAlignment="1" applyProtection="1">
      <alignment horizontal="center" vertical="center"/>
      <protection/>
    </xf>
    <xf numFmtId="180" fontId="51" fillId="0" borderId="38" xfId="105" applyNumberFormat="1" applyFont="1" applyFill="1" applyBorder="1" applyAlignment="1" applyProtection="1">
      <alignment horizontal="center" vertical="center"/>
      <protection/>
    </xf>
    <xf numFmtId="180" fontId="51" fillId="0" borderId="11" xfId="105" applyNumberFormat="1" applyFont="1" applyFill="1" applyBorder="1" applyAlignment="1" applyProtection="1">
      <alignment horizontal="center" vertical="center"/>
      <protection/>
    </xf>
    <xf numFmtId="180" fontId="51" fillId="0" borderId="10" xfId="105" applyNumberFormat="1" applyFont="1" applyFill="1" applyBorder="1" applyAlignment="1" applyProtection="1">
      <alignment horizontal="center" vertical="center" wrapText="1"/>
      <protection/>
    </xf>
    <xf numFmtId="180" fontId="51" fillId="0" borderId="12" xfId="105" applyNumberFormat="1" applyFont="1" applyFill="1" applyBorder="1" applyAlignment="1" applyProtection="1">
      <alignment horizontal="center" vertical="center" wrapText="1"/>
      <protection/>
    </xf>
    <xf numFmtId="180" fontId="51" fillId="0" borderId="13" xfId="105" applyNumberFormat="1" applyFont="1" applyFill="1" applyBorder="1" applyAlignment="1" applyProtection="1">
      <alignment horizontal="center" vertical="center"/>
      <protection/>
    </xf>
    <xf numFmtId="180" fontId="51" fillId="0" borderId="11" xfId="105" applyNumberFormat="1" applyFont="1" applyFill="1" applyBorder="1" applyAlignment="1" applyProtection="1">
      <alignment horizontal="center" vertical="center" wrapText="1"/>
      <protection/>
    </xf>
    <xf numFmtId="180" fontId="51" fillId="0" borderId="47" xfId="105" applyNumberFormat="1" applyFont="1" applyFill="1" applyBorder="1" applyAlignment="1" applyProtection="1">
      <alignment horizontal="center" vertical="center" wrapText="1"/>
      <protection/>
    </xf>
    <xf numFmtId="180" fontId="51" fillId="0" borderId="24" xfId="105" applyNumberFormat="1" applyFont="1" applyFill="1" applyBorder="1" applyAlignment="1" applyProtection="1">
      <alignment horizontal="center" vertical="center" wrapText="1"/>
      <protection/>
    </xf>
    <xf numFmtId="180" fontId="49" fillId="0" borderId="0" xfId="104" applyNumberFormat="1" applyFont="1" applyFill="1" applyBorder="1" applyAlignment="1" applyProtection="1">
      <alignment horizontal="center" vertical="center" wrapText="1"/>
      <protection/>
    </xf>
    <xf numFmtId="180" fontId="52" fillId="0" borderId="0" xfId="105" applyNumberFormat="1" applyFont="1" applyFill="1" applyBorder="1" applyAlignment="1">
      <alignment horizontal="right" vertical="center" wrapText="1"/>
      <protection/>
    </xf>
    <xf numFmtId="180" fontId="64" fillId="0" borderId="0" xfId="104" applyNumberFormat="1" applyFont="1" applyFill="1" applyBorder="1" applyAlignment="1" applyProtection="1">
      <alignment horizontal="left" vertical="center"/>
      <protection/>
    </xf>
    <xf numFmtId="0" fontId="27" fillId="0" borderId="11" xfId="104" applyFont="1" applyFill="1" applyBorder="1" applyAlignment="1" applyProtection="1">
      <alignment horizontal="center" vertical="center" wrapText="1"/>
      <protection/>
    </xf>
    <xf numFmtId="0" fontId="47" fillId="0" borderId="11" xfId="104" applyFont="1" applyFill="1" applyBorder="1" applyAlignment="1" applyProtection="1">
      <alignment horizontal="center" vertical="center" wrapText="1"/>
      <protection/>
    </xf>
    <xf numFmtId="0" fontId="47" fillId="0" borderId="58" xfId="104" applyFont="1" applyFill="1" applyBorder="1" applyAlignment="1" applyProtection="1">
      <alignment horizontal="center" vertical="center" wrapText="1"/>
      <protection/>
    </xf>
    <xf numFmtId="0" fontId="27" fillId="0" borderId="84" xfId="104" applyFont="1" applyFill="1" applyBorder="1" applyAlignment="1">
      <alignment horizontal="center" vertical="center" wrapText="1"/>
      <protection/>
    </xf>
    <xf numFmtId="0" fontId="27" fillId="0" borderId="85" xfId="104" applyFont="1" applyFill="1" applyBorder="1" applyAlignment="1">
      <alignment horizontal="center" vertical="center" wrapText="1"/>
      <protection/>
    </xf>
    <xf numFmtId="0" fontId="27" fillId="0" borderId="51" xfId="104" applyFont="1" applyFill="1" applyBorder="1" applyAlignment="1">
      <alignment horizontal="center" vertical="center" wrapText="1"/>
      <protection/>
    </xf>
    <xf numFmtId="0" fontId="27" fillId="0" borderId="58" xfId="104" applyFont="1" applyFill="1" applyBorder="1" applyAlignment="1">
      <alignment horizontal="center" vertical="center" wrapText="1"/>
      <protection/>
    </xf>
    <xf numFmtId="0" fontId="27" fillId="0" borderId="69" xfId="104" applyFont="1" applyFill="1" applyBorder="1" applyAlignment="1">
      <alignment horizontal="center" vertical="center" wrapText="1"/>
      <protection/>
    </xf>
    <xf numFmtId="0" fontId="52" fillId="0" borderId="13" xfId="104" applyFont="1" applyFill="1" applyBorder="1" applyAlignment="1" applyProtection="1">
      <alignment horizontal="center" vertical="center"/>
      <protection/>
    </xf>
    <xf numFmtId="0" fontId="52" fillId="0" borderId="38" xfId="104" applyFont="1" applyFill="1" applyBorder="1" applyAlignment="1" applyProtection="1">
      <alignment horizontal="center" vertical="center"/>
      <protection/>
    </xf>
    <xf numFmtId="0" fontId="52" fillId="0" borderId="13" xfId="104" applyFont="1" applyFill="1" applyBorder="1" applyAlignment="1" applyProtection="1">
      <alignment horizontal="center"/>
      <protection locked="0"/>
    </xf>
    <xf numFmtId="182" fontId="52" fillId="0" borderId="13" xfId="79" applyNumberFormat="1" applyFont="1" applyFill="1" applyBorder="1" applyAlignment="1" applyProtection="1">
      <alignment horizontal="center"/>
      <protection locked="0"/>
    </xf>
    <xf numFmtId="182" fontId="52" fillId="0" borderId="38" xfId="79" applyNumberFormat="1" applyFont="1" applyFill="1" applyBorder="1" applyAlignment="1" applyProtection="1">
      <alignment horizontal="center"/>
      <protection locked="0"/>
    </xf>
    <xf numFmtId="0" fontId="52" fillId="0" borderId="50" xfId="104" applyFont="1" applyFill="1" applyBorder="1" applyAlignment="1" applyProtection="1">
      <alignment horizontal="left"/>
      <protection/>
    </xf>
    <xf numFmtId="0" fontId="52" fillId="0" borderId="44" xfId="104" applyFont="1" applyFill="1" applyBorder="1" applyAlignment="1" applyProtection="1">
      <alignment horizontal="left"/>
      <protection/>
    </xf>
    <xf numFmtId="0" fontId="52" fillId="0" borderId="53" xfId="104" applyFont="1" applyFill="1" applyBorder="1" applyAlignment="1" applyProtection="1">
      <alignment horizontal="left"/>
      <protection/>
    </xf>
    <xf numFmtId="0" fontId="61" fillId="0" borderId="14" xfId="105" applyFont="1" applyBorder="1" applyAlignment="1">
      <alignment horizontal="left" wrapText="1"/>
      <protection/>
    </xf>
    <xf numFmtId="0" fontId="61" fillId="0" borderId="13" xfId="105" applyFont="1" applyBorder="1" applyAlignment="1">
      <alignment horizontal="left" wrapText="1"/>
      <protection/>
    </xf>
    <xf numFmtId="0" fontId="61" fillId="0" borderId="40" xfId="105" applyFont="1" applyBorder="1" applyAlignment="1">
      <alignment horizontal="left" wrapText="1"/>
      <protection/>
    </xf>
    <xf numFmtId="0" fontId="47" fillId="0" borderId="19" xfId="104" applyFont="1" applyFill="1" applyBorder="1" applyAlignment="1" applyProtection="1">
      <alignment horizontal="center" vertical="center" wrapText="1"/>
      <protection/>
    </xf>
    <xf numFmtId="182" fontId="47" fillId="0" borderId="19" xfId="79" applyNumberFormat="1" applyFont="1" applyFill="1" applyBorder="1" applyAlignment="1" applyProtection="1">
      <alignment horizontal="center"/>
      <protection/>
    </xf>
    <xf numFmtId="182" fontId="47" fillId="0" borderId="43" xfId="79" applyNumberFormat="1" applyFont="1" applyFill="1" applyBorder="1" applyAlignment="1" applyProtection="1">
      <alignment horizontal="center"/>
      <protection/>
    </xf>
    <xf numFmtId="0" fontId="27" fillId="0" borderId="10" xfId="104" applyFont="1" applyFill="1" applyBorder="1" applyAlignment="1">
      <alignment horizontal="center" vertical="center" wrapText="1"/>
      <protection/>
    </xf>
    <xf numFmtId="0" fontId="27" fillId="0" borderId="16" xfId="104" applyFont="1" applyFill="1" applyBorder="1" applyAlignment="1">
      <alignment horizontal="center" vertical="center" wrapText="1"/>
      <protection/>
    </xf>
    <xf numFmtId="0" fontId="27" fillId="0" borderId="11" xfId="104" applyFont="1" applyFill="1" applyBorder="1" applyAlignment="1">
      <alignment horizontal="center" vertical="center" wrapText="1"/>
      <protection/>
    </xf>
    <xf numFmtId="0" fontId="27" fillId="0" borderId="17" xfId="104" applyFont="1" applyFill="1" applyBorder="1" applyAlignment="1">
      <alignment horizontal="center" vertical="center" wrapText="1"/>
      <protection/>
    </xf>
    <xf numFmtId="0" fontId="61" fillId="0" borderId="44" xfId="105" applyFont="1" applyBorder="1" applyAlignment="1">
      <alignment horizontal="left" wrapText="1"/>
      <protection/>
    </xf>
    <xf numFmtId="0" fontId="52" fillId="0" borderId="49" xfId="104" applyFont="1" applyFill="1" applyBorder="1" applyAlignment="1">
      <alignment horizontal="center" vertical="center" wrapText="1"/>
      <protection/>
    </xf>
    <xf numFmtId="0" fontId="68" fillId="0" borderId="0" xfId="0" applyFont="1" applyAlignment="1">
      <alignment horizontal="left" wrapText="1"/>
    </xf>
    <xf numFmtId="0" fontId="68" fillId="0" borderId="0" xfId="0" applyFont="1" applyBorder="1" applyAlignment="1">
      <alignment horizontal="left" wrapText="1"/>
    </xf>
    <xf numFmtId="0" fontId="64" fillId="0" borderId="0" xfId="104" applyFont="1" applyFill="1" applyAlignment="1">
      <alignment horizontal="left" wrapText="1"/>
      <protection/>
    </xf>
    <xf numFmtId="0" fontId="47" fillId="0" borderId="41" xfId="104" applyFont="1" applyFill="1" applyBorder="1" applyAlignment="1" applyProtection="1">
      <alignment horizontal="center" vertical="center" wrapText="1"/>
      <protection/>
    </xf>
    <xf numFmtId="0" fontId="47" fillId="0" borderId="34" xfId="104" applyFont="1" applyFill="1" applyBorder="1" applyAlignment="1" applyProtection="1">
      <alignment horizontal="center" vertical="center" wrapText="1"/>
      <protection/>
    </xf>
    <xf numFmtId="0" fontId="52" fillId="0" borderId="86" xfId="104" applyFont="1" applyFill="1" applyBorder="1" applyAlignment="1" applyProtection="1">
      <alignment horizontal="center" vertical="center"/>
      <protection/>
    </xf>
    <xf numFmtId="0" fontId="52" fillId="0" borderId="66" xfId="104" applyFont="1" applyFill="1" applyBorder="1" applyAlignment="1" applyProtection="1">
      <alignment horizontal="center" vertical="center"/>
      <protection/>
    </xf>
    <xf numFmtId="0" fontId="52" fillId="0" borderId="87" xfId="104" applyFont="1" applyFill="1" applyBorder="1" applyAlignment="1" applyProtection="1">
      <alignment horizontal="center" vertical="center"/>
      <protection/>
    </xf>
  </cellXfs>
  <cellStyles count="10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Ezres 4" xfId="78"/>
    <cellStyle name="Ezres 4 2" xfId="79"/>
    <cellStyle name="Figyelmeztetés" xfId="80"/>
    <cellStyle name="Good" xfId="81"/>
    <cellStyle name="Heading 1" xfId="82"/>
    <cellStyle name="Heading 2" xfId="83"/>
    <cellStyle name="Heading 3" xfId="84"/>
    <cellStyle name="Heading 4" xfId="85"/>
    <cellStyle name="Hyperlink" xfId="86"/>
    <cellStyle name="Hivatkozott cella" xfId="87"/>
    <cellStyle name="Input" xfId="88"/>
    <cellStyle name="Jegyzet" xfId="89"/>
    <cellStyle name="Jó" xfId="90"/>
    <cellStyle name="Kimenet" xfId="91"/>
    <cellStyle name="Followed Hyperlink" xfId="92"/>
    <cellStyle name="Linked Cell" xfId="93"/>
    <cellStyle name="Magyarázó szöveg" xfId="94"/>
    <cellStyle name="Neutral" xfId="95"/>
    <cellStyle name="Normál 2" xfId="96"/>
    <cellStyle name="Normál 3" xfId="97"/>
    <cellStyle name="Normál 4" xfId="98"/>
    <cellStyle name="Normál 5" xfId="99"/>
    <cellStyle name="Normál_11szm" xfId="100"/>
    <cellStyle name="Normál_12.sz.mell.2013.évi fejlesztés" xfId="101"/>
    <cellStyle name="Normál_3aszm" xfId="102"/>
    <cellStyle name="Normál_7szm" xfId="103"/>
    <cellStyle name="Normál_KVRENMUNKA" xfId="104"/>
    <cellStyle name="Normál_Másolat eredetijeKVIREND" xfId="105"/>
    <cellStyle name="Normál_Táblák 01-08 08.31." xfId="106"/>
    <cellStyle name="Normal_tanusitv" xfId="107"/>
    <cellStyle name="Normál_Zalakaros" xfId="108"/>
    <cellStyle name="Note" xfId="109"/>
    <cellStyle name="Output" xfId="110"/>
    <cellStyle name="Összesen" xfId="111"/>
    <cellStyle name="Currency" xfId="112"/>
    <cellStyle name="Currency [0]" xfId="113"/>
    <cellStyle name="Rossz" xfId="114"/>
    <cellStyle name="Semleges" xfId="115"/>
    <cellStyle name="Számítás" xfId="116"/>
    <cellStyle name="Percent" xfId="117"/>
    <cellStyle name="Százalék 2" xfId="118"/>
    <cellStyle name="Title" xfId="119"/>
    <cellStyle name="Total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1" width="4.421875" style="0" customWidth="1"/>
    <col min="2" max="2" width="53.7109375" style="0" customWidth="1"/>
    <col min="3" max="3" width="15.421875" style="0" customWidth="1"/>
    <col min="4" max="4" width="15.8515625" style="0" hidden="1" customWidth="1"/>
    <col min="5" max="5" width="16.28125" style="0" hidden="1" customWidth="1"/>
    <col min="6" max="6" width="15.8515625" style="0" hidden="1" customWidth="1"/>
    <col min="7" max="7" width="16.28125" style="0" hidden="1" customWidth="1"/>
    <col min="8" max="8" width="14.00390625" style="0" hidden="1" customWidth="1"/>
    <col min="9" max="9" width="16.28125" style="0" hidden="1" customWidth="1"/>
    <col min="10" max="10" width="14.00390625" style="0" hidden="1" customWidth="1"/>
    <col min="11" max="11" width="16.28125" style="0" hidden="1" customWidth="1"/>
    <col min="12" max="12" width="15.00390625" style="0" hidden="1" customWidth="1"/>
    <col min="13" max="13" width="16.28125" style="0" customWidth="1"/>
    <col min="14" max="14" width="15.00390625" style="0" customWidth="1"/>
    <col min="15" max="15" width="16.28125" style="0" customWidth="1"/>
    <col min="16" max="16" width="1.421875" style="0" customWidth="1"/>
    <col min="17" max="17" width="3.28125" style="0" customWidth="1"/>
    <col min="18" max="18" width="48.140625" style="0" customWidth="1"/>
    <col min="19" max="19" width="16.00390625" style="0" customWidth="1"/>
    <col min="20" max="20" width="16.00390625" style="0" hidden="1" customWidth="1"/>
    <col min="21" max="21" width="15.421875" style="0" hidden="1" customWidth="1"/>
    <col min="22" max="22" width="16.00390625" style="0" hidden="1" customWidth="1"/>
    <col min="23" max="23" width="15.7109375" style="0" hidden="1" customWidth="1"/>
    <col min="24" max="24" width="15.140625" style="0" hidden="1" customWidth="1"/>
    <col min="25" max="25" width="15.8515625" style="0" hidden="1" customWidth="1"/>
    <col min="26" max="26" width="15.140625" style="0" hidden="1" customWidth="1"/>
    <col min="27" max="27" width="15.8515625" style="0" hidden="1" customWidth="1"/>
    <col min="28" max="28" width="15.140625" style="0" hidden="1" customWidth="1"/>
    <col min="29" max="29" width="15.8515625" style="0" customWidth="1"/>
    <col min="30" max="30" width="15.140625" style="0" customWidth="1"/>
    <col min="31" max="31" width="15.8515625" style="0" customWidth="1"/>
  </cols>
  <sheetData>
    <row r="1" spans="1:31" ht="18.75">
      <c r="A1" s="603" t="s">
        <v>529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  <c r="T1" s="603"/>
      <c r="U1" s="603"/>
      <c r="V1" s="603"/>
      <c r="W1" s="603"/>
      <c r="X1" s="603"/>
      <c r="Y1" s="603"/>
      <c r="Z1" s="603"/>
      <c r="AA1" s="603"/>
      <c r="AB1" s="603"/>
      <c r="AC1" s="603"/>
      <c r="AD1" s="603"/>
      <c r="AE1" s="603"/>
    </row>
    <row r="2" spans="1:31" ht="18.75">
      <c r="A2" s="603" t="s">
        <v>358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3"/>
      <c r="W2" s="603"/>
      <c r="X2" s="603"/>
      <c r="Y2" s="603"/>
      <c r="Z2" s="603"/>
      <c r="AA2" s="603"/>
      <c r="AB2" s="603"/>
      <c r="AC2" s="603"/>
      <c r="AD2" s="603"/>
      <c r="AE2" s="603"/>
    </row>
    <row r="3" spans="1:31" ht="18.75">
      <c r="A3" s="600" t="s">
        <v>623</v>
      </c>
      <c r="B3" s="6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</row>
    <row r="4" spans="1:31" ht="15.75" thickBot="1">
      <c r="A4" s="599" t="s">
        <v>424</v>
      </c>
      <c r="B4" s="599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25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 t="s">
        <v>319</v>
      </c>
    </row>
    <row r="5" spans="1:31" ht="44.25" customHeight="1">
      <c r="A5" s="141"/>
      <c r="B5" s="142" t="s">
        <v>245</v>
      </c>
      <c r="C5" s="143" t="s">
        <v>353</v>
      </c>
      <c r="D5" s="143" t="s">
        <v>410</v>
      </c>
      <c r="E5" s="143" t="s">
        <v>406</v>
      </c>
      <c r="F5" s="143" t="s">
        <v>422</v>
      </c>
      <c r="G5" s="143" t="s">
        <v>417</v>
      </c>
      <c r="H5" s="143" t="s">
        <v>476</v>
      </c>
      <c r="I5" s="143" t="s">
        <v>471</v>
      </c>
      <c r="J5" s="143" t="s">
        <v>524</v>
      </c>
      <c r="K5" s="143" t="s">
        <v>521</v>
      </c>
      <c r="L5" s="143" t="s">
        <v>539</v>
      </c>
      <c r="M5" s="143" t="s">
        <v>540</v>
      </c>
      <c r="N5" s="143" t="s">
        <v>604</v>
      </c>
      <c r="O5" s="143" t="s">
        <v>605</v>
      </c>
      <c r="P5" s="275"/>
      <c r="Q5" s="144"/>
      <c r="R5" s="142" t="s">
        <v>245</v>
      </c>
      <c r="S5" s="473" t="s">
        <v>353</v>
      </c>
      <c r="T5" s="473" t="s">
        <v>410</v>
      </c>
      <c r="U5" s="473" t="s">
        <v>406</v>
      </c>
      <c r="V5" s="473" t="s">
        <v>422</v>
      </c>
      <c r="W5" s="473" t="s">
        <v>417</v>
      </c>
      <c r="X5" s="473" t="s">
        <v>476</v>
      </c>
      <c r="Y5" s="473" t="s">
        <v>471</v>
      </c>
      <c r="Z5" s="473" t="s">
        <v>524</v>
      </c>
      <c r="AA5" s="473" t="s">
        <v>521</v>
      </c>
      <c r="AB5" s="473" t="s">
        <v>539</v>
      </c>
      <c r="AC5" s="473" t="s">
        <v>540</v>
      </c>
      <c r="AD5" s="473" t="s">
        <v>604</v>
      </c>
      <c r="AE5" s="473" t="s">
        <v>605</v>
      </c>
    </row>
    <row r="6" spans="1:31" ht="15" customHeight="1">
      <c r="A6" s="601" t="s">
        <v>246</v>
      </c>
      <c r="B6" s="592"/>
      <c r="C6" s="602"/>
      <c r="D6" s="105"/>
      <c r="E6" s="259"/>
      <c r="F6" s="324"/>
      <c r="G6" s="259"/>
      <c r="H6" s="324"/>
      <c r="I6" s="259"/>
      <c r="J6" s="324"/>
      <c r="K6" s="259"/>
      <c r="L6" s="324"/>
      <c r="M6" s="259"/>
      <c r="N6" s="324"/>
      <c r="O6" s="259"/>
      <c r="P6" s="105"/>
      <c r="Q6" s="592" t="s">
        <v>247</v>
      </c>
      <c r="R6" s="592"/>
      <c r="S6" s="604"/>
      <c r="T6" s="289"/>
      <c r="U6" s="290"/>
      <c r="V6" s="325"/>
      <c r="W6" s="290"/>
      <c r="X6" s="325"/>
      <c r="Y6" s="290"/>
      <c r="Z6" s="325"/>
      <c r="AA6" s="290"/>
      <c r="AB6" s="325"/>
      <c r="AC6" s="290"/>
      <c r="AD6" s="325"/>
      <c r="AE6" s="290"/>
    </row>
    <row r="7" spans="1:31" ht="15" customHeight="1">
      <c r="A7" s="145" t="s">
        <v>92</v>
      </c>
      <c r="B7" s="107" t="s">
        <v>248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276"/>
      <c r="Q7" s="120" t="s">
        <v>92</v>
      </c>
      <c r="R7" s="108" t="s">
        <v>248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</row>
    <row r="8" spans="1:31" ht="15" customHeight="1">
      <c r="A8" s="145"/>
      <c r="B8" s="112" t="s">
        <v>526</v>
      </c>
      <c r="C8" s="126">
        <v>160974547</v>
      </c>
      <c r="D8" s="126">
        <v>0</v>
      </c>
      <c r="E8" s="126">
        <v>160974547</v>
      </c>
      <c r="F8" s="126">
        <v>0</v>
      </c>
      <c r="G8" s="126">
        <v>160974547</v>
      </c>
      <c r="H8" s="126">
        <v>0</v>
      </c>
      <c r="I8" s="126">
        <v>160974547</v>
      </c>
      <c r="J8" s="126">
        <v>2494167</v>
      </c>
      <c r="K8" s="126">
        <f>I8+J8</f>
        <v>163468714</v>
      </c>
      <c r="L8" s="126">
        <v>24884433</v>
      </c>
      <c r="M8" s="126">
        <f>K8+L8</f>
        <v>188353147</v>
      </c>
      <c r="N8" s="126">
        <v>-1380775</v>
      </c>
      <c r="O8" s="126">
        <f>M8+N8</f>
        <v>186972372</v>
      </c>
      <c r="P8" s="277"/>
      <c r="Q8" s="109"/>
      <c r="R8" s="112" t="s">
        <v>275</v>
      </c>
      <c r="S8" s="125">
        <v>47206036</v>
      </c>
      <c r="T8" s="125">
        <v>0</v>
      </c>
      <c r="U8" s="125">
        <v>47206036</v>
      </c>
      <c r="V8" s="125">
        <v>0</v>
      </c>
      <c r="W8" s="125">
        <f>SUM(U8:V8)</f>
        <v>47206036</v>
      </c>
      <c r="X8" s="125">
        <v>810990</v>
      </c>
      <c r="Y8" s="125">
        <f>SUM(W8:X8)</f>
        <v>48017026</v>
      </c>
      <c r="Z8" s="125">
        <v>0</v>
      </c>
      <c r="AA8" s="125">
        <f>SUM(Y8:Z8)</f>
        <v>48017026</v>
      </c>
      <c r="AB8" s="125">
        <v>3630000</v>
      </c>
      <c r="AC8" s="125">
        <f>SUM(AA8:AB8)</f>
        <v>51647026</v>
      </c>
      <c r="AD8" s="125">
        <v>3015000</v>
      </c>
      <c r="AE8" s="125">
        <f>SUM(AC8:AD8)</f>
        <v>54662026</v>
      </c>
    </row>
    <row r="9" spans="1:31" ht="15" customHeight="1">
      <c r="A9" s="145"/>
      <c r="B9" s="116" t="s">
        <v>249</v>
      </c>
      <c r="C9" s="127">
        <v>82450000</v>
      </c>
      <c r="D9" s="127">
        <v>0</v>
      </c>
      <c r="E9" s="127">
        <v>82450000</v>
      </c>
      <c r="F9" s="127">
        <v>0</v>
      </c>
      <c r="G9" s="127">
        <v>82450000</v>
      </c>
      <c r="H9" s="127">
        <v>0</v>
      </c>
      <c r="I9" s="127">
        <v>82450000</v>
      </c>
      <c r="J9" s="127">
        <v>0</v>
      </c>
      <c r="K9" s="126">
        <f>I9+J9</f>
        <v>82450000</v>
      </c>
      <c r="L9" s="127">
        <v>11614949</v>
      </c>
      <c r="M9" s="126">
        <f>K9+L9</f>
        <v>94064949</v>
      </c>
      <c r="N9" s="127">
        <v>10759036</v>
      </c>
      <c r="O9" s="126">
        <f>M9+N9</f>
        <v>104823985</v>
      </c>
      <c r="P9" s="278"/>
      <c r="Q9" s="120"/>
      <c r="R9" s="137" t="s">
        <v>276</v>
      </c>
      <c r="S9" s="125">
        <v>11598180</v>
      </c>
      <c r="T9" s="125">
        <v>0</v>
      </c>
      <c r="U9" s="125">
        <v>11598180</v>
      </c>
      <c r="V9" s="125">
        <v>0</v>
      </c>
      <c r="W9" s="125">
        <f>SUM(U9:V9)</f>
        <v>11598180</v>
      </c>
      <c r="X9" s="125">
        <v>142329</v>
      </c>
      <c r="Y9" s="125">
        <f>SUM(W9:X9)</f>
        <v>11740509</v>
      </c>
      <c r="Z9" s="125">
        <v>0</v>
      </c>
      <c r="AA9" s="125">
        <f>SUM(Y9:Z9)</f>
        <v>11740509</v>
      </c>
      <c r="AB9" s="125">
        <v>150000</v>
      </c>
      <c r="AC9" s="125">
        <f>SUM(AA9:AB9)</f>
        <v>11890509</v>
      </c>
      <c r="AD9" s="125">
        <v>-10083</v>
      </c>
      <c r="AE9" s="125">
        <f>SUM(AC9:AD9)</f>
        <v>11880426</v>
      </c>
    </row>
    <row r="10" spans="1:31" ht="15" customHeight="1">
      <c r="A10" s="145"/>
      <c r="B10" s="112" t="s">
        <v>250</v>
      </c>
      <c r="C10" s="127">
        <v>11883000</v>
      </c>
      <c r="D10" s="127">
        <v>0</v>
      </c>
      <c r="E10" s="127">
        <v>11883000</v>
      </c>
      <c r="F10" s="127">
        <v>0</v>
      </c>
      <c r="G10" s="127">
        <v>11883000</v>
      </c>
      <c r="H10" s="127">
        <v>0</v>
      </c>
      <c r="I10" s="127">
        <v>11883000</v>
      </c>
      <c r="J10" s="127">
        <v>0</v>
      </c>
      <c r="K10" s="126">
        <f>I10+J10</f>
        <v>11883000</v>
      </c>
      <c r="L10" s="127">
        <v>678700</v>
      </c>
      <c r="M10" s="126">
        <f>K10+L10</f>
        <v>12561700</v>
      </c>
      <c r="N10" s="127">
        <v>1686285</v>
      </c>
      <c r="O10" s="126">
        <f>M10+N10</f>
        <v>14247985</v>
      </c>
      <c r="P10" s="278"/>
      <c r="Q10" s="120"/>
      <c r="R10" s="112" t="s">
        <v>277</v>
      </c>
      <c r="S10" s="125">
        <v>42555558</v>
      </c>
      <c r="T10" s="125">
        <v>0</v>
      </c>
      <c r="U10" s="125">
        <v>42555558</v>
      </c>
      <c r="V10" s="125">
        <v>0</v>
      </c>
      <c r="W10" s="125">
        <f>SUM(U10:V10)</f>
        <v>42555558</v>
      </c>
      <c r="X10" s="125">
        <v>-953319</v>
      </c>
      <c r="Y10" s="125">
        <f>SUM(W10:X10)</f>
        <v>41602239</v>
      </c>
      <c r="Z10" s="125">
        <v>9468939</v>
      </c>
      <c r="AA10" s="125">
        <f>SUM(Y10:Z10)</f>
        <v>51071178</v>
      </c>
      <c r="AB10" s="125">
        <v>7029208</v>
      </c>
      <c r="AC10" s="125">
        <f>SUM(AA10:AB10)</f>
        <v>58100386</v>
      </c>
      <c r="AD10" s="125">
        <v>35731498</v>
      </c>
      <c r="AE10" s="125">
        <f>SUM(AC10:AD10)</f>
        <v>93831884</v>
      </c>
    </row>
    <row r="11" spans="1:31" ht="15" customHeight="1">
      <c r="A11" s="145"/>
      <c r="B11" s="112" t="s">
        <v>251</v>
      </c>
      <c r="C11" s="127">
        <v>50000</v>
      </c>
      <c r="D11" s="127">
        <v>0</v>
      </c>
      <c r="E11" s="127">
        <v>50000</v>
      </c>
      <c r="F11" s="127">
        <v>0</v>
      </c>
      <c r="G11" s="127">
        <v>50000</v>
      </c>
      <c r="H11" s="127">
        <v>0</v>
      </c>
      <c r="I11" s="127">
        <v>50000</v>
      </c>
      <c r="J11" s="127">
        <v>0</v>
      </c>
      <c r="K11" s="126">
        <f>I11+J11</f>
        <v>50000</v>
      </c>
      <c r="L11" s="127">
        <v>0</v>
      </c>
      <c r="M11" s="126">
        <f>K11+L11</f>
        <v>50000</v>
      </c>
      <c r="N11" s="127">
        <v>-40000</v>
      </c>
      <c r="O11" s="126">
        <f>M11+N11</f>
        <v>10000</v>
      </c>
      <c r="P11" s="278"/>
      <c r="Q11" s="120"/>
      <c r="R11" s="112" t="s">
        <v>278</v>
      </c>
      <c r="S11" s="125">
        <v>6315000</v>
      </c>
      <c r="T11" s="125">
        <v>0</v>
      </c>
      <c r="U11" s="125">
        <v>6315000</v>
      </c>
      <c r="V11" s="125">
        <v>0</v>
      </c>
      <c r="W11" s="125">
        <f>SUM(U11:V11)</f>
        <v>6315000</v>
      </c>
      <c r="X11" s="125">
        <v>0</v>
      </c>
      <c r="Y11" s="125">
        <f>SUM(W11:X11)</f>
        <v>6315000</v>
      </c>
      <c r="Z11" s="125">
        <v>0</v>
      </c>
      <c r="AA11" s="125">
        <f>SUM(Y11:Z11)</f>
        <v>6315000</v>
      </c>
      <c r="AB11" s="125">
        <v>1371600</v>
      </c>
      <c r="AC11" s="125">
        <f>SUM(AA11:AB11)</f>
        <v>7686600</v>
      </c>
      <c r="AD11" s="125">
        <v>-1695450</v>
      </c>
      <c r="AE11" s="125">
        <f>SUM(AC11:AD11)</f>
        <v>5991150</v>
      </c>
    </row>
    <row r="12" spans="1:31" ht="15" customHeight="1">
      <c r="A12" s="145"/>
      <c r="B12" s="117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279"/>
      <c r="Q12" s="120"/>
      <c r="R12" s="112" t="s">
        <v>279</v>
      </c>
      <c r="S12" s="125">
        <v>52680225</v>
      </c>
      <c r="T12" s="125">
        <v>0</v>
      </c>
      <c r="U12" s="125">
        <v>52680225</v>
      </c>
      <c r="V12" s="125">
        <v>3717000</v>
      </c>
      <c r="W12" s="125">
        <f>SUM(U12:V12)</f>
        <v>56397225</v>
      </c>
      <c r="X12" s="125">
        <v>3200000</v>
      </c>
      <c r="Y12" s="125">
        <f>SUM(W12:X12)</f>
        <v>59597225</v>
      </c>
      <c r="Z12" s="125">
        <v>0</v>
      </c>
      <c r="AA12" s="125">
        <f>SUM(Y12:Z12)</f>
        <v>59597225</v>
      </c>
      <c r="AB12" s="125">
        <v>0</v>
      </c>
      <c r="AC12" s="125">
        <f>SUM(AA12:AB12)</f>
        <v>59597225</v>
      </c>
      <c r="AD12" s="125">
        <v>130000</v>
      </c>
      <c r="AE12" s="125">
        <f>SUM(AC12:AD12)</f>
        <v>59727225</v>
      </c>
    </row>
    <row r="13" spans="1:31" ht="15" customHeight="1">
      <c r="A13" s="145"/>
      <c r="B13" s="117" t="s">
        <v>252</v>
      </c>
      <c r="C13" s="128">
        <f aca="true" t="shared" si="0" ref="C13:I13">SUM(C8:C11)</f>
        <v>255357547</v>
      </c>
      <c r="D13" s="128">
        <f t="shared" si="0"/>
        <v>0</v>
      </c>
      <c r="E13" s="128">
        <f t="shared" si="0"/>
        <v>255357547</v>
      </c>
      <c r="F13" s="128">
        <f t="shared" si="0"/>
        <v>0</v>
      </c>
      <c r="G13" s="128">
        <f t="shared" si="0"/>
        <v>255357547</v>
      </c>
      <c r="H13" s="128">
        <f t="shared" si="0"/>
        <v>0</v>
      </c>
      <c r="I13" s="128">
        <f t="shared" si="0"/>
        <v>255357547</v>
      </c>
      <c r="J13" s="128">
        <f aca="true" t="shared" si="1" ref="J13:O13">SUM(J8:J11)</f>
        <v>2494167</v>
      </c>
      <c r="K13" s="128">
        <f t="shared" si="1"/>
        <v>257851714</v>
      </c>
      <c r="L13" s="128">
        <f t="shared" si="1"/>
        <v>37178082</v>
      </c>
      <c r="M13" s="128">
        <f t="shared" si="1"/>
        <v>295029796</v>
      </c>
      <c r="N13" s="128">
        <f t="shared" si="1"/>
        <v>11024546</v>
      </c>
      <c r="O13" s="128">
        <f t="shared" si="1"/>
        <v>306054342</v>
      </c>
      <c r="P13" s="279"/>
      <c r="Q13" s="120"/>
      <c r="R13" s="119" t="s">
        <v>252</v>
      </c>
      <c r="S13" s="132">
        <f aca="true" t="shared" si="2" ref="S13:Y13">SUM(S8:S12)</f>
        <v>160354999</v>
      </c>
      <c r="T13" s="132">
        <f t="shared" si="2"/>
        <v>0</v>
      </c>
      <c r="U13" s="132">
        <f t="shared" si="2"/>
        <v>160354999</v>
      </c>
      <c r="V13" s="132">
        <f t="shared" si="2"/>
        <v>3717000</v>
      </c>
      <c r="W13" s="132">
        <f t="shared" si="2"/>
        <v>164071999</v>
      </c>
      <c r="X13" s="132">
        <f t="shared" si="2"/>
        <v>3200000</v>
      </c>
      <c r="Y13" s="132">
        <f t="shared" si="2"/>
        <v>167271999</v>
      </c>
      <c r="Z13" s="132">
        <f aca="true" t="shared" si="3" ref="Z13:AE13">SUM(Z8:Z12)</f>
        <v>9468939</v>
      </c>
      <c r="AA13" s="132">
        <f t="shared" si="3"/>
        <v>176740938</v>
      </c>
      <c r="AB13" s="132">
        <f t="shared" si="3"/>
        <v>12180808</v>
      </c>
      <c r="AC13" s="132">
        <f t="shared" si="3"/>
        <v>188921746</v>
      </c>
      <c r="AD13" s="132">
        <f t="shared" si="3"/>
        <v>37170965</v>
      </c>
      <c r="AE13" s="132">
        <f t="shared" si="3"/>
        <v>226092711</v>
      </c>
    </row>
    <row r="14" spans="1:31" ht="15" customHeight="1">
      <c r="A14" s="145"/>
      <c r="B14" s="117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279"/>
      <c r="Q14" s="120"/>
      <c r="R14" s="119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</row>
    <row r="15" spans="1:31" ht="15" customHeight="1">
      <c r="A15" s="145" t="s">
        <v>93</v>
      </c>
      <c r="B15" s="111" t="s">
        <v>253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278"/>
      <c r="Q15" s="120" t="s">
        <v>93</v>
      </c>
      <c r="R15" s="107" t="s">
        <v>253</v>
      </c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</row>
    <row r="16" spans="1:31" ht="15" customHeight="1">
      <c r="A16" s="145"/>
      <c r="B16" s="112" t="s">
        <v>340</v>
      </c>
      <c r="C16" s="126">
        <v>12066452</v>
      </c>
      <c r="D16" s="126">
        <v>0</v>
      </c>
      <c r="E16" s="126">
        <v>12066452</v>
      </c>
      <c r="F16" s="126">
        <v>3873194</v>
      </c>
      <c r="G16" s="126">
        <f>E16+F16</f>
        <v>15939646</v>
      </c>
      <c r="H16" s="126">
        <v>0</v>
      </c>
      <c r="I16" s="126">
        <f>G16+H16</f>
        <v>15939646</v>
      </c>
      <c r="J16" s="126">
        <v>0</v>
      </c>
      <c r="K16" s="126">
        <f>I16+J16</f>
        <v>15939646</v>
      </c>
      <c r="L16" s="126">
        <v>0</v>
      </c>
      <c r="M16" s="126">
        <f>K16+L16</f>
        <v>15939646</v>
      </c>
      <c r="N16" s="126">
        <v>-148504</v>
      </c>
      <c r="O16" s="126">
        <f>M16+N16</f>
        <v>15791142</v>
      </c>
      <c r="P16" s="277"/>
      <c r="Q16" s="109"/>
      <c r="R16" s="112" t="s">
        <v>280</v>
      </c>
      <c r="S16" s="125">
        <v>56933600</v>
      </c>
      <c r="T16" s="125">
        <v>0</v>
      </c>
      <c r="U16" s="125">
        <v>56933600</v>
      </c>
      <c r="V16" s="125">
        <v>2803646</v>
      </c>
      <c r="W16" s="125">
        <f>U16+V16</f>
        <v>59737246</v>
      </c>
      <c r="X16" s="125">
        <v>0</v>
      </c>
      <c r="Y16" s="125">
        <f>W16+X16</f>
        <v>59737246</v>
      </c>
      <c r="Z16" s="125">
        <v>0</v>
      </c>
      <c r="AA16" s="125">
        <f>Y16+Z16</f>
        <v>59737246</v>
      </c>
      <c r="AB16" s="125">
        <v>0</v>
      </c>
      <c r="AC16" s="125">
        <f>AA16+AB16</f>
        <v>59737246</v>
      </c>
      <c r="AD16" s="125">
        <v>-515000</v>
      </c>
      <c r="AE16" s="125">
        <f>AC16+AD16</f>
        <v>59222246</v>
      </c>
    </row>
    <row r="17" spans="1:31" ht="15" customHeight="1">
      <c r="A17" s="145"/>
      <c r="B17" s="112" t="s">
        <v>341</v>
      </c>
      <c r="C17" s="127">
        <v>16023000</v>
      </c>
      <c r="D17" s="127">
        <v>0</v>
      </c>
      <c r="E17" s="127">
        <v>16023000</v>
      </c>
      <c r="F17" s="127">
        <v>0</v>
      </c>
      <c r="G17" s="127">
        <v>16023000</v>
      </c>
      <c r="H17" s="127">
        <v>0</v>
      </c>
      <c r="I17" s="127">
        <v>16023000</v>
      </c>
      <c r="J17" s="127">
        <v>0</v>
      </c>
      <c r="K17" s="127">
        <v>16023000</v>
      </c>
      <c r="L17" s="127">
        <v>0</v>
      </c>
      <c r="M17" s="127">
        <v>16023000</v>
      </c>
      <c r="N17" s="127">
        <v>3479527</v>
      </c>
      <c r="O17" s="126">
        <f>M17+N17</f>
        <v>19502527</v>
      </c>
      <c r="P17" s="278"/>
      <c r="Q17" s="120"/>
      <c r="R17" s="137" t="s">
        <v>281</v>
      </c>
      <c r="S17" s="125">
        <v>11858308</v>
      </c>
      <c r="T17" s="125">
        <v>0</v>
      </c>
      <c r="U17" s="125">
        <v>11858308</v>
      </c>
      <c r="V17" s="125">
        <v>566196</v>
      </c>
      <c r="W17" s="125">
        <f>U17+V17</f>
        <v>12424504</v>
      </c>
      <c r="X17" s="125">
        <v>0</v>
      </c>
      <c r="Y17" s="125">
        <f>W17+X17</f>
        <v>12424504</v>
      </c>
      <c r="Z17" s="125">
        <v>0</v>
      </c>
      <c r="AA17" s="125">
        <f>Y17+Z17</f>
        <v>12424504</v>
      </c>
      <c r="AB17" s="125">
        <v>-258682</v>
      </c>
      <c r="AC17" s="125">
        <f>AA17+AB17</f>
        <v>12165822</v>
      </c>
      <c r="AD17" s="125">
        <v>-465000</v>
      </c>
      <c r="AE17" s="125">
        <f>AC17+AD17</f>
        <v>11700822</v>
      </c>
    </row>
    <row r="18" spans="1:31" ht="15" customHeight="1">
      <c r="A18" s="145"/>
      <c r="B18" s="117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279"/>
      <c r="Q18" s="120"/>
      <c r="R18" s="112" t="s">
        <v>282</v>
      </c>
      <c r="S18" s="125">
        <v>34520000</v>
      </c>
      <c r="T18" s="125">
        <v>0</v>
      </c>
      <c r="U18" s="125">
        <v>34520000</v>
      </c>
      <c r="V18" s="125">
        <v>428286</v>
      </c>
      <c r="W18" s="125">
        <f>U18+V18</f>
        <v>34948286</v>
      </c>
      <c r="X18" s="125">
        <v>0</v>
      </c>
      <c r="Y18" s="125">
        <f>W18+X18</f>
        <v>34948286</v>
      </c>
      <c r="Z18" s="125">
        <v>0</v>
      </c>
      <c r="AA18" s="125">
        <f>Y18+Z18</f>
        <v>34948286</v>
      </c>
      <c r="AB18" s="125">
        <v>-1042000</v>
      </c>
      <c r="AC18" s="125">
        <f>AA18+AB18</f>
        <v>33906286</v>
      </c>
      <c r="AD18" s="125">
        <v>1881490</v>
      </c>
      <c r="AE18" s="125">
        <f>AC18+AD18</f>
        <v>35787776</v>
      </c>
    </row>
    <row r="19" spans="1:31" ht="15" customHeight="1">
      <c r="A19" s="145"/>
      <c r="B19" s="11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279"/>
      <c r="Q19" s="120"/>
      <c r="R19" s="112" t="s">
        <v>423</v>
      </c>
      <c r="S19" s="125">
        <v>0</v>
      </c>
      <c r="T19" s="125">
        <v>0</v>
      </c>
      <c r="U19" s="125">
        <v>0</v>
      </c>
      <c r="V19" s="125">
        <v>75066</v>
      </c>
      <c r="W19" s="125">
        <f>U19+V19</f>
        <v>75066</v>
      </c>
      <c r="X19" s="125">
        <v>0</v>
      </c>
      <c r="Y19" s="125">
        <f>W19+X19</f>
        <v>75066</v>
      </c>
      <c r="Z19" s="125">
        <v>0</v>
      </c>
      <c r="AA19" s="125">
        <f>Y19+Z19</f>
        <v>75066</v>
      </c>
      <c r="AB19" s="125">
        <v>0</v>
      </c>
      <c r="AC19" s="125">
        <f>AA19+AB19</f>
        <v>75066</v>
      </c>
      <c r="AD19" s="125">
        <v>0</v>
      </c>
      <c r="AE19" s="125">
        <f>AC19+AD19</f>
        <v>75066</v>
      </c>
    </row>
    <row r="20" spans="1:31" ht="15" customHeight="1">
      <c r="A20" s="145"/>
      <c r="B20" s="117" t="s">
        <v>254</v>
      </c>
      <c r="C20" s="128">
        <f aca="true" t="shared" si="4" ref="C20:I20">SUM(C16:C18)</f>
        <v>28089452</v>
      </c>
      <c r="D20" s="128">
        <f t="shared" si="4"/>
        <v>0</v>
      </c>
      <c r="E20" s="128">
        <f t="shared" si="4"/>
        <v>28089452</v>
      </c>
      <c r="F20" s="128">
        <f t="shared" si="4"/>
        <v>3873194</v>
      </c>
      <c r="G20" s="128">
        <f t="shared" si="4"/>
        <v>31962646</v>
      </c>
      <c r="H20" s="128">
        <f t="shared" si="4"/>
        <v>0</v>
      </c>
      <c r="I20" s="128">
        <f t="shared" si="4"/>
        <v>31962646</v>
      </c>
      <c r="J20" s="128">
        <f>SUM(J16:J18)</f>
        <v>0</v>
      </c>
      <c r="K20" s="128">
        <f>SUM(K16:K18)</f>
        <v>31962646</v>
      </c>
      <c r="L20" s="128">
        <f>SUM(L16:L18)</f>
        <v>0</v>
      </c>
      <c r="M20" s="128">
        <f>SUM(M16:M17)</f>
        <v>31962646</v>
      </c>
      <c r="N20" s="128">
        <f>SUM(N16:N17)</f>
        <v>3331023</v>
      </c>
      <c r="O20" s="128">
        <f>SUM(O16:O17)</f>
        <v>35293669</v>
      </c>
      <c r="P20" s="279"/>
      <c r="Q20" s="120"/>
      <c r="R20" s="119" t="s">
        <v>254</v>
      </c>
      <c r="S20" s="132">
        <f>SUM(S15:S18)</f>
        <v>103311908</v>
      </c>
      <c r="T20" s="132">
        <f>SUM(T15:T18)</f>
        <v>0</v>
      </c>
      <c r="U20" s="132">
        <f aca="true" t="shared" si="5" ref="U20:AA20">SUM(U15:U19)</f>
        <v>103311908</v>
      </c>
      <c r="V20" s="132">
        <f t="shared" si="5"/>
        <v>3873194</v>
      </c>
      <c r="W20" s="132">
        <f t="shared" si="5"/>
        <v>107185102</v>
      </c>
      <c r="X20" s="132">
        <f t="shared" si="5"/>
        <v>0</v>
      </c>
      <c r="Y20" s="132">
        <f t="shared" si="5"/>
        <v>107185102</v>
      </c>
      <c r="Z20" s="132">
        <f t="shared" si="5"/>
        <v>0</v>
      </c>
      <c r="AA20" s="132">
        <f t="shared" si="5"/>
        <v>107185102</v>
      </c>
      <c r="AB20" s="132">
        <f>SUM(AB15:AB19)</f>
        <v>-1300682</v>
      </c>
      <c r="AC20" s="132">
        <f>SUM(AC15:AC19)</f>
        <v>105884420</v>
      </c>
      <c r="AD20" s="132">
        <f>SUM(AD15:AD19)</f>
        <v>901490</v>
      </c>
      <c r="AE20" s="132">
        <f>SUM(AE15:AE19)</f>
        <v>106785910</v>
      </c>
    </row>
    <row r="21" spans="1:31" ht="15" customHeight="1">
      <c r="A21" s="145"/>
      <c r="B21" s="117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279"/>
      <c r="Q21" s="120"/>
      <c r="R21" s="119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</row>
    <row r="22" spans="1:31" ht="15" customHeight="1">
      <c r="A22" s="145" t="s">
        <v>94</v>
      </c>
      <c r="B22" s="111" t="s">
        <v>527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278"/>
      <c r="Q22" s="120" t="s">
        <v>94</v>
      </c>
      <c r="R22" s="107" t="s">
        <v>527</v>
      </c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</row>
    <row r="23" spans="1:31" ht="15" customHeight="1">
      <c r="A23" s="145"/>
      <c r="B23" s="472" t="s">
        <v>535</v>
      </c>
      <c r="C23" s="126">
        <v>0</v>
      </c>
      <c r="D23" s="126">
        <v>0</v>
      </c>
      <c r="E23" s="126">
        <v>12066452</v>
      </c>
      <c r="F23" s="126">
        <v>3873194</v>
      </c>
      <c r="G23" s="126">
        <f>E23+F23</f>
        <v>15939646</v>
      </c>
      <c r="H23" s="126">
        <v>0</v>
      </c>
      <c r="I23" s="126">
        <v>0</v>
      </c>
      <c r="J23" s="126">
        <v>50000</v>
      </c>
      <c r="K23" s="126">
        <f>I23+J23</f>
        <v>50000</v>
      </c>
      <c r="L23" s="126">
        <v>0</v>
      </c>
      <c r="M23" s="126">
        <f>K23+L23</f>
        <v>50000</v>
      </c>
      <c r="N23" s="126">
        <v>-48740</v>
      </c>
      <c r="O23" s="126">
        <f>M23+N23</f>
        <v>1260</v>
      </c>
      <c r="P23" s="278"/>
      <c r="Q23" s="120"/>
      <c r="R23" s="112" t="s">
        <v>537</v>
      </c>
      <c r="S23" s="125">
        <v>0</v>
      </c>
      <c r="T23" s="125"/>
      <c r="U23" s="125"/>
      <c r="V23" s="125"/>
      <c r="W23" s="125"/>
      <c r="X23" s="125"/>
      <c r="Y23" s="125">
        <v>0</v>
      </c>
      <c r="Z23" s="125">
        <v>2325000</v>
      </c>
      <c r="AA23" s="125">
        <f>Z23</f>
        <v>2325000</v>
      </c>
      <c r="AB23" s="125">
        <v>96260</v>
      </c>
      <c r="AC23" s="125">
        <f>AA23+AB23</f>
        <v>2421260</v>
      </c>
      <c r="AD23" s="125">
        <v>-10000</v>
      </c>
      <c r="AE23" s="125">
        <f>AC23+AD23</f>
        <v>2411260</v>
      </c>
    </row>
    <row r="24" spans="1:31" ht="15" customHeight="1">
      <c r="A24" s="145"/>
      <c r="B24" s="472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277"/>
      <c r="Q24" s="109"/>
      <c r="R24" s="137" t="s">
        <v>536</v>
      </c>
      <c r="S24" s="125">
        <v>0</v>
      </c>
      <c r="T24" s="125">
        <v>0</v>
      </c>
      <c r="U24" s="125">
        <v>56933600</v>
      </c>
      <c r="V24" s="125">
        <v>2803646</v>
      </c>
      <c r="W24" s="125">
        <f>U24+V24</f>
        <v>59737246</v>
      </c>
      <c r="X24" s="125">
        <v>0</v>
      </c>
      <c r="Y24" s="125">
        <v>0</v>
      </c>
      <c r="Z24" s="125">
        <v>471000</v>
      </c>
      <c r="AA24" s="125">
        <f>Z24</f>
        <v>471000</v>
      </c>
      <c r="AB24" s="125">
        <v>10000</v>
      </c>
      <c r="AC24" s="125">
        <f>AA24+AB24</f>
        <v>481000</v>
      </c>
      <c r="AD24" s="125">
        <v>-10000</v>
      </c>
      <c r="AE24" s="125">
        <f>AC24+AD24</f>
        <v>471000</v>
      </c>
    </row>
    <row r="25" spans="1:31" ht="15" customHeight="1">
      <c r="A25" s="145"/>
      <c r="B25" s="472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277"/>
      <c r="Q25" s="109"/>
      <c r="R25" s="112" t="s">
        <v>538</v>
      </c>
      <c r="S25" s="125">
        <v>0</v>
      </c>
      <c r="T25" s="125">
        <v>0</v>
      </c>
      <c r="U25" s="125">
        <v>56933600</v>
      </c>
      <c r="V25" s="125">
        <v>2803646</v>
      </c>
      <c r="W25" s="125">
        <f>U25+V25</f>
        <v>59737246</v>
      </c>
      <c r="X25" s="125">
        <v>0</v>
      </c>
      <c r="Y25" s="125">
        <v>0</v>
      </c>
      <c r="Z25" s="125">
        <v>300000</v>
      </c>
      <c r="AA25" s="125">
        <f>Z25</f>
        <v>300000</v>
      </c>
      <c r="AB25" s="125">
        <v>42473</v>
      </c>
      <c r="AC25" s="125">
        <f>AA25+AB25</f>
        <v>342473</v>
      </c>
      <c r="AD25" s="125">
        <v>-15145</v>
      </c>
      <c r="AE25" s="125">
        <f>AC25+AD25</f>
        <v>327328</v>
      </c>
    </row>
    <row r="26" spans="1:31" ht="15" customHeight="1">
      <c r="A26" s="145"/>
      <c r="B26" s="117" t="s">
        <v>528</v>
      </c>
      <c r="C26" s="128">
        <f>C23</f>
        <v>0</v>
      </c>
      <c r="D26" s="128">
        <f aca="true" t="shared" si="6" ref="D26:K26">D23</f>
        <v>0</v>
      </c>
      <c r="E26" s="128">
        <f t="shared" si="6"/>
        <v>12066452</v>
      </c>
      <c r="F26" s="128">
        <f t="shared" si="6"/>
        <v>3873194</v>
      </c>
      <c r="G26" s="128">
        <f t="shared" si="6"/>
        <v>15939646</v>
      </c>
      <c r="H26" s="128">
        <f t="shared" si="6"/>
        <v>0</v>
      </c>
      <c r="I26" s="128">
        <f t="shared" si="6"/>
        <v>0</v>
      </c>
      <c r="J26" s="128">
        <f t="shared" si="6"/>
        <v>50000</v>
      </c>
      <c r="K26" s="128">
        <f t="shared" si="6"/>
        <v>50000</v>
      </c>
      <c r="L26" s="128">
        <f>L23</f>
        <v>0</v>
      </c>
      <c r="M26" s="128">
        <f>M23</f>
        <v>50000</v>
      </c>
      <c r="N26" s="128">
        <f>N23</f>
        <v>-48740</v>
      </c>
      <c r="O26" s="128">
        <f>O23</f>
        <v>1260</v>
      </c>
      <c r="P26" s="279"/>
      <c r="Q26" s="120"/>
      <c r="R26" s="119" t="s">
        <v>528</v>
      </c>
      <c r="S26" s="132">
        <f>SUM(S23:S25)</f>
        <v>0</v>
      </c>
      <c r="T26" s="132">
        <f>SUM(T19:T22)</f>
        <v>0</v>
      </c>
      <c r="U26" s="132">
        <f>SUM(U19:U25)</f>
        <v>217179108</v>
      </c>
      <c r="V26" s="132">
        <f>SUM(V19:V25)</f>
        <v>9555552</v>
      </c>
      <c r="W26" s="132">
        <f>SUM(W19:W25)</f>
        <v>226734660</v>
      </c>
      <c r="X26" s="132">
        <f>SUM(X19:X25)</f>
        <v>0</v>
      </c>
      <c r="Y26" s="132">
        <f aca="true" t="shared" si="7" ref="Y26:AE26">SUM(Y23:Y25)</f>
        <v>0</v>
      </c>
      <c r="Z26" s="132">
        <f t="shared" si="7"/>
        <v>3096000</v>
      </c>
      <c r="AA26" s="132">
        <f t="shared" si="7"/>
        <v>3096000</v>
      </c>
      <c r="AB26" s="132">
        <f t="shared" si="7"/>
        <v>148733</v>
      </c>
      <c r="AC26" s="132">
        <f t="shared" si="7"/>
        <v>3244733</v>
      </c>
      <c r="AD26" s="132">
        <f t="shared" si="7"/>
        <v>-35145</v>
      </c>
      <c r="AE26" s="132">
        <f t="shared" si="7"/>
        <v>3209588</v>
      </c>
    </row>
    <row r="27" spans="1:31" ht="15" customHeight="1">
      <c r="A27" s="146"/>
      <c r="B27" s="113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280"/>
      <c r="Q27" s="140"/>
      <c r="R27" s="117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</row>
    <row r="28" spans="1:31" ht="15" customHeight="1">
      <c r="A28" s="593" t="s">
        <v>255</v>
      </c>
      <c r="B28" s="576"/>
      <c r="C28" s="128">
        <f>C13+C20+C26</f>
        <v>283446999</v>
      </c>
      <c r="D28" s="128">
        <f aca="true" t="shared" si="8" ref="D28:J28">D13+D20+D26</f>
        <v>0</v>
      </c>
      <c r="E28" s="128">
        <f t="shared" si="8"/>
        <v>295513451</v>
      </c>
      <c r="F28" s="128">
        <f t="shared" si="8"/>
        <v>7746388</v>
      </c>
      <c r="G28" s="128">
        <f t="shared" si="8"/>
        <v>303259839</v>
      </c>
      <c r="H28" s="128">
        <f t="shared" si="8"/>
        <v>0</v>
      </c>
      <c r="I28" s="128">
        <f t="shared" si="8"/>
        <v>287320193</v>
      </c>
      <c r="J28" s="128">
        <f t="shared" si="8"/>
        <v>2544167</v>
      </c>
      <c r="K28" s="128">
        <f>K13+K20+K26</f>
        <v>289864360</v>
      </c>
      <c r="L28" s="128">
        <f>L13+L20+L26</f>
        <v>37178082</v>
      </c>
      <c r="M28" s="128">
        <f>M13+M20+M26</f>
        <v>327042442</v>
      </c>
      <c r="N28" s="128">
        <f>N13+N20+N26</f>
        <v>14306829</v>
      </c>
      <c r="O28" s="128">
        <f>O13+O20+O26</f>
        <v>341349271</v>
      </c>
      <c r="P28" s="279"/>
      <c r="Q28" s="597" t="s">
        <v>256</v>
      </c>
      <c r="R28" s="598"/>
      <c r="S28" s="132">
        <f>S13+S20+S26</f>
        <v>263666907</v>
      </c>
      <c r="T28" s="132">
        <f aca="true" t="shared" si="9" ref="T28:AA28">T13+T20+T26</f>
        <v>0</v>
      </c>
      <c r="U28" s="132">
        <f t="shared" si="9"/>
        <v>480846015</v>
      </c>
      <c r="V28" s="132">
        <f t="shared" si="9"/>
        <v>17145746</v>
      </c>
      <c r="W28" s="132">
        <f t="shared" si="9"/>
        <v>497991761</v>
      </c>
      <c r="X28" s="132">
        <f t="shared" si="9"/>
        <v>3200000</v>
      </c>
      <c r="Y28" s="132">
        <f t="shared" si="9"/>
        <v>274457101</v>
      </c>
      <c r="Z28" s="132">
        <f t="shared" si="9"/>
        <v>12564939</v>
      </c>
      <c r="AA28" s="132">
        <f t="shared" si="9"/>
        <v>287022040</v>
      </c>
      <c r="AB28" s="132">
        <f>AB13+AB20+AB26</f>
        <v>11028859</v>
      </c>
      <c r="AC28" s="132">
        <f>AC13+AC20+AC26</f>
        <v>298050899</v>
      </c>
      <c r="AD28" s="132">
        <f>AD13+AD20+AD26</f>
        <v>38037310</v>
      </c>
      <c r="AE28" s="132">
        <f>AE13+AE20+AE26</f>
        <v>336088209</v>
      </c>
    </row>
    <row r="29" spans="1:31" ht="15" customHeight="1">
      <c r="A29" s="146"/>
      <c r="B29" s="113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280"/>
      <c r="Q29" s="121"/>
      <c r="R29" s="118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spans="1:31" ht="15" customHeight="1">
      <c r="A30" s="593" t="s">
        <v>272</v>
      </c>
      <c r="B30" s="576"/>
      <c r="C30" s="128">
        <v>0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4488745</v>
      </c>
      <c r="O30" s="128">
        <f>N30</f>
        <v>4488745</v>
      </c>
      <c r="P30" s="279"/>
      <c r="Q30" s="575" t="s">
        <v>274</v>
      </c>
      <c r="R30" s="576"/>
      <c r="S30" s="132">
        <v>4276181</v>
      </c>
      <c r="T30" s="132">
        <v>0</v>
      </c>
      <c r="U30" s="132">
        <v>4276181</v>
      </c>
      <c r="V30" s="132">
        <v>0</v>
      </c>
      <c r="W30" s="132">
        <v>4276181</v>
      </c>
      <c r="X30" s="132">
        <v>0</v>
      </c>
      <c r="Y30" s="132">
        <v>4276181</v>
      </c>
      <c r="Z30" s="132">
        <v>0</v>
      </c>
      <c r="AA30" s="132">
        <v>4276181</v>
      </c>
      <c r="AB30" s="132">
        <v>0</v>
      </c>
      <c r="AC30" s="132">
        <v>4276181</v>
      </c>
      <c r="AD30" s="132">
        <v>10083</v>
      </c>
      <c r="AE30" s="132">
        <f>AC30+AD30</f>
        <v>4286264</v>
      </c>
    </row>
    <row r="31" spans="1:31" ht="15" customHeight="1">
      <c r="A31" s="147"/>
      <c r="B31" s="111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278"/>
      <c r="Q31" s="122"/>
      <c r="R31" s="11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</row>
    <row r="32" spans="1:31" ht="15" customHeight="1">
      <c r="A32" s="594" t="s">
        <v>257</v>
      </c>
      <c r="B32" s="595"/>
      <c r="C32" s="248">
        <f aca="true" t="shared" si="10" ref="C32:I32">C28+C30</f>
        <v>283446999</v>
      </c>
      <c r="D32" s="248">
        <f t="shared" si="10"/>
        <v>0</v>
      </c>
      <c r="E32" s="248">
        <f t="shared" si="10"/>
        <v>295513451</v>
      </c>
      <c r="F32" s="248">
        <f t="shared" si="10"/>
        <v>7746388</v>
      </c>
      <c r="G32" s="248">
        <f t="shared" si="10"/>
        <v>303259839</v>
      </c>
      <c r="H32" s="248">
        <f t="shared" si="10"/>
        <v>0</v>
      </c>
      <c r="I32" s="248">
        <f t="shared" si="10"/>
        <v>287320193</v>
      </c>
      <c r="J32" s="248">
        <f aca="true" t="shared" si="11" ref="J32:O32">J28+J30</f>
        <v>2544167</v>
      </c>
      <c r="K32" s="248">
        <f t="shared" si="11"/>
        <v>289864360</v>
      </c>
      <c r="L32" s="248">
        <f t="shared" si="11"/>
        <v>37178082</v>
      </c>
      <c r="M32" s="248">
        <f t="shared" si="11"/>
        <v>327042442</v>
      </c>
      <c r="N32" s="248">
        <f t="shared" si="11"/>
        <v>18795574</v>
      </c>
      <c r="O32" s="248">
        <f t="shared" si="11"/>
        <v>345838016</v>
      </c>
      <c r="P32" s="281"/>
      <c r="Q32" s="578" t="s">
        <v>258</v>
      </c>
      <c r="R32" s="595" t="s">
        <v>258</v>
      </c>
      <c r="S32" s="148">
        <f aca="true" t="shared" si="12" ref="S32:Y32">S28+S30</f>
        <v>267943088</v>
      </c>
      <c r="T32" s="148">
        <f t="shared" si="12"/>
        <v>0</v>
      </c>
      <c r="U32" s="148">
        <f t="shared" si="12"/>
        <v>485122196</v>
      </c>
      <c r="V32" s="148">
        <f t="shared" si="12"/>
        <v>17145746</v>
      </c>
      <c r="W32" s="148">
        <f t="shared" si="12"/>
        <v>502267942</v>
      </c>
      <c r="X32" s="148">
        <f t="shared" si="12"/>
        <v>3200000</v>
      </c>
      <c r="Y32" s="148">
        <f t="shared" si="12"/>
        <v>278733282</v>
      </c>
      <c r="Z32" s="148">
        <f aca="true" t="shared" si="13" ref="Z32:AE32">Z28+Z30</f>
        <v>12564939</v>
      </c>
      <c r="AA32" s="148">
        <f t="shared" si="13"/>
        <v>291298221</v>
      </c>
      <c r="AB32" s="148">
        <f t="shared" si="13"/>
        <v>11028859</v>
      </c>
      <c r="AC32" s="148">
        <f t="shared" si="13"/>
        <v>302327080</v>
      </c>
      <c r="AD32" s="148">
        <f t="shared" si="13"/>
        <v>38047393</v>
      </c>
      <c r="AE32" s="148">
        <f t="shared" si="13"/>
        <v>340374473</v>
      </c>
    </row>
    <row r="33" spans="1:31" ht="15" customHeight="1">
      <c r="A33" s="582" t="s">
        <v>259</v>
      </c>
      <c r="B33" s="596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282"/>
      <c r="Q33" s="584" t="s">
        <v>271</v>
      </c>
      <c r="R33" s="596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</row>
    <row r="34" spans="1:31" ht="15" customHeight="1">
      <c r="A34" s="582" t="s">
        <v>260</v>
      </c>
      <c r="B34" s="583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282"/>
      <c r="Q34" s="584" t="s">
        <v>261</v>
      </c>
      <c r="R34" s="583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</row>
    <row r="35" spans="1:31" ht="15" customHeight="1">
      <c r="A35" s="145" t="s">
        <v>92</v>
      </c>
      <c r="B35" s="114" t="s">
        <v>248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276"/>
      <c r="Q35" s="123" t="s">
        <v>92</v>
      </c>
      <c r="R35" s="108" t="s">
        <v>248</v>
      </c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</row>
    <row r="36" spans="1:31" ht="15" customHeight="1">
      <c r="A36" s="150"/>
      <c r="B36" s="110" t="s">
        <v>262</v>
      </c>
      <c r="C36" s="125">
        <v>86185955</v>
      </c>
      <c r="D36" s="125">
        <v>3706875</v>
      </c>
      <c r="E36" s="125">
        <f>C36+D36</f>
        <v>89892830</v>
      </c>
      <c r="F36" s="125">
        <v>0</v>
      </c>
      <c r="G36" s="125">
        <f>E36+F36</f>
        <v>89892830</v>
      </c>
      <c r="H36" s="125">
        <v>0</v>
      </c>
      <c r="I36" s="125">
        <f>G36+H36</f>
        <v>89892830</v>
      </c>
      <c r="J36" s="125">
        <v>0</v>
      </c>
      <c r="K36" s="125">
        <f>I36+J36</f>
        <v>89892830</v>
      </c>
      <c r="L36" s="125">
        <v>-25243148</v>
      </c>
      <c r="M36" s="125">
        <f>K36+L36</f>
        <v>64649682</v>
      </c>
      <c r="N36" s="125">
        <v>-64381682</v>
      </c>
      <c r="O36" s="125">
        <f>M36+N36</f>
        <v>268000</v>
      </c>
      <c r="P36" s="276"/>
      <c r="Q36" s="123"/>
      <c r="R36" s="112" t="s">
        <v>343</v>
      </c>
      <c r="S36" s="125">
        <v>38100000</v>
      </c>
      <c r="T36" s="125">
        <v>4206875</v>
      </c>
      <c r="U36" s="125">
        <f>SUM(S36:T36)</f>
        <v>42306875</v>
      </c>
      <c r="V36" s="125">
        <v>0</v>
      </c>
      <c r="W36" s="125">
        <f>SUM(U36:V36)</f>
        <v>42306875</v>
      </c>
      <c r="X36" s="125">
        <v>-18850000</v>
      </c>
      <c r="Y36" s="125">
        <f>SUM(W36:X36)</f>
        <v>23456875</v>
      </c>
      <c r="Z36" s="125">
        <v>-2101369</v>
      </c>
      <c r="AA36" s="125">
        <f>SUM(Y36:Z36)</f>
        <v>21355506</v>
      </c>
      <c r="AB36" s="125">
        <v>16219747</v>
      </c>
      <c r="AC36" s="125">
        <f>SUM(AA36:AB36)</f>
        <v>37575253</v>
      </c>
      <c r="AD36" s="125">
        <v>2213964</v>
      </c>
      <c r="AE36" s="125">
        <f>SUM(AC36:AD36)</f>
        <v>39789217</v>
      </c>
    </row>
    <row r="37" spans="1:31" ht="15" customHeight="1">
      <c r="A37" s="150"/>
      <c r="B37" s="110" t="s">
        <v>263</v>
      </c>
      <c r="C37" s="125">
        <v>0</v>
      </c>
      <c r="D37" s="125">
        <v>0</v>
      </c>
      <c r="E37" s="125">
        <v>0</v>
      </c>
      <c r="F37" s="125">
        <v>0</v>
      </c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5">
        <v>11000</v>
      </c>
      <c r="O37" s="125">
        <f>M37+N37</f>
        <v>11000</v>
      </c>
      <c r="P37" s="276"/>
      <c r="Q37" s="123"/>
      <c r="R37" s="115" t="s">
        <v>344</v>
      </c>
      <c r="S37" s="125">
        <v>95154097</v>
      </c>
      <c r="T37" s="125">
        <v>0</v>
      </c>
      <c r="U37" s="125">
        <f>SUM(S37:T37)</f>
        <v>95154097</v>
      </c>
      <c r="V37" s="125">
        <v>-3717000</v>
      </c>
      <c r="W37" s="125">
        <f>SUM(U37:V37)</f>
        <v>91437097</v>
      </c>
      <c r="X37" s="125">
        <v>-1410000</v>
      </c>
      <c r="Y37" s="125">
        <f>SUM(W37:X37)</f>
        <v>90027097</v>
      </c>
      <c r="Z37" s="125">
        <v>-7551833</v>
      </c>
      <c r="AA37" s="125">
        <f>SUM(Y37:Z37)</f>
        <v>82475264</v>
      </c>
      <c r="AB37" s="125">
        <v>-10555264</v>
      </c>
      <c r="AC37" s="125">
        <f>SUM(AA37:AB37)</f>
        <v>71920000</v>
      </c>
      <c r="AD37" s="125">
        <v>-55000000</v>
      </c>
      <c r="AE37" s="125">
        <f>SUM(AC37:AD37)</f>
        <v>16920000</v>
      </c>
    </row>
    <row r="38" spans="1:31" ht="15" customHeight="1">
      <c r="A38" s="150"/>
      <c r="B38" s="110" t="s">
        <v>359</v>
      </c>
      <c r="C38" s="125">
        <v>0</v>
      </c>
      <c r="D38" s="125">
        <v>0</v>
      </c>
      <c r="E38" s="125"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f>M38+N38</f>
        <v>0</v>
      </c>
      <c r="P38" s="276"/>
      <c r="Q38" s="123"/>
      <c r="R38" s="115" t="s">
        <v>345</v>
      </c>
      <c r="S38" s="125">
        <v>550000</v>
      </c>
      <c r="T38" s="125">
        <v>0</v>
      </c>
      <c r="U38" s="125">
        <f>SUM(S38:T38)</f>
        <v>550000</v>
      </c>
      <c r="V38" s="125">
        <v>0</v>
      </c>
      <c r="W38" s="125">
        <f>SUM(U38:V38)</f>
        <v>550000</v>
      </c>
      <c r="X38" s="125">
        <v>38170301</v>
      </c>
      <c r="Y38" s="125">
        <f>SUM(W38:X38)</f>
        <v>38720301</v>
      </c>
      <c r="Z38" s="125">
        <v>411050</v>
      </c>
      <c r="AA38" s="125">
        <f>SUM(Y38:Z38)</f>
        <v>39131351</v>
      </c>
      <c r="AB38" s="125">
        <v>0</v>
      </c>
      <c r="AC38" s="125">
        <f>SUM(AA38:AB38)</f>
        <v>39131351</v>
      </c>
      <c r="AD38" s="125">
        <v>0</v>
      </c>
      <c r="AE38" s="125">
        <f>SUM(AC38:AD38)</f>
        <v>39131351</v>
      </c>
    </row>
    <row r="39" spans="1:31" ht="15" customHeight="1">
      <c r="A39" s="150"/>
      <c r="B39" s="119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283"/>
      <c r="Q39" s="123"/>
      <c r="R39" s="112" t="s">
        <v>346</v>
      </c>
      <c r="S39" s="125">
        <v>57879594</v>
      </c>
      <c r="T39" s="125">
        <v>-500000</v>
      </c>
      <c r="U39" s="125">
        <f>SUM(S39:T39)</f>
        <v>57379594</v>
      </c>
      <c r="V39" s="125">
        <v>0</v>
      </c>
      <c r="W39" s="125">
        <f>SUM(U39:V39)</f>
        <v>57379594</v>
      </c>
      <c r="X39" s="125">
        <v>-21110301</v>
      </c>
      <c r="Y39" s="125">
        <f>SUM(W39:X39)</f>
        <v>36269293</v>
      </c>
      <c r="Z39" s="125">
        <v>-778620</v>
      </c>
      <c r="AA39" s="125">
        <f>SUM(Y39:Z39)</f>
        <v>35490673</v>
      </c>
      <c r="AB39" s="125">
        <v>-4809208</v>
      </c>
      <c r="AC39" s="125">
        <f>SUM(AA39:AB39)</f>
        <v>30681465</v>
      </c>
      <c r="AD39" s="125">
        <v>-30681465</v>
      </c>
      <c r="AE39" s="125">
        <f>SUM(AC39:AD39)</f>
        <v>0</v>
      </c>
    </row>
    <row r="40" spans="1:31" ht="15" customHeight="1">
      <c r="A40" s="150"/>
      <c r="B40" s="119" t="s">
        <v>252</v>
      </c>
      <c r="C40" s="135">
        <f aca="true" t="shared" si="14" ref="C40:I40">SUM(C36:C38)</f>
        <v>86185955</v>
      </c>
      <c r="D40" s="135">
        <f t="shared" si="14"/>
        <v>3706875</v>
      </c>
      <c r="E40" s="135">
        <f t="shared" si="14"/>
        <v>89892830</v>
      </c>
      <c r="F40" s="135">
        <f t="shared" si="14"/>
        <v>0</v>
      </c>
      <c r="G40" s="135">
        <f t="shared" si="14"/>
        <v>89892830</v>
      </c>
      <c r="H40" s="135">
        <f t="shared" si="14"/>
        <v>0</v>
      </c>
      <c r="I40" s="135">
        <f t="shared" si="14"/>
        <v>89892830</v>
      </c>
      <c r="J40" s="135">
        <f aca="true" t="shared" si="15" ref="J40:O40">SUM(J36:J38)</f>
        <v>0</v>
      </c>
      <c r="K40" s="135">
        <f t="shared" si="15"/>
        <v>89892830</v>
      </c>
      <c r="L40" s="135">
        <f t="shared" si="15"/>
        <v>-25243148</v>
      </c>
      <c r="M40" s="135">
        <f t="shared" si="15"/>
        <v>64649682</v>
      </c>
      <c r="N40" s="135">
        <f t="shared" si="15"/>
        <v>-64370682</v>
      </c>
      <c r="O40" s="135">
        <f t="shared" si="15"/>
        <v>279000</v>
      </c>
      <c r="P40" s="283"/>
      <c r="Q40" s="124"/>
      <c r="R40" s="119" t="s">
        <v>252</v>
      </c>
      <c r="S40" s="151">
        <f aca="true" t="shared" si="16" ref="S40:Y40">SUM(S36:S39)</f>
        <v>191683691</v>
      </c>
      <c r="T40" s="151">
        <f t="shared" si="16"/>
        <v>3706875</v>
      </c>
      <c r="U40" s="151">
        <f t="shared" si="16"/>
        <v>195390566</v>
      </c>
      <c r="V40" s="151">
        <f t="shared" si="16"/>
        <v>-3717000</v>
      </c>
      <c r="W40" s="151">
        <f t="shared" si="16"/>
        <v>191673566</v>
      </c>
      <c r="X40" s="151">
        <f t="shared" si="16"/>
        <v>-3200000</v>
      </c>
      <c r="Y40" s="151">
        <f t="shared" si="16"/>
        <v>188473566</v>
      </c>
      <c r="Z40" s="151">
        <f aca="true" t="shared" si="17" ref="Z40:AE40">SUM(Z36:Z39)</f>
        <v>-10020772</v>
      </c>
      <c r="AA40" s="151">
        <f t="shared" si="17"/>
        <v>178452794</v>
      </c>
      <c r="AB40" s="151">
        <f t="shared" si="17"/>
        <v>855275</v>
      </c>
      <c r="AC40" s="151">
        <f t="shared" si="17"/>
        <v>179308069</v>
      </c>
      <c r="AD40" s="151">
        <f t="shared" si="17"/>
        <v>-83467501</v>
      </c>
      <c r="AE40" s="151">
        <f t="shared" si="17"/>
        <v>95840568</v>
      </c>
    </row>
    <row r="41" spans="1:31" ht="15" customHeight="1">
      <c r="A41" s="150"/>
      <c r="B41" s="119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283"/>
      <c r="Q41" s="124"/>
      <c r="R41" s="119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</row>
    <row r="42" spans="1:31" ht="15" customHeight="1">
      <c r="A42" s="225" t="s">
        <v>93</v>
      </c>
      <c r="B42" s="226" t="s">
        <v>253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284"/>
      <c r="Q42" s="123" t="s">
        <v>93</v>
      </c>
      <c r="R42" s="107" t="s">
        <v>253</v>
      </c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</row>
    <row r="43" spans="1:31" ht="15" customHeight="1">
      <c r="A43" s="227"/>
      <c r="B43" s="228" t="s">
        <v>342</v>
      </c>
      <c r="C43" s="125">
        <v>15000</v>
      </c>
      <c r="D43" s="125">
        <v>0</v>
      </c>
      <c r="E43" s="125">
        <v>15000</v>
      </c>
      <c r="F43" s="125">
        <v>0</v>
      </c>
      <c r="G43" s="125">
        <v>15000</v>
      </c>
      <c r="H43" s="125">
        <v>0</v>
      </c>
      <c r="I43" s="125">
        <v>15000</v>
      </c>
      <c r="J43" s="125">
        <v>0</v>
      </c>
      <c r="K43" s="125">
        <v>15000</v>
      </c>
      <c r="L43" s="125">
        <v>0</v>
      </c>
      <c r="M43" s="125">
        <v>15000</v>
      </c>
      <c r="N43" s="125">
        <v>-15000</v>
      </c>
      <c r="O43" s="125">
        <f>M43+N43</f>
        <v>0</v>
      </c>
      <c r="P43" s="276"/>
      <c r="Q43" s="123"/>
      <c r="R43" s="115" t="s">
        <v>425</v>
      </c>
      <c r="S43" s="125">
        <v>254000</v>
      </c>
      <c r="T43" s="125">
        <v>0</v>
      </c>
      <c r="U43" s="125">
        <v>254000</v>
      </c>
      <c r="V43" s="125">
        <v>0</v>
      </c>
      <c r="W43" s="125">
        <v>254000</v>
      </c>
      <c r="X43" s="125">
        <v>0</v>
      </c>
      <c r="Y43" s="125">
        <v>254000</v>
      </c>
      <c r="Z43" s="125">
        <v>0</v>
      </c>
      <c r="AA43" s="125">
        <v>254000</v>
      </c>
      <c r="AB43" s="125">
        <v>0</v>
      </c>
      <c r="AC43" s="125">
        <v>254000</v>
      </c>
      <c r="AD43" s="125">
        <v>-170000</v>
      </c>
      <c r="AE43" s="125">
        <f>AC43+AD43</f>
        <v>84000</v>
      </c>
    </row>
    <row r="44" spans="1:31" ht="15" customHeight="1">
      <c r="A44" s="227"/>
      <c r="B44" s="229" t="s">
        <v>254</v>
      </c>
      <c r="C44" s="132">
        <f aca="true" t="shared" si="18" ref="C44:I44">C43</f>
        <v>15000</v>
      </c>
      <c r="D44" s="132">
        <f t="shared" si="18"/>
        <v>0</v>
      </c>
      <c r="E44" s="132">
        <f t="shared" si="18"/>
        <v>15000</v>
      </c>
      <c r="F44" s="132">
        <f t="shared" si="18"/>
        <v>0</v>
      </c>
      <c r="G44" s="132">
        <f t="shared" si="18"/>
        <v>15000</v>
      </c>
      <c r="H44" s="132">
        <f t="shared" si="18"/>
        <v>0</v>
      </c>
      <c r="I44" s="132">
        <f t="shared" si="18"/>
        <v>15000</v>
      </c>
      <c r="J44" s="132">
        <f aca="true" t="shared" si="19" ref="J44:O44">J43</f>
        <v>0</v>
      </c>
      <c r="K44" s="132">
        <f t="shared" si="19"/>
        <v>15000</v>
      </c>
      <c r="L44" s="132">
        <f t="shared" si="19"/>
        <v>0</v>
      </c>
      <c r="M44" s="132">
        <f t="shared" si="19"/>
        <v>15000</v>
      </c>
      <c r="N44" s="132">
        <f t="shared" si="19"/>
        <v>-15000</v>
      </c>
      <c r="O44" s="132">
        <f t="shared" si="19"/>
        <v>0</v>
      </c>
      <c r="P44" s="285"/>
      <c r="Q44" s="123"/>
      <c r="R44" s="136" t="s">
        <v>284</v>
      </c>
      <c r="S44" s="132">
        <f aca="true" t="shared" si="20" ref="S44:Y44">SUM(S43)</f>
        <v>254000</v>
      </c>
      <c r="T44" s="132">
        <f t="shared" si="20"/>
        <v>0</v>
      </c>
      <c r="U44" s="132">
        <f t="shared" si="20"/>
        <v>254000</v>
      </c>
      <c r="V44" s="132">
        <f t="shared" si="20"/>
        <v>0</v>
      </c>
      <c r="W44" s="132">
        <f t="shared" si="20"/>
        <v>254000</v>
      </c>
      <c r="X44" s="132">
        <f t="shared" si="20"/>
        <v>0</v>
      </c>
      <c r="Y44" s="132">
        <f t="shared" si="20"/>
        <v>254000</v>
      </c>
      <c r="Z44" s="132">
        <f aca="true" t="shared" si="21" ref="Z44:AE44">SUM(Z43)</f>
        <v>0</v>
      </c>
      <c r="AA44" s="132">
        <f t="shared" si="21"/>
        <v>254000</v>
      </c>
      <c r="AB44" s="132">
        <f t="shared" si="21"/>
        <v>0</v>
      </c>
      <c r="AC44" s="132">
        <f t="shared" si="21"/>
        <v>254000</v>
      </c>
      <c r="AD44" s="132">
        <f t="shared" si="21"/>
        <v>-170000</v>
      </c>
      <c r="AE44" s="132">
        <f t="shared" si="21"/>
        <v>84000</v>
      </c>
    </row>
    <row r="45" spans="1:31" ht="15" customHeight="1">
      <c r="A45" s="227"/>
      <c r="B45" s="229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285"/>
      <c r="Q45" s="123"/>
      <c r="R45" s="136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</row>
    <row r="46" spans="1:31" ht="15" customHeight="1">
      <c r="A46" s="225" t="s">
        <v>94</v>
      </c>
      <c r="B46" s="226" t="s">
        <v>527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284"/>
      <c r="Q46" s="123" t="s">
        <v>94</v>
      </c>
      <c r="R46" s="107" t="s">
        <v>527</v>
      </c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</row>
    <row r="47" spans="1:31" ht="15" customHeight="1">
      <c r="A47" s="227"/>
      <c r="B47" s="228"/>
      <c r="C47" s="125"/>
      <c r="D47" s="125">
        <v>0</v>
      </c>
      <c r="E47" s="125">
        <v>15000</v>
      </c>
      <c r="F47" s="125">
        <v>0</v>
      </c>
      <c r="G47" s="125">
        <v>15000</v>
      </c>
      <c r="H47" s="125">
        <v>0</v>
      </c>
      <c r="I47" s="125">
        <v>15000</v>
      </c>
      <c r="J47" s="125">
        <v>0</v>
      </c>
      <c r="K47" s="125"/>
      <c r="L47" s="125"/>
      <c r="M47" s="125"/>
      <c r="N47" s="125"/>
      <c r="O47" s="125"/>
      <c r="P47" s="276"/>
      <c r="Q47" s="123"/>
      <c r="R47" s="115" t="s">
        <v>544</v>
      </c>
      <c r="S47" s="125">
        <v>0</v>
      </c>
      <c r="T47" s="125">
        <v>0</v>
      </c>
      <c r="U47" s="125">
        <v>254000</v>
      </c>
      <c r="V47" s="125">
        <v>0</v>
      </c>
      <c r="W47" s="125">
        <v>254000</v>
      </c>
      <c r="X47" s="125">
        <v>0</v>
      </c>
      <c r="Y47" s="125">
        <v>254000</v>
      </c>
      <c r="Z47" s="125">
        <v>0</v>
      </c>
      <c r="AA47" s="125">
        <v>0</v>
      </c>
      <c r="AB47" s="125">
        <v>50800</v>
      </c>
      <c r="AC47" s="125">
        <f>AB47</f>
        <v>50800</v>
      </c>
      <c r="AD47" s="125">
        <v>0</v>
      </c>
      <c r="AE47" s="125">
        <f>AC47</f>
        <v>50800</v>
      </c>
    </row>
    <row r="48" spans="1:31" ht="15" customHeight="1">
      <c r="A48" s="227"/>
      <c r="B48" s="229" t="s">
        <v>528</v>
      </c>
      <c r="C48" s="132">
        <f aca="true" t="shared" si="22" ref="C48:I48">C47</f>
        <v>0</v>
      </c>
      <c r="D48" s="132">
        <f t="shared" si="22"/>
        <v>0</v>
      </c>
      <c r="E48" s="132">
        <f t="shared" si="22"/>
        <v>15000</v>
      </c>
      <c r="F48" s="132">
        <f t="shared" si="22"/>
        <v>0</v>
      </c>
      <c r="G48" s="132">
        <f t="shared" si="22"/>
        <v>15000</v>
      </c>
      <c r="H48" s="132">
        <f t="shared" si="22"/>
        <v>0</v>
      </c>
      <c r="I48" s="132">
        <f t="shared" si="22"/>
        <v>15000</v>
      </c>
      <c r="J48" s="132">
        <f aca="true" t="shared" si="23" ref="J48:O48">J47</f>
        <v>0</v>
      </c>
      <c r="K48" s="132">
        <f t="shared" si="23"/>
        <v>0</v>
      </c>
      <c r="L48" s="132">
        <f t="shared" si="23"/>
        <v>0</v>
      </c>
      <c r="M48" s="132">
        <f t="shared" si="23"/>
        <v>0</v>
      </c>
      <c r="N48" s="132">
        <f t="shared" si="23"/>
        <v>0</v>
      </c>
      <c r="O48" s="132">
        <f t="shared" si="23"/>
        <v>0</v>
      </c>
      <c r="P48" s="285"/>
      <c r="Q48" s="123"/>
      <c r="R48" s="136" t="s">
        <v>528</v>
      </c>
      <c r="S48" s="132">
        <f aca="true" t="shared" si="24" ref="S48:Y48">SUM(S47)</f>
        <v>0</v>
      </c>
      <c r="T48" s="132">
        <f t="shared" si="24"/>
        <v>0</v>
      </c>
      <c r="U48" s="132">
        <f t="shared" si="24"/>
        <v>254000</v>
      </c>
      <c r="V48" s="132">
        <f t="shared" si="24"/>
        <v>0</v>
      </c>
      <c r="W48" s="132">
        <f t="shared" si="24"/>
        <v>254000</v>
      </c>
      <c r="X48" s="132">
        <f t="shared" si="24"/>
        <v>0</v>
      </c>
      <c r="Y48" s="132">
        <f t="shared" si="24"/>
        <v>254000</v>
      </c>
      <c r="Z48" s="132">
        <f aca="true" t="shared" si="25" ref="Z48:AE48">SUM(Z47)</f>
        <v>0</v>
      </c>
      <c r="AA48" s="132">
        <f t="shared" si="25"/>
        <v>0</v>
      </c>
      <c r="AB48" s="132">
        <f t="shared" si="25"/>
        <v>50800</v>
      </c>
      <c r="AC48" s="132">
        <f t="shared" si="25"/>
        <v>50800</v>
      </c>
      <c r="AD48" s="132">
        <f t="shared" si="25"/>
        <v>0</v>
      </c>
      <c r="AE48" s="132">
        <f t="shared" si="25"/>
        <v>50800</v>
      </c>
    </row>
    <row r="49" spans="1:31" ht="15" customHeight="1">
      <c r="A49" s="230"/>
      <c r="B49" s="229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285"/>
      <c r="Q49" s="123"/>
      <c r="R49" s="136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</row>
    <row r="50" spans="1:31" ht="15" customHeight="1">
      <c r="A50" s="585" t="s">
        <v>264</v>
      </c>
      <c r="B50" s="586"/>
      <c r="C50" s="128">
        <f aca="true" t="shared" si="26" ref="C50:J50">C40+C44</f>
        <v>86200955</v>
      </c>
      <c r="D50" s="128">
        <f t="shared" si="26"/>
        <v>3706875</v>
      </c>
      <c r="E50" s="128">
        <f t="shared" si="26"/>
        <v>89907830</v>
      </c>
      <c r="F50" s="128">
        <f t="shared" si="26"/>
        <v>0</v>
      </c>
      <c r="G50" s="128">
        <f t="shared" si="26"/>
        <v>89907830</v>
      </c>
      <c r="H50" s="128">
        <f t="shared" si="26"/>
        <v>0</v>
      </c>
      <c r="I50" s="128">
        <f t="shared" si="26"/>
        <v>89907830</v>
      </c>
      <c r="J50" s="128">
        <f t="shared" si="26"/>
        <v>0</v>
      </c>
      <c r="K50" s="128">
        <f>K40+K44+K48</f>
        <v>89907830</v>
      </c>
      <c r="L50" s="128">
        <f>L40+L44+L48</f>
        <v>-25243148</v>
      </c>
      <c r="M50" s="128">
        <f>M40+M44+M48</f>
        <v>64664682</v>
      </c>
      <c r="N50" s="128">
        <f>N40+N44+N48</f>
        <v>-64385682</v>
      </c>
      <c r="O50" s="128">
        <f>O40+O44+O48</f>
        <v>279000</v>
      </c>
      <c r="P50" s="279"/>
      <c r="Q50" s="587" t="s">
        <v>265</v>
      </c>
      <c r="R50" s="588"/>
      <c r="S50" s="132">
        <f aca="true" t="shared" si="27" ref="S50:Z50">S40+S44</f>
        <v>191937691</v>
      </c>
      <c r="T50" s="132">
        <f t="shared" si="27"/>
        <v>3706875</v>
      </c>
      <c r="U50" s="132">
        <f t="shared" si="27"/>
        <v>195644566</v>
      </c>
      <c r="V50" s="132">
        <f t="shared" si="27"/>
        <v>-3717000</v>
      </c>
      <c r="W50" s="132">
        <f t="shared" si="27"/>
        <v>191927566</v>
      </c>
      <c r="X50" s="132">
        <f t="shared" si="27"/>
        <v>-3200000</v>
      </c>
      <c r="Y50" s="132">
        <f t="shared" si="27"/>
        <v>188727566</v>
      </c>
      <c r="Z50" s="132">
        <f t="shared" si="27"/>
        <v>-10020772</v>
      </c>
      <c r="AA50" s="132">
        <f>AA40+AA44+AA48</f>
        <v>178706794</v>
      </c>
      <c r="AB50" s="132">
        <f>AB40+AB44+AB48</f>
        <v>906075</v>
      </c>
      <c r="AC50" s="132">
        <f>AC40+AC44+AC48</f>
        <v>179612869</v>
      </c>
      <c r="AD50" s="132">
        <f>AD40+AD44+AD48</f>
        <v>-83637501</v>
      </c>
      <c r="AE50" s="132">
        <f>AE40+AE44+AE48</f>
        <v>95975368</v>
      </c>
    </row>
    <row r="51" spans="1:31" ht="15" customHeight="1">
      <c r="A51" s="231"/>
      <c r="B51" s="232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280"/>
      <c r="Q51" s="105"/>
      <c r="R51" s="106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</row>
    <row r="52" spans="1:31" ht="15" customHeight="1">
      <c r="A52" s="589" t="s">
        <v>360</v>
      </c>
      <c r="B52" s="590"/>
      <c r="C52" s="591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592" t="s">
        <v>266</v>
      </c>
      <c r="R52" s="584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</row>
    <row r="53" spans="1:31" ht="15" customHeight="1">
      <c r="A53" s="225" t="s">
        <v>92</v>
      </c>
      <c r="B53" s="233" t="s">
        <v>248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280"/>
      <c r="Q53" s="123" t="s">
        <v>92</v>
      </c>
      <c r="R53" s="114" t="s">
        <v>248</v>
      </c>
      <c r="S53" s="131">
        <f aca="true" t="shared" si="28" ref="S53:AE55">SUM(S54:S54)</f>
        <v>0</v>
      </c>
      <c r="T53" s="131">
        <f t="shared" si="28"/>
        <v>0</v>
      </c>
      <c r="U53" s="131">
        <f t="shared" si="28"/>
        <v>0</v>
      </c>
      <c r="V53" s="131">
        <f t="shared" si="28"/>
        <v>0</v>
      </c>
      <c r="W53" s="131">
        <f t="shared" si="28"/>
        <v>0</v>
      </c>
      <c r="X53" s="131">
        <f t="shared" si="28"/>
        <v>0</v>
      </c>
      <c r="Y53" s="131">
        <f t="shared" si="28"/>
        <v>0</v>
      </c>
      <c r="Z53" s="131">
        <f t="shared" si="28"/>
        <v>0</v>
      </c>
      <c r="AA53" s="131">
        <f t="shared" si="28"/>
        <v>0</v>
      </c>
      <c r="AB53" s="131">
        <f t="shared" si="28"/>
        <v>0</v>
      </c>
      <c r="AC53" s="131">
        <f t="shared" si="28"/>
        <v>0</v>
      </c>
      <c r="AD53" s="131">
        <f t="shared" si="28"/>
        <v>0</v>
      </c>
      <c r="AE53" s="131">
        <f t="shared" si="28"/>
        <v>0</v>
      </c>
    </row>
    <row r="54" spans="1:31" ht="20.25" customHeight="1">
      <c r="A54" s="227"/>
      <c r="B54" s="223" t="s">
        <v>347</v>
      </c>
      <c r="C54" s="133">
        <v>88071346</v>
      </c>
      <c r="D54" s="133">
        <v>0</v>
      </c>
      <c r="E54" s="133">
        <v>88071346</v>
      </c>
      <c r="F54" s="133">
        <v>0</v>
      </c>
      <c r="G54" s="133">
        <v>88071346</v>
      </c>
      <c r="H54" s="133">
        <v>0</v>
      </c>
      <c r="I54" s="133">
        <v>88071346</v>
      </c>
      <c r="J54" s="133">
        <v>0</v>
      </c>
      <c r="K54" s="133">
        <v>88071346</v>
      </c>
      <c r="L54" s="133">
        <v>0</v>
      </c>
      <c r="M54" s="133">
        <v>88071346</v>
      </c>
      <c r="N54" s="133">
        <v>0</v>
      </c>
      <c r="O54" s="133">
        <v>88071346</v>
      </c>
      <c r="P54" s="286"/>
      <c r="Q54" s="123"/>
      <c r="R54" s="224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</row>
    <row r="55" spans="1:31" ht="15" customHeight="1">
      <c r="A55" s="225" t="s">
        <v>93</v>
      </c>
      <c r="B55" s="233" t="s">
        <v>253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280"/>
      <c r="Q55" s="123" t="s">
        <v>93</v>
      </c>
      <c r="R55" s="114" t="s">
        <v>253</v>
      </c>
      <c r="S55" s="131">
        <f t="shared" si="28"/>
        <v>0</v>
      </c>
      <c r="T55" s="131">
        <f t="shared" si="28"/>
        <v>0</v>
      </c>
      <c r="U55" s="131">
        <f t="shared" si="28"/>
        <v>0</v>
      </c>
      <c r="V55" s="131">
        <f t="shared" si="28"/>
        <v>0</v>
      </c>
      <c r="W55" s="131">
        <f t="shared" si="28"/>
        <v>0</v>
      </c>
      <c r="X55" s="131">
        <f t="shared" si="28"/>
        <v>0</v>
      </c>
      <c r="Y55" s="131">
        <f t="shared" si="28"/>
        <v>0</v>
      </c>
      <c r="Z55" s="131">
        <f t="shared" si="28"/>
        <v>0</v>
      </c>
      <c r="AA55" s="131">
        <f t="shared" si="28"/>
        <v>0</v>
      </c>
      <c r="AB55" s="131">
        <f t="shared" si="28"/>
        <v>0</v>
      </c>
      <c r="AC55" s="131">
        <f t="shared" si="28"/>
        <v>0</v>
      </c>
      <c r="AD55" s="131">
        <f t="shared" si="28"/>
        <v>0</v>
      </c>
      <c r="AE55" s="131">
        <f t="shared" si="28"/>
        <v>0</v>
      </c>
    </row>
    <row r="56" spans="1:31" ht="22.5" customHeight="1">
      <c r="A56" s="227"/>
      <c r="B56" s="234" t="s">
        <v>348</v>
      </c>
      <c r="C56" s="127">
        <v>2161479</v>
      </c>
      <c r="D56" s="127">
        <v>0</v>
      </c>
      <c r="E56" s="127">
        <v>2161479</v>
      </c>
      <c r="F56" s="127">
        <v>0</v>
      </c>
      <c r="G56" s="127">
        <v>2161479</v>
      </c>
      <c r="H56" s="127">
        <v>0</v>
      </c>
      <c r="I56" s="127">
        <v>2161479</v>
      </c>
      <c r="J56" s="127">
        <v>0</v>
      </c>
      <c r="K56" s="127">
        <v>2161479</v>
      </c>
      <c r="L56" s="127">
        <v>0</v>
      </c>
      <c r="M56" s="127">
        <v>2161479</v>
      </c>
      <c r="N56" s="127">
        <v>0</v>
      </c>
      <c r="O56" s="127">
        <f>M56+N56</f>
        <v>2161479</v>
      </c>
      <c r="P56" s="278"/>
      <c r="Q56" s="123"/>
      <c r="R56" s="111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</row>
    <row r="57" spans="1:31" ht="15" customHeight="1">
      <c r="A57" s="225" t="s">
        <v>94</v>
      </c>
      <c r="B57" s="226" t="s">
        <v>527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284"/>
      <c r="Q57" s="123" t="s">
        <v>94</v>
      </c>
      <c r="R57" s="107" t="s">
        <v>527</v>
      </c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</row>
    <row r="58" spans="1:31" ht="15" customHeight="1">
      <c r="A58" s="227"/>
      <c r="B58" s="229" t="s">
        <v>528</v>
      </c>
      <c r="C58" s="132">
        <v>0</v>
      </c>
      <c r="D58" s="132" t="e">
        <f>#REF!</f>
        <v>#REF!</v>
      </c>
      <c r="E58" s="132" t="e">
        <f>#REF!</f>
        <v>#REF!</v>
      </c>
      <c r="F58" s="132" t="e">
        <f>#REF!</f>
        <v>#REF!</v>
      </c>
      <c r="G58" s="132" t="e">
        <f>#REF!</f>
        <v>#REF!</v>
      </c>
      <c r="H58" s="132" t="e">
        <f>#REF!</f>
        <v>#REF!</v>
      </c>
      <c r="I58" s="132" t="e">
        <f>#REF!</f>
        <v>#REF!</v>
      </c>
      <c r="J58" s="132" t="e">
        <f>#REF!</f>
        <v>#REF!</v>
      </c>
      <c r="K58" s="132">
        <v>0</v>
      </c>
      <c r="L58" s="132">
        <v>0</v>
      </c>
      <c r="M58" s="132">
        <v>0</v>
      </c>
      <c r="N58" s="132">
        <v>0</v>
      </c>
      <c r="O58" s="132">
        <v>0</v>
      </c>
      <c r="P58" s="285"/>
      <c r="Q58" s="123"/>
      <c r="R58" s="136" t="s">
        <v>528</v>
      </c>
      <c r="S58" s="132">
        <v>0</v>
      </c>
      <c r="T58" s="132" t="e">
        <f>SUM(#REF!)</f>
        <v>#REF!</v>
      </c>
      <c r="U58" s="132" t="e">
        <f>SUM(#REF!)</f>
        <v>#REF!</v>
      </c>
      <c r="V58" s="132" t="e">
        <f>SUM(#REF!)</f>
        <v>#REF!</v>
      </c>
      <c r="W58" s="132" t="e">
        <f>SUM(#REF!)</f>
        <v>#REF!</v>
      </c>
      <c r="X58" s="132" t="e">
        <f>SUM(#REF!)</f>
        <v>#REF!</v>
      </c>
      <c r="Y58" s="132" t="e">
        <f>SUM(#REF!)</f>
        <v>#REF!</v>
      </c>
      <c r="Z58" s="132" t="e">
        <f>SUM(#REF!)</f>
        <v>#REF!</v>
      </c>
      <c r="AA58" s="132">
        <v>0</v>
      </c>
      <c r="AB58" s="132">
        <v>0</v>
      </c>
      <c r="AC58" s="132">
        <v>0</v>
      </c>
      <c r="AD58" s="132">
        <v>0</v>
      </c>
      <c r="AE58" s="132">
        <v>0</v>
      </c>
    </row>
    <row r="59" spans="1:31" ht="15" customHeight="1">
      <c r="A59" s="230"/>
      <c r="B59" s="229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285"/>
      <c r="Q59" s="134"/>
      <c r="R59" s="479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</row>
    <row r="60" spans="1:31" ht="15" customHeight="1">
      <c r="A60" s="573" t="s">
        <v>267</v>
      </c>
      <c r="B60" s="574"/>
      <c r="C60" s="128">
        <f aca="true" t="shared" si="29" ref="C60:J60">SUM(C54:C56)</f>
        <v>90232825</v>
      </c>
      <c r="D60" s="128">
        <f t="shared" si="29"/>
        <v>0</v>
      </c>
      <c r="E60" s="128">
        <f t="shared" si="29"/>
        <v>90232825</v>
      </c>
      <c r="F60" s="128">
        <f t="shared" si="29"/>
        <v>0</v>
      </c>
      <c r="G60" s="128">
        <f t="shared" si="29"/>
        <v>90232825</v>
      </c>
      <c r="H60" s="128">
        <f t="shared" si="29"/>
        <v>0</v>
      </c>
      <c r="I60" s="128">
        <f t="shared" si="29"/>
        <v>90232825</v>
      </c>
      <c r="J60" s="128">
        <f t="shared" si="29"/>
        <v>0</v>
      </c>
      <c r="K60" s="128">
        <f>K54+K56</f>
        <v>90232825</v>
      </c>
      <c r="L60" s="128">
        <f>L54+L56</f>
        <v>0</v>
      </c>
      <c r="M60" s="128">
        <f>M54+M56</f>
        <v>90232825</v>
      </c>
      <c r="N60" s="128">
        <f>N54+N56</f>
        <v>0</v>
      </c>
      <c r="O60" s="128">
        <f>O54+O56</f>
        <v>90232825</v>
      </c>
      <c r="P60" s="279"/>
      <c r="Q60" s="575" t="s">
        <v>266</v>
      </c>
      <c r="R60" s="576"/>
      <c r="S60" s="132">
        <f aca="true" t="shared" si="30" ref="S60:AC60">S53+S55</f>
        <v>0</v>
      </c>
      <c r="T60" s="132">
        <f t="shared" si="30"/>
        <v>0</v>
      </c>
      <c r="U60" s="132">
        <f t="shared" si="30"/>
        <v>0</v>
      </c>
      <c r="V60" s="132">
        <f t="shared" si="30"/>
        <v>0</v>
      </c>
      <c r="W60" s="132">
        <f t="shared" si="30"/>
        <v>0</v>
      </c>
      <c r="X60" s="132">
        <f t="shared" si="30"/>
        <v>0</v>
      </c>
      <c r="Y60" s="132">
        <f t="shared" si="30"/>
        <v>0</v>
      </c>
      <c r="Z60" s="132">
        <f t="shared" si="30"/>
        <v>0</v>
      </c>
      <c r="AA60" s="132">
        <f t="shared" si="30"/>
        <v>0</v>
      </c>
      <c r="AB60" s="132">
        <f t="shared" si="30"/>
        <v>0</v>
      </c>
      <c r="AC60" s="132">
        <f t="shared" si="30"/>
        <v>0</v>
      </c>
      <c r="AD60" s="132">
        <f>AD53+AD55</f>
        <v>0</v>
      </c>
      <c r="AE60" s="132">
        <f>AE53+AE55</f>
        <v>0</v>
      </c>
    </row>
    <row r="61" spans="1:31" ht="15" customHeight="1">
      <c r="A61" s="235"/>
      <c r="B61" s="236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280"/>
      <c r="Q61" s="134"/>
      <c r="R61" s="134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</row>
    <row r="62" spans="1:31" ht="15" customHeight="1">
      <c r="A62" s="577" t="s">
        <v>268</v>
      </c>
      <c r="B62" s="578"/>
      <c r="C62" s="249">
        <f aca="true" t="shared" si="31" ref="C62:M62">C50+C60</f>
        <v>176433780</v>
      </c>
      <c r="D62" s="249">
        <f t="shared" si="31"/>
        <v>3706875</v>
      </c>
      <c r="E62" s="249">
        <f t="shared" si="31"/>
        <v>180140655</v>
      </c>
      <c r="F62" s="249">
        <f t="shared" si="31"/>
        <v>0</v>
      </c>
      <c r="G62" s="249">
        <f t="shared" si="31"/>
        <v>180140655</v>
      </c>
      <c r="H62" s="249">
        <f t="shared" si="31"/>
        <v>0</v>
      </c>
      <c r="I62" s="249">
        <f t="shared" si="31"/>
        <v>180140655</v>
      </c>
      <c r="J62" s="249">
        <f t="shared" si="31"/>
        <v>0</v>
      </c>
      <c r="K62" s="249">
        <f t="shared" si="31"/>
        <v>180140655</v>
      </c>
      <c r="L62" s="249">
        <f t="shared" si="31"/>
        <v>-25243148</v>
      </c>
      <c r="M62" s="249">
        <f t="shared" si="31"/>
        <v>154897507</v>
      </c>
      <c r="N62" s="249">
        <f>N50+N60</f>
        <v>-64385682</v>
      </c>
      <c r="O62" s="249">
        <f>O50+O60</f>
        <v>90511825</v>
      </c>
      <c r="P62" s="287"/>
      <c r="Q62" s="579" t="s">
        <v>273</v>
      </c>
      <c r="R62" s="578"/>
      <c r="S62" s="148">
        <f aca="true" t="shared" si="32" ref="S62:AC62">S50+S60</f>
        <v>191937691</v>
      </c>
      <c r="T62" s="148">
        <f t="shared" si="32"/>
        <v>3706875</v>
      </c>
      <c r="U62" s="148">
        <f t="shared" si="32"/>
        <v>195644566</v>
      </c>
      <c r="V62" s="148">
        <f t="shared" si="32"/>
        <v>-3717000</v>
      </c>
      <c r="W62" s="148">
        <f t="shared" si="32"/>
        <v>191927566</v>
      </c>
      <c r="X62" s="148">
        <f t="shared" si="32"/>
        <v>-3200000</v>
      </c>
      <c r="Y62" s="148">
        <f t="shared" si="32"/>
        <v>188727566</v>
      </c>
      <c r="Z62" s="148">
        <f t="shared" si="32"/>
        <v>-10020772</v>
      </c>
      <c r="AA62" s="148">
        <f t="shared" si="32"/>
        <v>178706794</v>
      </c>
      <c r="AB62" s="148">
        <f t="shared" si="32"/>
        <v>906075</v>
      </c>
      <c r="AC62" s="148">
        <f t="shared" si="32"/>
        <v>179612869</v>
      </c>
      <c r="AD62" s="148">
        <f>AD50+AD60</f>
        <v>-83637501</v>
      </c>
      <c r="AE62" s="148">
        <f>AE50+AE60</f>
        <v>95975368</v>
      </c>
    </row>
    <row r="63" spans="1:31" ht="15" customHeight="1">
      <c r="A63" s="152"/>
      <c r="B63" s="123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280"/>
      <c r="Q63" s="134"/>
      <c r="R63" s="134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</row>
    <row r="64" spans="1:31" ht="15" customHeight="1" thickBot="1">
      <c r="A64" s="580" t="s">
        <v>269</v>
      </c>
      <c r="B64" s="581"/>
      <c r="C64" s="250">
        <f aca="true" t="shared" si="33" ref="C64:L64">C32+C62</f>
        <v>459880779</v>
      </c>
      <c r="D64" s="250">
        <f t="shared" si="33"/>
        <v>3706875</v>
      </c>
      <c r="E64" s="250">
        <f t="shared" si="33"/>
        <v>475654106</v>
      </c>
      <c r="F64" s="250">
        <f t="shared" si="33"/>
        <v>7746388</v>
      </c>
      <c r="G64" s="250">
        <f t="shared" si="33"/>
        <v>483400494</v>
      </c>
      <c r="H64" s="250">
        <f t="shared" si="33"/>
        <v>0</v>
      </c>
      <c r="I64" s="250">
        <f t="shared" si="33"/>
        <v>467460848</v>
      </c>
      <c r="J64" s="250">
        <f t="shared" si="33"/>
        <v>2544167</v>
      </c>
      <c r="K64" s="250">
        <f t="shared" si="33"/>
        <v>470005015</v>
      </c>
      <c r="L64" s="250">
        <f t="shared" si="33"/>
        <v>11934934</v>
      </c>
      <c r="M64" s="250">
        <f>M32+M62</f>
        <v>481939949</v>
      </c>
      <c r="N64" s="250">
        <f>N32+N62</f>
        <v>-45590108</v>
      </c>
      <c r="O64" s="250">
        <f>O32+O62</f>
        <v>436349841</v>
      </c>
      <c r="P64" s="474" t="s">
        <v>270</v>
      </c>
      <c r="Q64" s="475"/>
      <c r="R64" s="476"/>
      <c r="S64" s="250">
        <f aca="true" t="shared" si="34" ref="S64:AC64">S32+S62</f>
        <v>459880779</v>
      </c>
      <c r="T64" s="250">
        <f t="shared" si="34"/>
        <v>3706875</v>
      </c>
      <c r="U64" s="250">
        <f t="shared" si="34"/>
        <v>680766762</v>
      </c>
      <c r="V64" s="250">
        <f t="shared" si="34"/>
        <v>13428746</v>
      </c>
      <c r="W64" s="250">
        <f t="shared" si="34"/>
        <v>694195508</v>
      </c>
      <c r="X64" s="250">
        <f t="shared" si="34"/>
        <v>0</v>
      </c>
      <c r="Y64" s="250">
        <f t="shared" si="34"/>
        <v>467460848</v>
      </c>
      <c r="Z64" s="250">
        <f t="shared" si="34"/>
        <v>2544167</v>
      </c>
      <c r="AA64" s="250">
        <f t="shared" si="34"/>
        <v>470005015</v>
      </c>
      <c r="AB64" s="250">
        <f t="shared" si="34"/>
        <v>11934934</v>
      </c>
      <c r="AC64" s="250">
        <f t="shared" si="34"/>
        <v>481939949</v>
      </c>
      <c r="AD64" s="250">
        <f>AD32+AD62</f>
        <v>-45590108</v>
      </c>
      <c r="AE64" s="250">
        <f>AE32+AE62</f>
        <v>436349841</v>
      </c>
    </row>
    <row r="65" spans="1:31" ht="12.7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</row>
    <row r="66" spans="1:31" ht="12.75">
      <c r="A66" s="138"/>
      <c r="B66" s="139" t="s">
        <v>411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</row>
  </sheetData>
  <sheetProtection/>
  <mergeCells count="25">
    <mergeCell ref="A28:B28"/>
    <mergeCell ref="Q28:R28"/>
    <mergeCell ref="A4:B4"/>
    <mergeCell ref="A3:B3"/>
    <mergeCell ref="A6:C6"/>
    <mergeCell ref="A1:AE1"/>
    <mergeCell ref="A2:AE2"/>
    <mergeCell ref="Q6:S6"/>
    <mergeCell ref="Q52:R52"/>
    <mergeCell ref="A30:B30"/>
    <mergeCell ref="Q30:R30"/>
    <mergeCell ref="A32:B32"/>
    <mergeCell ref="Q32:R32"/>
    <mergeCell ref="A33:B33"/>
    <mergeCell ref="Q33:R33"/>
    <mergeCell ref="A60:B60"/>
    <mergeCell ref="Q60:R60"/>
    <mergeCell ref="A62:B62"/>
    <mergeCell ref="Q62:R62"/>
    <mergeCell ref="A64:B64"/>
    <mergeCell ref="A34:B34"/>
    <mergeCell ref="Q34:R34"/>
    <mergeCell ref="A50:B50"/>
    <mergeCell ref="Q50:R50"/>
    <mergeCell ref="A52:C5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80" zoomScalePageLayoutView="0" workbookViewId="0" topLeftCell="A1">
      <selection activeCell="A4" sqref="A4:B4"/>
    </sheetView>
  </sheetViews>
  <sheetFormatPr defaultColWidth="9.140625" defaultRowHeight="12.75"/>
  <cols>
    <col min="1" max="1" width="8.421875" style="359" customWidth="1"/>
    <col min="2" max="2" width="44.421875" style="359" customWidth="1"/>
    <col min="3" max="3" width="5.57421875" style="359" hidden="1" customWidth="1"/>
    <col min="4" max="4" width="14.7109375" style="359" customWidth="1"/>
    <col min="5" max="5" width="21.140625" style="359" customWidth="1"/>
    <col min="6" max="16384" width="9.140625" style="359" customWidth="1"/>
  </cols>
  <sheetData>
    <row r="1" spans="1:5" ht="15.75">
      <c r="A1" s="618" t="s">
        <v>480</v>
      </c>
      <c r="B1" s="618"/>
      <c r="C1" s="618"/>
      <c r="D1" s="618"/>
      <c r="E1" s="618"/>
    </row>
    <row r="2" spans="1:5" ht="15.75">
      <c r="A2" s="358"/>
      <c r="B2" s="358"/>
      <c r="C2" s="358"/>
      <c r="D2" s="358"/>
      <c r="E2" s="358"/>
    </row>
    <row r="3" spans="1:5" ht="12.75" customHeight="1">
      <c r="A3" s="360"/>
      <c r="B3" s="360"/>
      <c r="C3" s="360"/>
      <c r="D3" s="360"/>
      <c r="E3" s="361"/>
    </row>
    <row r="4" spans="1:5" ht="15" customHeight="1">
      <c r="A4" s="600" t="s">
        <v>630</v>
      </c>
      <c r="B4" s="600"/>
      <c r="C4" s="362"/>
      <c r="D4" s="362"/>
      <c r="E4" s="383" t="s">
        <v>319</v>
      </c>
    </row>
    <row r="5" spans="1:5" ht="15.75" thickBot="1">
      <c r="A5" s="599" t="s">
        <v>492</v>
      </c>
      <c r="B5" s="599"/>
      <c r="C5" s="362"/>
      <c r="D5" s="362"/>
      <c r="E5" s="362"/>
    </row>
    <row r="6" spans="1:5" ht="15.75" customHeight="1" thickBot="1">
      <c r="A6" s="619" t="s">
        <v>481</v>
      </c>
      <c r="B6" s="620" t="s">
        <v>482</v>
      </c>
      <c r="C6" s="620"/>
      <c r="D6" s="621" t="s">
        <v>612</v>
      </c>
      <c r="E6" s="620" t="s">
        <v>483</v>
      </c>
    </row>
    <row r="7" spans="1:5" ht="15.75" customHeight="1" thickBot="1">
      <c r="A7" s="619"/>
      <c r="B7" s="620"/>
      <c r="C7" s="620"/>
      <c r="D7" s="622"/>
      <c r="E7" s="620"/>
    </row>
    <row r="8" spans="1:5" ht="15.75" customHeight="1" thickBot="1">
      <c r="A8" s="619"/>
      <c r="B8" s="620"/>
      <c r="C8" s="620"/>
      <c r="D8" s="622"/>
      <c r="E8" s="620"/>
    </row>
    <row r="9" spans="1:5" ht="15.75" customHeight="1" thickBot="1">
      <c r="A9" s="619"/>
      <c r="B9" s="620"/>
      <c r="C9" s="620"/>
      <c r="D9" s="623"/>
      <c r="E9" s="620"/>
    </row>
    <row r="10" spans="1:5" s="368" customFormat="1" ht="27.75" customHeight="1">
      <c r="A10" s="363" t="s">
        <v>484</v>
      </c>
      <c r="B10" s="364" t="s">
        <v>546</v>
      </c>
      <c r="C10" s="365"/>
      <c r="D10" s="366">
        <f>SUM(D11:D14)</f>
        <v>0</v>
      </c>
      <c r="E10" s="367" t="s">
        <v>485</v>
      </c>
    </row>
    <row r="11" spans="1:5" s="368" customFormat="1" ht="27.75" customHeight="1">
      <c r="A11" s="369"/>
      <c r="B11" s="370" t="s">
        <v>486</v>
      </c>
      <c r="C11" s="371"/>
      <c r="D11" s="372">
        <v>0</v>
      </c>
      <c r="E11" s="373"/>
    </row>
    <row r="12" spans="1:5" s="368" customFormat="1" ht="27.75" customHeight="1">
      <c r="A12" s="369"/>
      <c r="B12" s="370" t="s">
        <v>487</v>
      </c>
      <c r="C12" s="371"/>
      <c r="D12" s="372">
        <v>0</v>
      </c>
      <c r="E12" s="373"/>
    </row>
    <row r="13" spans="1:5" s="368" customFormat="1" ht="27.75" customHeight="1">
      <c r="A13" s="369"/>
      <c r="B13" s="374" t="s">
        <v>370</v>
      </c>
      <c r="C13" s="371"/>
      <c r="D13" s="372">
        <v>0</v>
      </c>
      <c r="E13" s="373"/>
    </row>
    <row r="14" spans="1:5" s="368" customFormat="1" ht="27.75" customHeight="1">
      <c r="A14" s="369"/>
      <c r="B14" s="374" t="s">
        <v>488</v>
      </c>
      <c r="C14" s="371"/>
      <c r="D14" s="372">
        <v>0</v>
      </c>
      <c r="E14" s="373"/>
    </row>
    <row r="15" spans="1:5" s="368" customFormat="1" ht="27.75" customHeight="1">
      <c r="A15" s="363" t="s">
        <v>489</v>
      </c>
      <c r="B15" s="375" t="s">
        <v>490</v>
      </c>
      <c r="C15" s="376"/>
      <c r="D15" s="366">
        <v>0</v>
      </c>
      <c r="E15" s="367" t="s">
        <v>485</v>
      </c>
    </row>
    <row r="16" spans="1:5" ht="27.75" customHeight="1" thickBot="1">
      <c r="A16" s="377"/>
      <c r="B16" s="378" t="s">
        <v>491</v>
      </c>
      <c r="C16" s="379"/>
      <c r="D16" s="380">
        <f>D10+D15</f>
        <v>0</v>
      </c>
      <c r="E16" s="381"/>
    </row>
    <row r="17" spans="1:5" ht="16.5" customHeight="1">
      <c r="A17" s="382"/>
      <c r="B17" s="382"/>
      <c r="C17" s="382"/>
      <c r="D17" s="382"/>
      <c r="E17" s="382"/>
    </row>
  </sheetData>
  <sheetProtection/>
  <mergeCells count="8">
    <mergeCell ref="A1:E1"/>
    <mergeCell ref="A6:A9"/>
    <mergeCell ref="B6:B9"/>
    <mergeCell ref="C6:C9"/>
    <mergeCell ref="D6:D9"/>
    <mergeCell ref="E6:E9"/>
    <mergeCell ref="A4:B4"/>
    <mergeCell ref="A5:B5"/>
  </mergeCells>
  <printOptions horizontalCentered="1"/>
  <pageMargins left="0.2362204724409449" right="0.2362204724409449" top="1.51" bottom="0.1968503937007874" header="0.94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80" zoomScaleNormal="80" zoomScaleSheetLayoutView="90" zoomScalePageLayoutView="0" workbookViewId="0" topLeftCell="A1">
      <selection activeCell="A3" sqref="A3:C3"/>
    </sheetView>
  </sheetViews>
  <sheetFormatPr defaultColWidth="9.140625" defaultRowHeight="12.75"/>
  <cols>
    <col min="1" max="1" width="3.00390625" style="153" customWidth="1"/>
    <col min="2" max="2" width="33.57421875" style="153" customWidth="1"/>
    <col min="3" max="3" width="14.7109375" style="153" customWidth="1"/>
    <col min="4" max="4" width="16.00390625" style="153" customWidth="1"/>
    <col min="5" max="5" width="16.28125" style="153" customWidth="1"/>
    <col min="6" max="6" width="16.00390625" style="153" customWidth="1"/>
    <col min="7" max="7" width="16.57421875" style="153" customWidth="1"/>
    <col min="8" max="8" width="16.8515625" style="153" customWidth="1"/>
    <col min="9" max="9" width="16.00390625" style="153" customWidth="1"/>
    <col min="10" max="10" width="15.57421875" style="153" customWidth="1"/>
    <col min="11" max="11" width="15.140625" style="153" customWidth="1"/>
    <col min="12" max="12" width="16.00390625" style="153" customWidth="1"/>
    <col min="13" max="13" width="16.57421875" style="153" customWidth="1"/>
    <col min="14" max="14" width="15.140625" style="153" customWidth="1"/>
    <col min="15" max="15" width="15.00390625" style="153" customWidth="1"/>
    <col min="16" max="16384" width="9.140625" style="153" customWidth="1"/>
  </cols>
  <sheetData>
    <row r="1" spans="1:20" s="198" customFormat="1" ht="15.75">
      <c r="A1" s="624" t="s">
        <v>614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205"/>
      <c r="Q1" s="205"/>
      <c r="R1" s="205"/>
      <c r="S1" s="205"/>
      <c r="T1" s="205"/>
    </row>
    <row r="2" spans="1:20" s="198" customFormat="1" ht="15.75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05"/>
      <c r="Q2" s="205"/>
      <c r="R2" s="205"/>
      <c r="S2" s="205"/>
      <c r="T2" s="205"/>
    </row>
    <row r="3" spans="1:15" s="198" customFormat="1" ht="15" customHeight="1">
      <c r="A3" s="600" t="s">
        <v>631</v>
      </c>
      <c r="B3" s="600"/>
      <c r="C3" s="600"/>
      <c r="D3" s="204"/>
      <c r="O3" s="206"/>
    </row>
    <row r="4" spans="1:15" s="198" customFormat="1" ht="15.75" customHeight="1">
      <c r="A4" s="626" t="s">
        <v>469</v>
      </c>
      <c r="B4" s="626"/>
      <c r="C4" s="626"/>
      <c r="D4" s="204"/>
      <c r="N4" s="625" t="s">
        <v>319</v>
      </c>
      <c r="O4" s="625"/>
    </row>
    <row r="5" spans="1:15" ht="27.75" customHeight="1">
      <c r="A5" s="165" t="s">
        <v>285</v>
      </c>
      <c r="B5" s="166" t="s">
        <v>193</v>
      </c>
      <c r="C5" s="166" t="s">
        <v>286</v>
      </c>
      <c r="D5" s="166" t="s">
        <v>287</v>
      </c>
      <c r="E5" s="166" t="s">
        <v>288</v>
      </c>
      <c r="F5" s="166" t="s">
        <v>289</v>
      </c>
      <c r="G5" s="166" t="s">
        <v>290</v>
      </c>
      <c r="H5" s="166" t="s">
        <v>291</v>
      </c>
      <c r="I5" s="166" t="s">
        <v>292</v>
      </c>
      <c r="J5" s="166" t="s">
        <v>293</v>
      </c>
      <c r="K5" s="166" t="s">
        <v>294</v>
      </c>
      <c r="L5" s="166" t="s">
        <v>295</v>
      </c>
      <c r="M5" s="166" t="s">
        <v>296</v>
      </c>
      <c r="N5" s="166" t="s">
        <v>297</v>
      </c>
      <c r="O5" s="166" t="s">
        <v>283</v>
      </c>
    </row>
    <row r="6" spans="1:15" ht="27.75" customHeight="1">
      <c r="A6" s="167"/>
      <c r="B6" s="168" t="s">
        <v>298</v>
      </c>
      <c r="C6" s="238">
        <v>98160037</v>
      </c>
      <c r="D6" s="238">
        <f>C28</f>
        <v>176118201</v>
      </c>
      <c r="E6" s="238">
        <f aca="true" t="shared" si="0" ref="E6:N6">D28</f>
        <v>167559720</v>
      </c>
      <c r="F6" s="238">
        <f t="shared" si="0"/>
        <v>186395090</v>
      </c>
      <c r="G6" s="238">
        <f t="shared" si="0"/>
        <v>173444776</v>
      </c>
      <c r="H6" s="238">
        <f t="shared" si="0"/>
        <v>165802296</v>
      </c>
      <c r="I6" s="238">
        <f t="shared" si="0"/>
        <v>116577906</v>
      </c>
      <c r="J6" s="238">
        <f t="shared" si="0"/>
        <v>108779426</v>
      </c>
      <c r="K6" s="238">
        <f t="shared" si="0"/>
        <v>62295644</v>
      </c>
      <c r="L6" s="238">
        <f t="shared" si="0"/>
        <v>113508164</v>
      </c>
      <c r="M6" s="238">
        <f t="shared" si="0"/>
        <v>101753881</v>
      </c>
      <c r="N6" s="238">
        <f t="shared" si="0"/>
        <v>92882023</v>
      </c>
      <c r="O6" s="254"/>
    </row>
    <row r="7" spans="1:15" ht="22.5" customHeight="1">
      <c r="A7" s="169" t="s">
        <v>114</v>
      </c>
      <c r="B7" s="170" t="s">
        <v>26</v>
      </c>
      <c r="C7" s="238">
        <v>2812648</v>
      </c>
      <c r="D7" s="238">
        <v>2812647</v>
      </c>
      <c r="E7" s="238">
        <v>2812648</v>
      </c>
      <c r="F7" s="238">
        <v>2812647</v>
      </c>
      <c r="G7" s="238">
        <v>2812648</v>
      </c>
      <c r="H7" s="238">
        <v>2812647</v>
      </c>
      <c r="I7" s="238">
        <v>2812648</v>
      </c>
      <c r="J7" s="238">
        <v>2812647</v>
      </c>
      <c r="K7" s="238">
        <v>2812648</v>
      </c>
      <c r="L7" s="238">
        <v>2812647</v>
      </c>
      <c r="M7" s="238">
        <v>2812648</v>
      </c>
      <c r="N7" s="238">
        <v>2812649</v>
      </c>
      <c r="O7" s="255">
        <f aca="true" t="shared" si="1" ref="O7:O13">SUM(C7:N7)</f>
        <v>33751772</v>
      </c>
    </row>
    <row r="8" spans="1:15" ht="21.75" customHeight="1">
      <c r="A8" s="169" t="s">
        <v>115</v>
      </c>
      <c r="B8" s="170" t="s">
        <v>15</v>
      </c>
      <c r="C8" s="238">
        <v>100000</v>
      </c>
      <c r="D8" s="238">
        <v>80000</v>
      </c>
      <c r="E8" s="238">
        <v>29500000</v>
      </c>
      <c r="F8" s="238">
        <v>670000</v>
      </c>
      <c r="G8" s="238">
        <v>500000</v>
      </c>
      <c r="H8" s="238">
        <v>50000</v>
      </c>
      <c r="I8" s="238">
        <v>50000</v>
      </c>
      <c r="J8" s="238">
        <v>50000</v>
      </c>
      <c r="K8" s="238">
        <v>60000000</v>
      </c>
      <c r="L8" s="238">
        <v>800000</v>
      </c>
      <c r="M8" s="238">
        <v>600000</v>
      </c>
      <c r="N8" s="238">
        <v>12423985</v>
      </c>
      <c r="O8" s="255">
        <f t="shared" si="1"/>
        <v>104823985</v>
      </c>
    </row>
    <row r="9" spans="1:15" ht="34.5" customHeight="1">
      <c r="A9" s="169" t="s">
        <v>116</v>
      </c>
      <c r="B9" s="170" t="s">
        <v>349</v>
      </c>
      <c r="C9" s="238">
        <v>16897800</v>
      </c>
      <c r="D9" s="238">
        <v>16897800</v>
      </c>
      <c r="E9" s="238">
        <v>16897800</v>
      </c>
      <c r="F9" s="238">
        <v>16897800</v>
      </c>
      <c r="G9" s="238">
        <v>16897800</v>
      </c>
      <c r="H9" s="238">
        <v>16897800</v>
      </c>
      <c r="I9" s="238">
        <v>16897800</v>
      </c>
      <c r="J9" s="238">
        <v>16897800</v>
      </c>
      <c r="K9" s="238">
        <v>16897800</v>
      </c>
      <c r="L9" s="238">
        <v>16897800</v>
      </c>
      <c r="M9" s="238">
        <v>16897800</v>
      </c>
      <c r="N9" s="238">
        <f>16897797-10083</f>
        <v>16887714</v>
      </c>
      <c r="O9" s="255">
        <f t="shared" si="1"/>
        <v>202763514</v>
      </c>
    </row>
    <row r="10" spans="1:15" ht="33.75" customHeight="1">
      <c r="A10" s="169" t="s">
        <v>117</v>
      </c>
      <c r="B10" s="170" t="s">
        <v>41</v>
      </c>
      <c r="C10" s="238"/>
      <c r="D10" s="238">
        <v>10000</v>
      </c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55">
        <f t="shared" si="1"/>
        <v>10000</v>
      </c>
    </row>
    <row r="11" spans="1:15" ht="33.75" customHeight="1">
      <c r="A11" s="169" t="s">
        <v>118</v>
      </c>
      <c r="B11" s="237" t="s">
        <v>39</v>
      </c>
      <c r="C11" s="238"/>
      <c r="D11" s="238"/>
      <c r="E11" s="238"/>
      <c r="F11" s="238"/>
      <c r="G11" s="238"/>
      <c r="H11" s="238"/>
      <c r="I11" s="238"/>
      <c r="J11" s="238"/>
      <c r="K11" s="238">
        <v>11000</v>
      </c>
      <c r="L11" s="238"/>
      <c r="M11" s="238"/>
      <c r="N11" s="238"/>
      <c r="O11" s="255">
        <f>SUM(C11:N11)</f>
        <v>11000</v>
      </c>
    </row>
    <row r="12" spans="1:15" ht="33.75" customHeight="1">
      <c r="A12" s="169" t="s">
        <v>119</v>
      </c>
      <c r="B12" s="237" t="s">
        <v>391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>
        <v>268000</v>
      </c>
      <c r="N12" s="238"/>
      <c r="O12" s="255">
        <f>SUM(C12:N12)</f>
        <v>268000</v>
      </c>
    </row>
    <row r="13" spans="1:15" ht="33" customHeight="1">
      <c r="A13" s="169" t="s">
        <v>120</v>
      </c>
      <c r="B13" s="237" t="s">
        <v>350</v>
      </c>
      <c r="C13" s="238">
        <v>90232825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55">
        <f t="shared" si="1"/>
        <v>90232825</v>
      </c>
    </row>
    <row r="14" spans="1:15" ht="33" customHeight="1">
      <c r="A14" s="169" t="s">
        <v>121</v>
      </c>
      <c r="B14" s="237" t="s">
        <v>615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>
        <f>4478662+10083</f>
        <v>4488745</v>
      </c>
      <c r="O14" s="255">
        <f>SUM(C14:N14)</f>
        <v>4488745</v>
      </c>
    </row>
    <row r="15" spans="1:15" s="196" customFormat="1" ht="27.75" customHeight="1">
      <c r="A15" s="193"/>
      <c r="B15" s="194" t="s">
        <v>299</v>
      </c>
      <c r="C15" s="195">
        <f>SUM(C7:C14)</f>
        <v>110043273</v>
      </c>
      <c r="D15" s="195">
        <f aca="true" t="shared" si="2" ref="D15:O15">SUM(D7:D14)</f>
        <v>19800447</v>
      </c>
      <c r="E15" s="195">
        <f t="shared" si="2"/>
        <v>49210448</v>
      </c>
      <c r="F15" s="195">
        <f t="shared" si="2"/>
        <v>20380447</v>
      </c>
      <c r="G15" s="195">
        <f t="shared" si="2"/>
        <v>20210448</v>
      </c>
      <c r="H15" s="195">
        <f t="shared" si="2"/>
        <v>19760447</v>
      </c>
      <c r="I15" s="195">
        <f t="shared" si="2"/>
        <v>19760448</v>
      </c>
      <c r="J15" s="195">
        <f t="shared" si="2"/>
        <v>19760447</v>
      </c>
      <c r="K15" s="195">
        <f t="shared" si="2"/>
        <v>79721448</v>
      </c>
      <c r="L15" s="195">
        <f t="shared" si="2"/>
        <v>20510447</v>
      </c>
      <c r="M15" s="195">
        <f t="shared" si="2"/>
        <v>20578448</v>
      </c>
      <c r="N15" s="195">
        <f t="shared" si="2"/>
        <v>36613093</v>
      </c>
      <c r="O15" s="195">
        <f t="shared" si="2"/>
        <v>436349841</v>
      </c>
    </row>
    <row r="16" spans="1:15" ht="27.75" customHeight="1">
      <c r="A16" s="167"/>
      <c r="B16" s="168" t="s">
        <v>98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54"/>
    </row>
    <row r="17" spans="1:15" ht="27.75" customHeight="1">
      <c r="A17" s="169" t="s">
        <v>122</v>
      </c>
      <c r="B17" s="171" t="s">
        <v>51</v>
      </c>
      <c r="C17" s="240">
        <v>9691294</v>
      </c>
      <c r="D17" s="240">
        <v>9691294</v>
      </c>
      <c r="E17" s="240">
        <v>9691294</v>
      </c>
      <c r="F17" s="240">
        <v>9691294</v>
      </c>
      <c r="G17" s="240">
        <v>9691294</v>
      </c>
      <c r="H17" s="240">
        <v>9691294</v>
      </c>
      <c r="I17" s="240">
        <v>9691294</v>
      </c>
      <c r="J17" s="240">
        <v>9691294</v>
      </c>
      <c r="K17" s="240">
        <v>9691294</v>
      </c>
      <c r="L17" s="240">
        <v>9691295</v>
      </c>
      <c r="M17" s="240">
        <v>9691296</v>
      </c>
      <c r="N17" s="240">
        <v>9691295</v>
      </c>
      <c r="O17" s="255">
        <f aca="true" t="shared" si="3" ref="O17:O24">SUM(C17:N17)</f>
        <v>116295532</v>
      </c>
    </row>
    <row r="18" spans="1:15" ht="27.75" customHeight="1">
      <c r="A18" s="169" t="s">
        <v>616</v>
      </c>
      <c r="B18" s="171" t="s">
        <v>300</v>
      </c>
      <c r="C18" s="240">
        <v>2005194</v>
      </c>
      <c r="D18" s="240">
        <v>2005194</v>
      </c>
      <c r="E18" s="240">
        <v>2005194</v>
      </c>
      <c r="F18" s="240">
        <v>2005194</v>
      </c>
      <c r="G18" s="240">
        <v>2005194</v>
      </c>
      <c r="H18" s="240">
        <v>2005194</v>
      </c>
      <c r="I18" s="240">
        <v>2005194</v>
      </c>
      <c r="J18" s="240">
        <v>2005194</v>
      </c>
      <c r="K18" s="240">
        <v>2005194</v>
      </c>
      <c r="L18" s="240">
        <v>2005194</v>
      </c>
      <c r="M18" s="240">
        <v>2005196</v>
      </c>
      <c r="N18" s="240">
        <f>2005195-10083</f>
        <v>1995112</v>
      </c>
      <c r="O18" s="255">
        <f>SUM(C18:N18)</f>
        <v>24052248</v>
      </c>
    </row>
    <row r="19" spans="1:15" ht="27.75" customHeight="1">
      <c r="A19" s="169" t="s">
        <v>196</v>
      </c>
      <c r="B19" s="172" t="s">
        <v>66</v>
      </c>
      <c r="C19" s="240">
        <v>10828916</v>
      </c>
      <c r="D19" s="240">
        <v>10828916</v>
      </c>
      <c r="E19" s="240">
        <v>10828916</v>
      </c>
      <c r="F19" s="240">
        <v>10828916</v>
      </c>
      <c r="G19" s="240">
        <v>10828916</v>
      </c>
      <c r="H19" s="240">
        <v>10828916</v>
      </c>
      <c r="I19" s="240">
        <v>10828916</v>
      </c>
      <c r="J19" s="240">
        <v>10828916</v>
      </c>
      <c r="K19" s="240">
        <v>10828916</v>
      </c>
      <c r="L19" s="240">
        <v>10828916</v>
      </c>
      <c r="M19" s="240">
        <v>10828914</v>
      </c>
      <c r="N19" s="240">
        <v>10828914</v>
      </c>
      <c r="O19" s="255">
        <f t="shared" si="3"/>
        <v>129946988</v>
      </c>
    </row>
    <row r="20" spans="1:15" ht="27.75" customHeight="1">
      <c r="A20" s="169" t="s">
        <v>197</v>
      </c>
      <c r="B20" s="173" t="s">
        <v>80</v>
      </c>
      <c r="C20" s="240">
        <v>300000</v>
      </c>
      <c r="D20" s="240">
        <v>50000</v>
      </c>
      <c r="E20" s="240">
        <v>50000</v>
      </c>
      <c r="F20" s="240">
        <f>50000</f>
        <v>50000</v>
      </c>
      <c r="G20" s="240">
        <v>90000</v>
      </c>
      <c r="H20" s="240">
        <v>50000</v>
      </c>
      <c r="I20" s="240">
        <v>50000</v>
      </c>
      <c r="J20" s="240">
        <v>825000</v>
      </c>
      <c r="K20" s="240">
        <v>1000000</v>
      </c>
      <c r="L20" s="240">
        <v>1400000</v>
      </c>
      <c r="M20" s="240">
        <v>800000</v>
      </c>
      <c r="N20" s="240">
        <v>1326150</v>
      </c>
      <c r="O20" s="255">
        <f t="shared" si="3"/>
        <v>5991150</v>
      </c>
    </row>
    <row r="21" spans="1:15" ht="27.75" customHeight="1">
      <c r="A21" s="169" t="s">
        <v>198</v>
      </c>
      <c r="B21" s="173" t="s">
        <v>243</v>
      </c>
      <c r="C21" s="240">
        <v>4983524</v>
      </c>
      <c r="D21" s="240">
        <v>4983524</v>
      </c>
      <c r="E21" s="240">
        <v>4983524</v>
      </c>
      <c r="F21" s="240">
        <v>4983524</v>
      </c>
      <c r="G21" s="240">
        <v>4983524</v>
      </c>
      <c r="H21" s="240">
        <v>4983524</v>
      </c>
      <c r="I21" s="240">
        <v>4983524</v>
      </c>
      <c r="J21" s="240">
        <v>4983524</v>
      </c>
      <c r="K21" s="240">
        <v>4983524</v>
      </c>
      <c r="L21" s="240">
        <v>4983525</v>
      </c>
      <c r="M21" s="240">
        <v>4983525</v>
      </c>
      <c r="N21" s="240">
        <v>4983525</v>
      </c>
      <c r="O21" s="255">
        <f t="shared" si="3"/>
        <v>59802291</v>
      </c>
    </row>
    <row r="22" spans="1:15" ht="27.75" customHeight="1">
      <c r="A22" s="169" t="s">
        <v>199</v>
      </c>
      <c r="B22" s="172" t="s">
        <v>83</v>
      </c>
      <c r="C22" s="240"/>
      <c r="D22" s="240"/>
      <c r="E22" s="240">
        <f>200000+400000+311150</f>
        <v>911150</v>
      </c>
      <c r="F22" s="240"/>
      <c r="G22" s="240">
        <v>254000</v>
      </c>
      <c r="H22" s="240">
        <v>33966692</v>
      </c>
      <c r="I22" s="240"/>
      <c r="J22" s="240"/>
      <c r="K22" s="240"/>
      <c r="L22" s="240">
        <f>1400000+50800</f>
        <v>1450800</v>
      </c>
      <c r="M22" s="240">
        <v>841375</v>
      </c>
      <c r="N22" s="240">
        <f>2000000+500000</f>
        <v>2500000</v>
      </c>
      <c r="O22" s="255">
        <f t="shared" si="3"/>
        <v>39924017</v>
      </c>
    </row>
    <row r="23" spans="1:15" ht="27.75" customHeight="1">
      <c r="A23" s="169" t="s">
        <v>201</v>
      </c>
      <c r="B23" s="172" t="s">
        <v>85</v>
      </c>
      <c r="C23" s="240"/>
      <c r="D23" s="240">
        <v>800000</v>
      </c>
      <c r="E23" s="240">
        <v>1905000</v>
      </c>
      <c r="F23" s="240">
        <v>5771833</v>
      </c>
      <c r="G23" s="240"/>
      <c r="H23" s="240">
        <f>15000000+200000-1060000-650000+300000-7551833</f>
        <v>6238167</v>
      </c>
      <c r="I23" s="240"/>
      <c r="J23" s="240"/>
      <c r="K23" s="240"/>
      <c r="L23" s="240">
        <v>1905000</v>
      </c>
      <c r="M23" s="240">
        <v>300000</v>
      </c>
      <c r="N23" s="240"/>
      <c r="O23" s="255">
        <f t="shared" si="3"/>
        <v>16920000</v>
      </c>
    </row>
    <row r="24" spans="1:15" ht="27.75" customHeight="1">
      <c r="A24" s="169" t="s">
        <v>202</v>
      </c>
      <c r="B24" s="172" t="s">
        <v>178</v>
      </c>
      <c r="C24" s="240"/>
      <c r="D24" s="240"/>
      <c r="E24" s="240"/>
      <c r="F24" s="240"/>
      <c r="G24" s="240"/>
      <c r="H24" s="240">
        <f>810000+411050</f>
        <v>1221050</v>
      </c>
      <c r="I24" s="240"/>
      <c r="J24" s="240">
        <v>37910301</v>
      </c>
      <c r="K24" s="240"/>
      <c r="L24" s="240"/>
      <c r="M24" s="240"/>
      <c r="N24" s="240"/>
      <c r="O24" s="255">
        <f t="shared" si="3"/>
        <v>39131351</v>
      </c>
    </row>
    <row r="25" spans="1:15" ht="27.75" customHeight="1">
      <c r="A25" s="169" t="s">
        <v>204</v>
      </c>
      <c r="B25" s="237" t="s">
        <v>301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55">
        <f>SUM(C25:N25)</f>
        <v>0</v>
      </c>
    </row>
    <row r="26" spans="1:15" ht="34.5" customHeight="1">
      <c r="A26" s="169" t="s">
        <v>206</v>
      </c>
      <c r="B26" s="237" t="s">
        <v>244</v>
      </c>
      <c r="C26" s="240">
        <v>4276181</v>
      </c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>
        <v>10083</v>
      </c>
      <c r="O26" s="255">
        <f>SUM(C26:N26)</f>
        <v>4286264</v>
      </c>
    </row>
    <row r="27" spans="1:15" s="196" customFormat="1" ht="27.75" customHeight="1">
      <c r="A27" s="193"/>
      <c r="B27" s="194" t="s">
        <v>302</v>
      </c>
      <c r="C27" s="195">
        <f>SUM(C17:C26)</f>
        <v>32085109</v>
      </c>
      <c r="D27" s="195">
        <f aca="true" t="shared" si="4" ref="D27:N27">SUM(D17:D26)</f>
        <v>28358928</v>
      </c>
      <c r="E27" s="195">
        <f t="shared" si="4"/>
        <v>30375078</v>
      </c>
      <c r="F27" s="195">
        <f t="shared" si="4"/>
        <v>33330761</v>
      </c>
      <c r="G27" s="195">
        <f t="shared" si="4"/>
        <v>27852928</v>
      </c>
      <c r="H27" s="195">
        <f t="shared" si="4"/>
        <v>68984837</v>
      </c>
      <c r="I27" s="195">
        <f t="shared" si="4"/>
        <v>27558928</v>
      </c>
      <c r="J27" s="195">
        <f t="shared" si="4"/>
        <v>66244229</v>
      </c>
      <c r="K27" s="195">
        <f t="shared" si="4"/>
        <v>28508928</v>
      </c>
      <c r="L27" s="195">
        <f t="shared" si="4"/>
        <v>32264730</v>
      </c>
      <c r="M27" s="195">
        <f t="shared" si="4"/>
        <v>29450306</v>
      </c>
      <c r="N27" s="195">
        <f t="shared" si="4"/>
        <v>31335079</v>
      </c>
      <c r="O27" s="256">
        <f>SUM(O17:O26)</f>
        <v>436349841</v>
      </c>
    </row>
    <row r="28" spans="1:15" ht="15.75">
      <c r="A28" s="167"/>
      <c r="B28" s="168" t="s">
        <v>303</v>
      </c>
      <c r="C28" s="174">
        <f>C6+C15-C27</f>
        <v>176118201</v>
      </c>
      <c r="D28" s="174">
        <f aca="true" t="shared" si="5" ref="D28:O28">D6+D15-D27</f>
        <v>167559720</v>
      </c>
      <c r="E28" s="174">
        <f t="shared" si="5"/>
        <v>186395090</v>
      </c>
      <c r="F28" s="174">
        <f t="shared" si="5"/>
        <v>173444776</v>
      </c>
      <c r="G28" s="174">
        <f t="shared" si="5"/>
        <v>165802296</v>
      </c>
      <c r="H28" s="174">
        <f t="shared" si="5"/>
        <v>116577906</v>
      </c>
      <c r="I28" s="174">
        <f t="shared" si="5"/>
        <v>108779426</v>
      </c>
      <c r="J28" s="174">
        <f t="shared" si="5"/>
        <v>62295644</v>
      </c>
      <c r="K28" s="174">
        <f t="shared" si="5"/>
        <v>113508164</v>
      </c>
      <c r="L28" s="174">
        <f t="shared" si="5"/>
        <v>101753881</v>
      </c>
      <c r="M28" s="174">
        <f t="shared" si="5"/>
        <v>92882023</v>
      </c>
      <c r="N28" s="174">
        <f t="shared" si="5"/>
        <v>98160037</v>
      </c>
      <c r="O28" s="174">
        <f t="shared" si="5"/>
        <v>0</v>
      </c>
    </row>
    <row r="29" spans="1:15" ht="15.75" hidden="1">
      <c r="A29" s="241"/>
      <c r="B29" s="242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1"/>
    </row>
    <row r="30" spans="5:14" ht="12.75" hidden="1">
      <c r="E30" s="153" t="s">
        <v>617</v>
      </c>
      <c r="F30" s="153" t="s">
        <v>398</v>
      </c>
      <c r="G30" s="153" t="s">
        <v>401</v>
      </c>
      <c r="H30" s="153" t="s">
        <v>395</v>
      </c>
      <c r="L30" s="153" t="s">
        <v>396</v>
      </c>
      <c r="M30" s="153" t="s">
        <v>415</v>
      </c>
      <c r="N30" s="153" t="s">
        <v>392</v>
      </c>
    </row>
    <row r="31" spans="3:14" ht="12.75" hidden="1">
      <c r="C31" s="197"/>
      <c r="D31" s="153" t="s">
        <v>393</v>
      </c>
      <c r="E31" s="197" t="s">
        <v>399</v>
      </c>
      <c r="F31" s="197" t="s">
        <v>400</v>
      </c>
      <c r="G31" s="197"/>
      <c r="I31" s="197" t="s">
        <v>495</v>
      </c>
      <c r="J31" s="197"/>
      <c r="K31" s="197"/>
      <c r="L31" s="153" t="s">
        <v>602</v>
      </c>
      <c r="M31" s="153" t="s">
        <v>600</v>
      </c>
      <c r="N31" s="197" t="s">
        <v>397</v>
      </c>
    </row>
    <row r="32" spans="5:13" ht="12.75" hidden="1">
      <c r="E32" s="197" t="s">
        <v>396</v>
      </c>
      <c r="F32" s="197"/>
      <c r="G32" s="197"/>
      <c r="H32" s="197" t="s">
        <v>394</v>
      </c>
      <c r="I32" s="197"/>
      <c r="K32" s="197"/>
      <c r="L32" s="197"/>
      <c r="M32" s="197"/>
    </row>
    <row r="33" spans="2:8" ht="22.5" customHeight="1" hidden="1">
      <c r="B33" s="154"/>
      <c r="E33" s="153" t="s">
        <v>603</v>
      </c>
      <c r="H33" s="153" t="s">
        <v>601</v>
      </c>
    </row>
    <row r="34" ht="12.75" hidden="1"/>
    <row r="35" ht="12.75" hidden="1"/>
    <row r="56" ht="15.75" customHeight="1"/>
  </sheetData>
  <sheetProtection/>
  <mergeCells count="4">
    <mergeCell ref="A1:O1"/>
    <mergeCell ref="N4:O4"/>
    <mergeCell ref="A3:C3"/>
    <mergeCell ref="A4:C4"/>
  </mergeCells>
  <printOptions horizontalCentered="1"/>
  <pageMargins left="0.15748031496062992" right="0.15748031496062992" top="0.8661417322834646" bottom="0.1968503937007874" header="0.35433070866141736" footer="0.1968503937007874"/>
  <pageSetup fitToHeight="1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">
      <selection activeCell="A5" sqref="A5:C5"/>
    </sheetView>
  </sheetViews>
  <sheetFormatPr defaultColWidth="8.00390625" defaultRowHeight="12.75"/>
  <cols>
    <col min="1" max="1" width="5.00390625" style="507" customWidth="1"/>
    <col min="2" max="2" width="54.140625" style="159" customWidth="1"/>
    <col min="3" max="3" width="19.421875" style="159" customWidth="1"/>
    <col min="4" max="4" width="15.140625" style="159" customWidth="1"/>
    <col min="5" max="16384" width="8.00390625" style="159" customWidth="1"/>
  </cols>
  <sheetData>
    <row r="1" spans="1:4" ht="40.5" customHeight="1">
      <c r="A1" s="480"/>
      <c r="B1" s="627" t="s">
        <v>547</v>
      </c>
      <c r="C1" s="627"/>
      <c r="D1" s="627"/>
    </row>
    <row r="2" spans="1:4" ht="40.5" customHeight="1">
      <c r="A2" s="480"/>
      <c r="B2" s="481"/>
      <c r="C2" s="481"/>
      <c r="D2" s="481"/>
    </row>
    <row r="3" spans="1:4" ht="15.75" customHeight="1">
      <c r="A3" s="480"/>
      <c r="B3" s="481"/>
      <c r="C3" s="628"/>
      <c r="D3" s="628"/>
    </row>
    <row r="4" spans="1:4" ht="15.75" customHeight="1">
      <c r="A4" s="600" t="s">
        <v>632</v>
      </c>
      <c r="B4" s="600"/>
      <c r="C4" s="600"/>
      <c r="D4" s="210"/>
    </row>
    <row r="5" spans="1:4" s="160" customFormat="1" ht="15.75" thickBot="1">
      <c r="A5" s="626" t="s">
        <v>589</v>
      </c>
      <c r="B5" s="626"/>
      <c r="C5" s="626"/>
      <c r="D5" s="207" t="s">
        <v>331</v>
      </c>
    </row>
    <row r="6" spans="1:4" s="487" customFormat="1" ht="57" customHeight="1" thickBot="1">
      <c r="A6" s="484" t="s">
        <v>548</v>
      </c>
      <c r="B6" s="485" t="s">
        <v>549</v>
      </c>
      <c r="C6" s="485" t="s">
        <v>613</v>
      </c>
      <c r="D6" s="486" t="s">
        <v>550</v>
      </c>
    </row>
    <row r="7" spans="1:4" s="487" customFormat="1" ht="13.5" customHeight="1" thickBot="1">
      <c r="A7" s="484" t="s">
        <v>92</v>
      </c>
      <c r="B7" s="485" t="s">
        <v>93</v>
      </c>
      <c r="C7" s="485" t="s">
        <v>94</v>
      </c>
      <c r="D7" s="486" t="s">
        <v>95</v>
      </c>
    </row>
    <row r="8" spans="1:4" ht="18" customHeight="1">
      <c r="A8" s="488" t="s">
        <v>114</v>
      </c>
      <c r="B8" s="489" t="s">
        <v>551</v>
      </c>
      <c r="C8" s="490">
        <v>164839</v>
      </c>
      <c r="D8" s="491">
        <v>0</v>
      </c>
    </row>
    <row r="9" spans="1:4" ht="18" customHeight="1">
      <c r="A9" s="492" t="s">
        <v>115</v>
      </c>
      <c r="B9" s="493" t="s">
        <v>552</v>
      </c>
      <c r="C9" s="494">
        <v>0</v>
      </c>
      <c r="D9" s="495">
        <v>0</v>
      </c>
    </row>
    <row r="10" spans="1:4" ht="18" customHeight="1">
      <c r="A10" s="492" t="s">
        <v>116</v>
      </c>
      <c r="B10" s="493" t="s">
        <v>553</v>
      </c>
      <c r="C10" s="494">
        <v>0</v>
      </c>
      <c r="D10" s="495">
        <v>0</v>
      </c>
    </row>
    <row r="11" spans="1:4" ht="18" customHeight="1">
      <c r="A11" s="492" t="s">
        <v>117</v>
      </c>
      <c r="B11" s="493" t="s">
        <v>554</v>
      </c>
      <c r="C11" s="494">
        <v>0</v>
      </c>
      <c r="D11" s="495">
        <v>0</v>
      </c>
    </row>
    <row r="12" spans="1:4" ht="18" customHeight="1">
      <c r="A12" s="492" t="s">
        <v>118</v>
      </c>
      <c r="B12" s="493" t="s">
        <v>555</v>
      </c>
      <c r="C12" s="494">
        <f>SUM(C13:C18)</f>
        <v>102172459</v>
      </c>
      <c r="D12" s="495">
        <v>0</v>
      </c>
    </row>
    <row r="13" spans="1:4" ht="18" customHeight="1">
      <c r="A13" s="492" t="s">
        <v>119</v>
      </c>
      <c r="B13" s="493" t="s">
        <v>556</v>
      </c>
      <c r="C13" s="494">
        <v>0</v>
      </c>
      <c r="D13" s="495">
        <v>0</v>
      </c>
    </row>
    <row r="14" spans="1:4" ht="18" customHeight="1">
      <c r="A14" s="492" t="s">
        <v>120</v>
      </c>
      <c r="B14" s="496" t="s">
        <v>557</v>
      </c>
      <c r="C14" s="494">
        <v>0</v>
      </c>
      <c r="D14" s="495">
        <v>0</v>
      </c>
    </row>
    <row r="15" spans="1:4" ht="18" customHeight="1">
      <c r="A15" s="492" t="s">
        <v>122</v>
      </c>
      <c r="B15" s="496" t="s">
        <v>558</v>
      </c>
      <c r="C15" s="494">
        <v>0</v>
      </c>
      <c r="D15" s="495">
        <v>0</v>
      </c>
    </row>
    <row r="16" spans="1:4" ht="18" customHeight="1">
      <c r="A16" s="492" t="s">
        <v>195</v>
      </c>
      <c r="B16" s="496" t="s">
        <v>559</v>
      </c>
      <c r="C16" s="494">
        <v>0</v>
      </c>
      <c r="D16" s="495">
        <v>0</v>
      </c>
    </row>
    <row r="17" spans="1:4" ht="18" customHeight="1">
      <c r="A17" s="492" t="s">
        <v>196</v>
      </c>
      <c r="B17" s="496" t="s">
        <v>560</v>
      </c>
      <c r="C17" s="494">
        <v>0</v>
      </c>
      <c r="D17" s="495">
        <v>0</v>
      </c>
    </row>
    <row r="18" spans="1:4" ht="22.5" customHeight="1">
      <c r="A18" s="492" t="s">
        <v>197</v>
      </c>
      <c r="B18" s="496" t="s">
        <v>561</v>
      </c>
      <c r="C18" s="494">
        <v>102172459</v>
      </c>
      <c r="D18" s="495">
        <v>0</v>
      </c>
    </row>
    <row r="19" spans="1:4" ht="18" customHeight="1">
      <c r="A19" s="492" t="s">
        <v>198</v>
      </c>
      <c r="B19" s="493" t="s">
        <v>562</v>
      </c>
      <c r="C19" s="494">
        <v>2588076</v>
      </c>
      <c r="D19" s="495">
        <v>0</v>
      </c>
    </row>
    <row r="20" spans="1:4" ht="18" customHeight="1">
      <c r="A20" s="492" t="s">
        <v>199</v>
      </c>
      <c r="B20" s="493" t="s">
        <v>563</v>
      </c>
      <c r="C20" s="494">
        <v>2438131</v>
      </c>
      <c r="D20" s="495">
        <v>0</v>
      </c>
    </row>
    <row r="21" spans="1:4" ht="18" customHeight="1">
      <c r="A21" s="492" t="s">
        <v>201</v>
      </c>
      <c r="B21" s="493" t="s">
        <v>564</v>
      </c>
      <c r="C21" s="494">
        <v>1200734</v>
      </c>
      <c r="D21" s="495">
        <v>0</v>
      </c>
    </row>
    <row r="22" spans="1:4" ht="18" customHeight="1">
      <c r="A22" s="492" t="s">
        <v>202</v>
      </c>
      <c r="B22" s="493" t="s">
        <v>565</v>
      </c>
      <c r="C22" s="494">
        <v>0</v>
      </c>
      <c r="D22" s="495">
        <v>0</v>
      </c>
    </row>
    <row r="23" spans="1:4" ht="18" customHeight="1">
      <c r="A23" s="492" t="s">
        <v>204</v>
      </c>
      <c r="B23" s="493" t="s">
        <v>566</v>
      </c>
      <c r="C23" s="494">
        <v>0</v>
      </c>
      <c r="D23" s="495">
        <v>0</v>
      </c>
    </row>
    <row r="24" spans="1:4" ht="18" customHeight="1">
      <c r="A24" s="492" t="s">
        <v>206</v>
      </c>
      <c r="B24" s="497"/>
      <c r="C24" s="498"/>
      <c r="D24" s="499"/>
    </row>
    <row r="25" spans="1:4" ht="18" customHeight="1">
      <c r="A25" s="492" t="s">
        <v>208</v>
      </c>
      <c r="B25" s="500"/>
      <c r="C25" s="498"/>
      <c r="D25" s="499"/>
    </row>
    <row r="26" spans="1:4" ht="18" customHeight="1" thickBot="1">
      <c r="A26" s="492" t="s">
        <v>209</v>
      </c>
      <c r="B26" s="500"/>
      <c r="C26" s="498"/>
      <c r="D26" s="499"/>
    </row>
    <row r="27" spans="1:4" ht="18" customHeight="1" thickBot="1">
      <c r="A27" s="501" t="s">
        <v>210</v>
      </c>
      <c r="B27" s="502" t="s">
        <v>533</v>
      </c>
      <c r="C27" s="503">
        <f>+C8+C9+C10+C11+C12+C19+C20+C21+C22+C23+C24+C25</f>
        <v>108564239</v>
      </c>
      <c r="D27" s="504">
        <f>SUM(D8:D23)</f>
        <v>0</v>
      </c>
    </row>
    <row r="28" spans="1:4" ht="8.25" customHeight="1">
      <c r="A28" s="505"/>
      <c r="B28" s="629"/>
      <c r="C28" s="629"/>
      <c r="D28" s="629"/>
    </row>
    <row r="29" spans="1:4" ht="12.75">
      <c r="A29" s="480"/>
      <c r="B29" s="506"/>
      <c r="C29" s="506"/>
      <c r="D29" s="506"/>
    </row>
  </sheetData>
  <sheetProtection/>
  <mergeCells count="5">
    <mergeCell ref="B1:D1"/>
    <mergeCell ref="C3:D3"/>
    <mergeCell ref="B28:D28"/>
    <mergeCell ref="A4:C4"/>
    <mergeCell ref="A5:C5"/>
  </mergeCells>
  <printOptions horizontalCentered="1"/>
  <pageMargins left="0.7874015748031497" right="0.7874015748031497" top="1.062992125984252" bottom="0.984251968503937" header="0.7874015748031497" footer="0.7874015748031497"/>
  <pageSetup fitToHeight="1" fitToWidth="1" horizontalDpi="600" verticalDpi="600" orientation="portrait" paperSize="9" scale="92" r:id="rId1"/>
  <headerFooter alignWithMargins="0">
    <oddHeader>&amp;R&amp;"Times New Roman CE,Dőlt"&amp;11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A5" sqref="A5:C5"/>
    </sheetView>
  </sheetViews>
  <sheetFormatPr defaultColWidth="8.00390625" defaultRowHeight="12.75"/>
  <cols>
    <col min="1" max="1" width="5.8515625" style="65" customWidth="1"/>
    <col min="2" max="2" width="42.57421875" style="63" customWidth="1"/>
    <col min="3" max="4" width="11.00390625" style="63" customWidth="1"/>
    <col min="5" max="5" width="13.00390625" style="63" customWidth="1"/>
    <col min="6" max="7" width="11.00390625" style="63" customWidth="1"/>
    <col min="8" max="8" width="14.7109375" style="63" customWidth="1"/>
    <col min="9" max="9" width="2.8515625" style="63" customWidth="1"/>
    <col min="10" max="16384" width="8.00390625" style="63" customWidth="1"/>
  </cols>
  <sheetData>
    <row r="2" spans="1:8" ht="39.75" customHeight="1">
      <c r="A2" s="633" t="s">
        <v>314</v>
      </c>
      <c r="B2" s="633"/>
      <c r="C2" s="633"/>
      <c r="D2" s="633"/>
      <c r="E2" s="633"/>
      <c r="F2" s="633"/>
      <c r="G2" s="633"/>
      <c r="H2" s="633"/>
    </row>
    <row r="3" spans="1:8" ht="12.75" customHeight="1">
      <c r="A3" s="267"/>
      <c r="B3" s="267"/>
      <c r="C3" s="267"/>
      <c r="D3" s="267"/>
      <c r="E3" s="267"/>
      <c r="F3" s="267"/>
      <c r="G3" s="267"/>
      <c r="H3" s="267"/>
    </row>
    <row r="4" spans="1:9" s="159" customFormat="1" ht="15.75" customHeight="1">
      <c r="A4" s="600" t="s">
        <v>633</v>
      </c>
      <c r="B4" s="600"/>
      <c r="C4" s="600"/>
      <c r="D4" s="210"/>
      <c r="G4" s="631"/>
      <c r="H4" s="631"/>
      <c r="I4" s="208"/>
    </row>
    <row r="5" spans="1:9" s="160" customFormat="1" ht="15.75" customHeight="1" thickBot="1">
      <c r="A5" s="626" t="s">
        <v>470</v>
      </c>
      <c r="B5" s="626"/>
      <c r="C5" s="626"/>
      <c r="D5" s="161"/>
      <c r="G5" s="630" t="s">
        <v>331</v>
      </c>
      <c r="H5" s="630"/>
      <c r="I5" s="207"/>
    </row>
    <row r="6" spans="1:8" s="155" customFormat="1" ht="26.25" customHeight="1">
      <c r="A6" s="639" t="s">
        <v>192</v>
      </c>
      <c r="B6" s="638" t="s">
        <v>305</v>
      </c>
      <c r="C6" s="642" t="s">
        <v>306</v>
      </c>
      <c r="D6" s="643" t="s">
        <v>371</v>
      </c>
      <c r="E6" s="638" t="s">
        <v>307</v>
      </c>
      <c r="F6" s="638"/>
      <c r="G6" s="638"/>
      <c r="H6" s="636" t="s">
        <v>283</v>
      </c>
    </row>
    <row r="7" spans="1:8" s="156" customFormat="1" ht="32.25" customHeight="1">
      <c r="A7" s="640"/>
      <c r="B7" s="641"/>
      <c r="C7" s="641"/>
      <c r="D7" s="644"/>
      <c r="E7" s="175" t="s">
        <v>332</v>
      </c>
      <c r="F7" s="175" t="s">
        <v>333</v>
      </c>
      <c r="G7" s="175" t="s">
        <v>351</v>
      </c>
      <c r="H7" s="637"/>
    </row>
    <row r="8" spans="1:8" s="157" customFormat="1" ht="12.75" customHeight="1">
      <c r="A8" s="158" t="s">
        <v>92</v>
      </c>
      <c r="B8" s="176" t="s">
        <v>93</v>
      </c>
      <c r="C8" s="176" t="s">
        <v>94</v>
      </c>
      <c r="D8" s="176" t="s">
        <v>95</v>
      </c>
      <c r="E8" s="176" t="s">
        <v>96</v>
      </c>
      <c r="F8" s="176" t="s">
        <v>304</v>
      </c>
      <c r="G8" s="176" t="s">
        <v>308</v>
      </c>
      <c r="H8" s="177" t="s">
        <v>318</v>
      </c>
    </row>
    <row r="9" spans="1:8" ht="24.75" customHeight="1">
      <c r="A9" s="158" t="s">
        <v>114</v>
      </c>
      <c r="B9" s="178" t="s">
        <v>309</v>
      </c>
      <c r="C9" s="179"/>
      <c r="D9" s="179"/>
      <c r="E9" s="180">
        <v>0</v>
      </c>
      <c r="F9" s="180">
        <v>0</v>
      </c>
      <c r="G9" s="180">
        <v>0</v>
      </c>
      <c r="H9" s="181">
        <v>0</v>
      </c>
    </row>
    <row r="10" spans="1:9" ht="25.5" customHeight="1">
      <c r="A10" s="158" t="s">
        <v>115</v>
      </c>
      <c r="B10" s="178" t="s">
        <v>310</v>
      </c>
      <c r="C10" s="187"/>
      <c r="D10" s="163"/>
      <c r="E10" s="180">
        <v>0</v>
      </c>
      <c r="F10" s="180">
        <v>0</v>
      </c>
      <c r="G10" s="180">
        <v>0</v>
      </c>
      <c r="H10" s="181">
        <v>0</v>
      </c>
      <c r="I10" s="632"/>
    </row>
    <row r="11" spans="1:9" ht="19.5" customHeight="1">
      <c r="A11" s="158" t="s">
        <v>116</v>
      </c>
      <c r="B11" s="178" t="s">
        <v>311</v>
      </c>
      <c r="C11" s="187" t="s">
        <v>332</v>
      </c>
      <c r="D11" s="182">
        <v>0</v>
      </c>
      <c r="E11" s="183">
        <f>+E12</f>
        <v>39789217</v>
      </c>
      <c r="F11" s="183">
        <f>+F12</f>
        <v>0</v>
      </c>
      <c r="G11" s="183">
        <f>+G12</f>
        <v>0</v>
      </c>
      <c r="H11" s="184">
        <f>SUM(E11:G11)</f>
        <v>39789217</v>
      </c>
      <c r="I11" s="632"/>
    </row>
    <row r="12" spans="1:9" ht="19.5" customHeight="1">
      <c r="A12" s="158" t="s">
        <v>117</v>
      </c>
      <c r="B12" s="185" t="s">
        <v>592</v>
      </c>
      <c r="C12" s="187"/>
      <c r="D12" s="163"/>
      <c r="E12" s="164">
        <v>39789217</v>
      </c>
      <c r="F12" s="164">
        <v>0</v>
      </c>
      <c r="G12" s="164">
        <v>0</v>
      </c>
      <c r="H12" s="181">
        <f>SUM(E12:G12)</f>
        <v>39789217</v>
      </c>
      <c r="I12" s="632"/>
    </row>
    <row r="13" spans="1:9" ht="19.5" customHeight="1">
      <c r="A13" s="158" t="s">
        <v>118</v>
      </c>
      <c r="B13" s="178" t="s">
        <v>312</v>
      </c>
      <c r="C13" s="187" t="s">
        <v>332</v>
      </c>
      <c r="D13" s="182">
        <v>0</v>
      </c>
      <c r="E13" s="183">
        <f>+E14</f>
        <v>16920000</v>
      </c>
      <c r="F13" s="183">
        <f>+F14</f>
        <v>0</v>
      </c>
      <c r="G13" s="183">
        <f>+G14</f>
        <v>0</v>
      </c>
      <c r="H13" s="184">
        <f>SUM(E13:G13)</f>
        <v>16920000</v>
      </c>
      <c r="I13" s="632"/>
    </row>
    <row r="14" spans="1:9" ht="19.5" customHeight="1">
      <c r="A14" s="158" t="s">
        <v>119</v>
      </c>
      <c r="B14" s="185" t="s">
        <v>593</v>
      </c>
      <c r="C14" s="187"/>
      <c r="D14" s="163"/>
      <c r="E14" s="164">
        <v>16920000</v>
      </c>
      <c r="F14" s="164">
        <v>0</v>
      </c>
      <c r="G14" s="164">
        <v>0</v>
      </c>
      <c r="H14" s="181">
        <f>SUM(E14:G14)</f>
        <v>16920000</v>
      </c>
      <c r="I14" s="632"/>
    </row>
    <row r="15" spans="1:9" ht="19.5" customHeight="1">
      <c r="A15" s="158" t="s">
        <v>120</v>
      </c>
      <c r="B15" s="186" t="s">
        <v>313</v>
      </c>
      <c r="C15" s="182"/>
      <c r="D15" s="182"/>
      <c r="E15" s="183">
        <f>+E17+E16</f>
        <v>5366264</v>
      </c>
      <c r="F15" s="183">
        <f>+F17+F16</f>
        <v>1400000</v>
      </c>
      <c r="G15" s="183">
        <f>+G17+G16</f>
        <v>1600000</v>
      </c>
      <c r="H15" s="184">
        <f>H16+H17</f>
        <v>8366264</v>
      </c>
      <c r="I15" s="632"/>
    </row>
    <row r="16" spans="1:9" ht="19.5" customHeight="1">
      <c r="A16" s="158" t="s">
        <v>121</v>
      </c>
      <c r="B16" s="186" t="s">
        <v>316</v>
      </c>
      <c r="C16" s="187" t="s">
        <v>317</v>
      </c>
      <c r="D16" s="187">
        <v>2660000</v>
      </c>
      <c r="E16" s="188">
        <v>1080000</v>
      </c>
      <c r="F16" s="188">
        <v>1400000</v>
      </c>
      <c r="G16" s="188">
        <v>1600000</v>
      </c>
      <c r="H16" s="189">
        <f>SUM(E16:G16)</f>
        <v>4080000</v>
      </c>
      <c r="I16" s="632"/>
    </row>
    <row r="17" spans="1:9" ht="19.5" customHeight="1">
      <c r="A17" s="158" t="s">
        <v>122</v>
      </c>
      <c r="B17" s="185" t="s">
        <v>315</v>
      </c>
      <c r="C17" s="163" t="s">
        <v>332</v>
      </c>
      <c r="D17" s="163">
        <v>0</v>
      </c>
      <c r="E17" s="164">
        <v>4286264</v>
      </c>
      <c r="F17" s="164">
        <v>0</v>
      </c>
      <c r="G17" s="164">
        <v>0</v>
      </c>
      <c r="H17" s="181">
        <f>SUM(E17:G17)</f>
        <v>4286264</v>
      </c>
      <c r="I17" s="632"/>
    </row>
    <row r="18" spans="1:9" s="162" customFormat="1" ht="19.5" customHeight="1" thickBot="1">
      <c r="A18" s="634" t="s">
        <v>372</v>
      </c>
      <c r="B18" s="635"/>
      <c r="C18" s="190"/>
      <c r="D18" s="190"/>
      <c r="E18" s="191">
        <f>+E9+E10+E11+E13+E15</f>
        <v>62075481</v>
      </c>
      <c r="F18" s="191">
        <f>+F9+F10+F11+F13+F15</f>
        <v>1400000</v>
      </c>
      <c r="G18" s="191">
        <f>+G9+G10+G11+G13+G15</f>
        <v>1600000</v>
      </c>
      <c r="H18" s="192">
        <f>+H9+H10+H11+H13+H15</f>
        <v>65075481</v>
      </c>
      <c r="I18" s="632"/>
    </row>
  </sheetData>
  <sheetProtection/>
  <mergeCells count="13">
    <mergeCell ref="D6:D7"/>
    <mergeCell ref="A5:C5"/>
    <mergeCell ref="A4:C4"/>
    <mergeCell ref="G5:H5"/>
    <mergeCell ref="G4:H4"/>
    <mergeCell ref="I10:I18"/>
    <mergeCell ref="A2:H2"/>
    <mergeCell ref="A18:B18"/>
    <mergeCell ref="H6:H7"/>
    <mergeCell ref="E6:G6"/>
    <mergeCell ref="A6:A7"/>
    <mergeCell ref="B6:B7"/>
    <mergeCell ref="C6:C7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="120" zoomScaleNormal="120" zoomScalePageLayoutView="0" workbookViewId="0" topLeftCell="A22">
      <selection activeCell="G34" sqref="G34"/>
    </sheetView>
  </sheetViews>
  <sheetFormatPr defaultColWidth="8.00390625" defaultRowHeight="12.75"/>
  <cols>
    <col min="1" max="1" width="4.8515625" style="513" customWidth="1"/>
    <col min="2" max="2" width="30.57421875" style="513" customWidth="1"/>
    <col min="3" max="3" width="11.140625" style="513" customWidth="1"/>
    <col min="4" max="5" width="12.00390625" style="513" customWidth="1"/>
    <col min="6" max="6" width="12.57421875" style="513" customWidth="1"/>
    <col min="7" max="7" width="14.8515625" style="513" customWidth="1"/>
    <col min="8" max="16384" width="8.00390625" style="513" customWidth="1"/>
  </cols>
  <sheetData>
    <row r="1" spans="1:7" s="508" customFormat="1" ht="48.75" customHeight="1">
      <c r="A1" s="645" t="s">
        <v>567</v>
      </c>
      <c r="B1" s="645"/>
      <c r="C1" s="645"/>
      <c r="D1" s="645"/>
      <c r="E1" s="645"/>
      <c r="F1" s="645"/>
      <c r="G1" s="645"/>
    </row>
    <row r="2" spans="1:10" s="159" customFormat="1" ht="15.75" customHeight="1">
      <c r="A2" s="480"/>
      <c r="B2" s="481"/>
      <c r="C2" s="481"/>
      <c r="D2" s="628"/>
      <c r="E2" s="628"/>
      <c r="F2" s="631"/>
      <c r="G2" s="631"/>
      <c r="H2" s="478"/>
      <c r="J2" s="208"/>
    </row>
    <row r="3" spans="1:9" s="159" customFormat="1" ht="15.75" customHeight="1">
      <c r="A3" s="676" t="s">
        <v>590</v>
      </c>
      <c r="B3" s="676"/>
      <c r="C3" s="676"/>
      <c r="D3" s="210"/>
      <c r="G3" s="631"/>
      <c r="H3" s="631"/>
      <c r="I3" s="208"/>
    </row>
    <row r="4" spans="1:9" s="160" customFormat="1" ht="15.75" customHeight="1">
      <c r="A4" s="677" t="s">
        <v>591</v>
      </c>
      <c r="B4" s="677"/>
      <c r="C4" s="677"/>
      <c r="D4" s="161"/>
      <c r="F4" s="553"/>
      <c r="G4" s="509" t="s">
        <v>319</v>
      </c>
      <c r="H4" s="554"/>
      <c r="I4" s="207"/>
    </row>
    <row r="5" spans="1:10" s="160" customFormat="1" ht="15.75" customHeight="1">
      <c r="A5" s="482"/>
      <c r="B5" s="483"/>
      <c r="C5" s="483"/>
      <c r="D5" s="161"/>
      <c r="E5" s="207"/>
      <c r="F5" s="646"/>
      <c r="G5" s="646"/>
      <c r="H5" s="510"/>
      <c r="J5" s="207"/>
    </row>
    <row r="6" spans="1:8" ht="15.75" customHeight="1">
      <c r="A6" s="647" t="s">
        <v>568</v>
      </c>
      <c r="B6" s="647"/>
      <c r="C6" s="647"/>
      <c r="D6" s="647"/>
      <c r="E6" s="647"/>
      <c r="F6" s="647"/>
      <c r="G6" s="511"/>
      <c r="H6" s="512"/>
    </row>
    <row r="7" spans="1:8" ht="15.75" customHeight="1" thickBot="1">
      <c r="A7" s="514"/>
      <c r="B7" s="514"/>
      <c r="C7" s="514"/>
      <c r="D7" s="515"/>
      <c r="E7" s="515"/>
      <c r="F7" s="511"/>
      <c r="G7" s="511"/>
      <c r="H7" s="512"/>
    </row>
    <row r="8" spans="1:8" ht="22.5" customHeight="1">
      <c r="A8" s="516" t="s">
        <v>548</v>
      </c>
      <c r="B8" s="648" t="s">
        <v>569</v>
      </c>
      <c r="C8" s="648"/>
      <c r="D8" s="648"/>
      <c r="E8" s="648"/>
      <c r="F8" s="649" t="s">
        <v>570</v>
      </c>
      <c r="G8" s="650"/>
      <c r="H8" s="512"/>
    </row>
    <row r="9" spans="1:8" ht="15.75" customHeight="1">
      <c r="A9" s="517" t="s">
        <v>92</v>
      </c>
      <c r="B9" s="656" t="s">
        <v>93</v>
      </c>
      <c r="C9" s="656"/>
      <c r="D9" s="656"/>
      <c r="E9" s="656"/>
      <c r="F9" s="656" t="s">
        <v>94</v>
      </c>
      <c r="G9" s="657"/>
      <c r="H9" s="512"/>
    </row>
    <row r="10" spans="1:8" ht="15.75" customHeight="1">
      <c r="A10" s="517" t="s">
        <v>114</v>
      </c>
      <c r="B10" s="658"/>
      <c r="C10" s="658"/>
      <c r="D10" s="658"/>
      <c r="E10" s="658"/>
      <c r="F10" s="659"/>
      <c r="G10" s="660"/>
      <c r="H10" s="512"/>
    </row>
    <row r="11" spans="1:8" ht="15.75" customHeight="1">
      <c r="A11" s="517" t="s">
        <v>115</v>
      </c>
      <c r="B11" s="658"/>
      <c r="C11" s="658"/>
      <c r="D11" s="658"/>
      <c r="E11" s="658"/>
      <c r="F11" s="659"/>
      <c r="G11" s="660"/>
      <c r="H11" s="512"/>
    </row>
    <row r="12" spans="1:8" ht="15.75" customHeight="1">
      <c r="A12" s="517" t="s">
        <v>116</v>
      </c>
      <c r="B12" s="658"/>
      <c r="C12" s="658"/>
      <c r="D12" s="658"/>
      <c r="E12" s="658"/>
      <c r="F12" s="659"/>
      <c r="G12" s="660"/>
      <c r="H12" s="512"/>
    </row>
    <row r="13" spans="1:8" ht="25.5" customHeight="1" thickBot="1">
      <c r="A13" s="518" t="s">
        <v>117</v>
      </c>
      <c r="B13" s="667" t="s">
        <v>571</v>
      </c>
      <c r="C13" s="667"/>
      <c r="D13" s="667"/>
      <c r="E13" s="667"/>
      <c r="F13" s="668">
        <f>SUM(F10:F12)</f>
        <v>0</v>
      </c>
      <c r="G13" s="669"/>
      <c r="H13" s="512"/>
    </row>
    <row r="14" spans="1:8" ht="25.5" customHeight="1">
      <c r="A14" s="519"/>
      <c r="B14" s="520"/>
      <c r="C14" s="520"/>
      <c r="D14" s="520"/>
      <c r="E14" s="520"/>
      <c r="F14" s="521"/>
      <c r="G14" s="521"/>
      <c r="H14" s="512"/>
    </row>
    <row r="15" spans="1:8" ht="15.75" customHeight="1">
      <c r="A15" s="647" t="s">
        <v>572</v>
      </c>
      <c r="B15" s="647"/>
      <c r="C15" s="647"/>
      <c r="D15" s="647"/>
      <c r="E15" s="647"/>
      <c r="F15" s="647"/>
      <c r="G15" s="647"/>
      <c r="H15" s="512"/>
    </row>
    <row r="16" spans="1:8" ht="15.75" customHeight="1" thickBot="1">
      <c r="A16" s="514"/>
      <c r="B16" s="514"/>
      <c r="C16" s="514"/>
      <c r="D16" s="515"/>
      <c r="E16" s="515"/>
      <c r="F16" s="511"/>
      <c r="G16" s="511"/>
      <c r="H16" s="512"/>
    </row>
    <row r="17" spans="1:7" ht="15" customHeight="1">
      <c r="A17" s="670" t="s">
        <v>548</v>
      </c>
      <c r="B17" s="672" t="s">
        <v>573</v>
      </c>
      <c r="C17" s="651" t="s">
        <v>574</v>
      </c>
      <c r="D17" s="652"/>
      <c r="E17" s="652"/>
      <c r="F17" s="653"/>
      <c r="G17" s="654" t="s">
        <v>575</v>
      </c>
    </row>
    <row r="18" spans="1:7" ht="13.5" customHeight="1" thickBot="1">
      <c r="A18" s="671"/>
      <c r="B18" s="673"/>
      <c r="C18" s="522" t="s">
        <v>576</v>
      </c>
      <c r="D18" s="523" t="s">
        <v>333</v>
      </c>
      <c r="E18" s="523" t="s">
        <v>351</v>
      </c>
      <c r="F18" s="523" t="s">
        <v>577</v>
      </c>
      <c r="G18" s="655"/>
    </row>
    <row r="19" spans="1:7" ht="15.75" thickBot="1">
      <c r="A19" s="524" t="s">
        <v>92</v>
      </c>
      <c r="B19" s="525" t="s">
        <v>93</v>
      </c>
      <c r="C19" s="525" t="s">
        <v>94</v>
      </c>
      <c r="D19" s="525" t="s">
        <v>95</v>
      </c>
      <c r="E19" s="525" t="s">
        <v>96</v>
      </c>
      <c r="F19" s="525" t="s">
        <v>304</v>
      </c>
      <c r="G19" s="526" t="s">
        <v>308</v>
      </c>
    </row>
    <row r="20" spans="1:7" ht="15">
      <c r="A20" s="527" t="s">
        <v>114</v>
      </c>
      <c r="B20" s="528"/>
      <c r="C20" s="528"/>
      <c r="D20" s="529"/>
      <c r="E20" s="529"/>
      <c r="F20" s="529"/>
      <c r="G20" s="530">
        <f>SUM(D20:F20)</f>
        <v>0</v>
      </c>
    </row>
    <row r="21" spans="1:7" ht="15">
      <c r="A21" s="531" t="s">
        <v>115</v>
      </c>
      <c r="B21" s="532"/>
      <c r="C21" s="532"/>
      <c r="D21" s="533"/>
      <c r="E21" s="533"/>
      <c r="F21" s="533"/>
      <c r="G21" s="534">
        <f>SUM(D21:F21)</f>
        <v>0</v>
      </c>
    </row>
    <row r="22" spans="1:7" ht="15.75" thickBot="1">
      <c r="A22" s="531" t="s">
        <v>116</v>
      </c>
      <c r="B22" s="532"/>
      <c r="C22" s="532"/>
      <c r="D22" s="533"/>
      <c r="E22" s="533"/>
      <c r="F22" s="533"/>
      <c r="G22" s="534">
        <f>SUM(D22:F22)</f>
        <v>0</v>
      </c>
    </row>
    <row r="23" spans="1:7" s="539" customFormat="1" ht="15" thickBot="1">
      <c r="A23" s="535" t="s">
        <v>117</v>
      </c>
      <c r="B23" s="536" t="s">
        <v>578</v>
      </c>
      <c r="C23" s="536"/>
      <c r="D23" s="537">
        <f>SUM(D20:D22)</f>
        <v>0</v>
      </c>
      <c r="E23" s="537">
        <f>SUM(E20:E22)</f>
        <v>0</v>
      </c>
      <c r="F23" s="537">
        <f>SUM(F20:F22)</f>
        <v>0</v>
      </c>
      <c r="G23" s="538">
        <f>SUM(G20:G22)</f>
        <v>0</v>
      </c>
    </row>
    <row r="24" spans="1:7" s="539" customFormat="1" ht="14.25">
      <c r="A24" s="540"/>
      <c r="B24" s="541"/>
      <c r="C24" s="541"/>
      <c r="D24" s="542"/>
      <c r="E24" s="542"/>
      <c r="F24" s="542"/>
      <c r="G24" s="542"/>
    </row>
    <row r="25" spans="1:7" s="543" customFormat="1" ht="30.75" customHeight="1">
      <c r="A25" s="678" t="s">
        <v>579</v>
      </c>
      <c r="B25" s="678"/>
      <c r="C25" s="678"/>
      <c r="D25" s="678"/>
      <c r="E25" s="678"/>
      <c r="F25" s="678"/>
      <c r="G25" s="678"/>
    </row>
    <row r="26" ht="15.75" thickBot="1"/>
    <row r="27" spans="1:7" ht="32.25" thickBot="1">
      <c r="A27" s="544" t="s">
        <v>548</v>
      </c>
      <c r="B27" s="679" t="s">
        <v>580</v>
      </c>
      <c r="C27" s="679"/>
      <c r="D27" s="680"/>
      <c r="E27" s="680"/>
      <c r="F27" s="680"/>
      <c r="G27" s="544" t="s">
        <v>611</v>
      </c>
    </row>
    <row r="28" spans="1:7" ht="15">
      <c r="A28" s="545" t="s">
        <v>92</v>
      </c>
      <c r="B28" s="681" t="s">
        <v>93</v>
      </c>
      <c r="C28" s="681"/>
      <c r="D28" s="682"/>
      <c r="E28" s="682"/>
      <c r="F28" s="683"/>
      <c r="G28" s="545" t="s">
        <v>94</v>
      </c>
    </row>
    <row r="29" spans="1:7" ht="15">
      <c r="A29" s="546" t="s">
        <v>114</v>
      </c>
      <c r="B29" s="661" t="s">
        <v>581</v>
      </c>
      <c r="C29" s="662"/>
      <c r="D29" s="662"/>
      <c r="E29" s="662"/>
      <c r="F29" s="663"/>
      <c r="G29" s="547">
        <v>102172459</v>
      </c>
    </row>
    <row r="30" spans="1:7" ht="23.25" customHeight="1">
      <c r="A30" s="546" t="s">
        <v>115</v>
      </c>
      <c r="B30" s="664" t="s">
        <v>582</v>
      </c>
      <c r="C30" s="664"/>
      <c r="D30" s="665"/>
      <c r="E30" s="665"/>
      <c r="F30" s="666"/>
      <c r="G30" s="547">
        <v>3638865</v>
      </c>
    </row>
    <row r="31" spans="1:7" ht="15">
      <c r="A31" s="546" t="s">
        <v>116</v>
      </c>
      <c r="B31" s="664" t="s">
        <v>583</v>
      </c>
      <c r="C31" s="664"/>
      <c r="D31" s="665"/>
      <c r="E31" s="665"/>
      <c r="F31" s="666"/>
      <c r="G31" s="547">
        <v>0</v>
      </c>
    </row>
    <row r="32" spans="1:7" ht="30" customHeight="1">
      <c r="A32" s="546" t="s">
        <v>117</v>
      </c>
      <c r="B32" s="664" t="s">
        <v>584</v>
      </c>
      <c r="C32" s="664"/>
      <c r="D32" s="665"/>
      <c r="E32" s="665"/>
      <c r="F32" s="666"/>
      <c r="G32" s="547">
        <v>11000</v>
      </c>
    </row>
    <row r="33" spans="1:9" ht="15">
      <c r="A33" s="546" t="s">
        <v>118</v>
      </c>
      <c r="B33" s="664" t="s">
        <v>585</v>
      </c>
      <c r="C33" s="664"/>
      <c r="D33" s="665"/>
      <c r="E33" s="665"/>
      <c r="F33" s="666"/>
      <c r="G33" s="600" t="s">
        <v>634</v>
      </c>
      <c r="H33" s="600"/>
      <c r="I33" s="600"/>
    </row>
    <row r="34" spans="1:7" ht="17.25" customHeight="1" thickBot="1">
      <c r="A34" s="548" t="s">
        <v>119</v>
      </c>
      <c r="B34" s="674" t="s">
        <v>586</v>
      </c>
      <c r="C34" s="674"/>
      <c r="D34" s="674"/>
      <c r="E34" s="674"/>
      <c r="F34" s="674"/>
      <c r="G34" s="547">
        <v>0</v>
      </c>
    </row>
    <row r="35" spans="1:7" ht="29.25" customHeight="1" thickBot="1">
      <c r="A35" s="549" t="s">
        <v>587</v>
      </c>
      <c r="B35" s="550"/>
      <c r="C35" s="551"/>
      <c r="D35" s="551"/>
      <c r="E35" s="551"/>
      <c r="F35" s="551"/>
      <c r="G35" s="552">
        <f>SUM(G29:G34)</f>
        <v>105822324</v>
      </c>
    </row>
    <row r="36" spans="1:6" ht="27" customHeight="1">
      <c r="A36" s="675" t="s">
        <v>588</v>
      </c>
      <c r="B36" s="675"/>
      <c r="C36" s="675"/>
      <c r="D36" s="675"/>
      <c r="E36" s="675"/>
      <c r="F36" s="675"/>
    </row>
  </sheetData>
  <sheetProtection/>
  <mergeCells count="36">
    <mergeCell ref="G33:I33"/>
    <mergeCell ref="B32:F32"/>
    <mergeCell ref="B33:F33"/>
    <mergeCell ref="B34:F34"/>
    <mergeCell ref="A36:F36"/>
    <mergeCell ref="A3:C3"/>
    <mergeCell ref="G3:H3"/>
    <mergeCell ref="A4:C4"/>
    <mergeCell ref="A25:G25"/>
    <mergeCell ref="B27:F27"/>
    <mergeCell ref="B28:F28"/>
    <mergeCell ref="B29:F29"/>
    <mergeCell ref="B30:F30"/>
    <mergeCell ref="B31:F31"/>
    <mergeCell ref="B12:E12"/>
    <mergeCell ref="F12:G12"/>
    <mergeCell ref="B13:E13"/>
    <mergeCell ref="F13:G13"/>
    <mergeCell ref="A15:G15"/>
    <mergeCell ref="A17:A18"/>
    <mergeCell ref="B17:B18"/>
    <mergeCell ref="C17:F17"/>
    <mergeCell ref="G17:G18"/>
    <mergeCell ref="B9:E9"/>
    <mergeCell ref="F9:G9"/>
    <mergeCell ref="B10:E10"/>
    <mergeCell ref="F10:G10"/>
    <mergeCell ref="B11:E11"/>
    <mergeCell ref="F11:G11"/>
    <mergeCell ref="A1:G1"/>
    <mergeCell ref="D2:E2"/>
    <mergeCell ref="F2:G2"/>
    <mergeCell ref="F5:G5"/>
    <mergeCell ref="A6:F6"/>
    <mergeCell ref="B8:E8"/>
    <mergeCell ref="F8:G8"/>
  </mergeCells>
  <printOptions/>
  <pageMargins left="0.7874015748031497" right="0.7874015748031497" top="1.3779527559055118" bottom="0.984251968503937" header="0.7874015748031497" footer="0.7874015748031497"/>
  <pageSetup fitToHeight="1" fitToWidth="1"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A7" sqref="A7:B7"/>
    </sheetView>
  </sheetViews>
  <sheetFormatPr defaultColWidth="9.140625" defaultRowHeight="12.75"/>
  <cols>
    <col min="1" max="1" width="9.140625" style="386" customWidth="1"/>
    <col min="2" max="2" width="56.00390625" style="386" customWidth="1"/>
    <col min="3" max="4" width="16.7109375" style="386" hidden="1" customWidth="1"/>
    <col min="5" max="5" width="16.8515625" style="386" customWidth="1"/>
    <col min="6" max="6" width="15.8515625" style="386" hidden="1" customWidth="1"/>
    <col min="7" max="8" width="16.7109375" style="386" hidden="1" customWidth="1"/>
    <col min="9" max="9" width="16.57421875" style="386" customWidth="1"/>
    <col min="10" max="11" width="15.57421875" style="386" customWidth="1"/>
    <col min="12" max="12" width="17.57421875" style="386" customWidth="1"/>
    <col min="13" max="16384" width="9.140625" style="387" customWidth="1"/>
  </cols>
  <sheetData>
    <row r="1" spans="1:6" ht="12.75">
      <c r="A1" s="384"/>
      <c r="B1" s="385"/>
      <c r="C1" s="385"/>
      <c r="F1" s="385"/>
    </row>
    <row r="2" spans="1:12" s="390" customFormat="1" ht="20.25" customHeight="1">
      <c r="A2" s="608" t="s">
        <v>520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389"/>
    </row>
    <row r="3" spans="1:12" s="390" customFormat="1" ht="20.25" customHeight="1">
      <c r="A3" s="608"/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389"/>
    </row>
    <row r="4" spans="1:12" s="390" customFormat="1" ht="20.25">
      <c r="A4" s="608" t="s">
        <v>332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389"/>
    </row>
    <row r="5" spans="1:12" s="390" customFormat="1" ht="20.25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9"/>
    </row>
    <row r="6" spans="1:11" ht="20.25" customHeight="1">
      <c r="A6" s="600" t="s">
        <v>635</v>
      </c>
      <c r="B6" s="600"/>
      <c r="C6" s="600"/>
      <c r="D6" s="392"/>
      <c r="E6" s="393"/>
      <c r="F6" s="391"/>
      <c r="G6" s="392"/>
      <c r="H6" s="392"/>
      <c r="I6" s="393"/>
      <c r="J6" s="392"/>
      <c r="K6" s="393"/>
    </row>
    <row r="7" spans="1:11" ht="21" thickBot="1">
      <c r="A7" s="599" t="s">
        <v>522</v>
      </c>
      <c r="B7" s="599"/>
      <c r="C7" s="394"/>
      <c r="D7" s="609"/>
      <c r="E7" s="609"/>
      <c r="F7" s="394"/>
      <c r="G7" s="395" t="s">
        <v>319</v>
      </c>
      <c r="H7" s="395"/>
      <c r="I7" s="395"/>
      <c r="J7" s="395"/>
      <c r="K7" s="395" t="s">
        <v>319</v>
      </c>
    </row>
    <row r="8" spans="1:12" ht="45" customHeight="1" thickBot="1" thickTop="1">
      <c r="A8" s="397" t="s">
        <v>0</v>
      </c>
      <c r="B8" s="398" t="s">
        <v>498</v>
      </c>
      <c r="C8" s="399" t="s">
        <v>499</v>
      </c>
      <c r="D8" s="398" t="s">
        <v>500</v>
      </c>
      <c r="E8" s="398" t="s">
        <v>521</v>
      </c>
      <c r="F8" s="400" t="s">
        <v>416</v>
      </c>
      <c r="G8" s="398" t="s">
        <v>417</v>
      </c>
      <c r="H8" s="398" t="s">
        <v>539</v>
      </c>
      <c r="I8" s="398" t="s">
        <v>540</v>
      </c>
      <c r="J8" s="398" t="s">
        <v>606</v>
      </c>
      <c r="K8" s="398" t="s">
        <v>607</v>
      </c>
      <c r="L8" s="387"/>
    </row>
    <row r="9" spans="1:12" ht="15" customHeight="1" thickTop="1">
      <c r="A9" s="401" t="s">
        <v>92</v>
      </c>
      <c r="B9" s="402" t="s">
        <v>93</v>
      </c>
      <c r="C9" s="402" t="s">
        <v>94</v>
      </c>
      <c r="D9" s="402" t="s">
        <v>95</v>
      </c>
      <c r="E9" s="403" t="s">
        <v>94</v>
      </c>
      <c r="F9" s="404" t="s">
        <v>95</v>
      </c>
      <c r="G9" s="402" t="s">
        <v>96</v>
      </c>
      <c r="H9" s="402" t="s">
        <v>95</v>
      </c>
      <c r="I9" s="403" t="s">
        <v>95</v>
      </c>
      <c r="J9" s="402" t="s">
        <v>96</v>
      </c>
      <c r="K9" s="403" t="s">
        <v>304</v>
      </c>
      <c r="L9" s="387"/>
    </row>
    <row r="10" spans="1:11" ht="19.5" customHeight="1">
      <c r="A10" s="405" t="s">
        <v>25</v>
      </c>
      <c r="B10" s="406" t="s">
        <v>26</v>
      </c>
      <c r="C10" s="415">
        <f>SUM(C11:C11)</f>
        <v>8300000</v>
      </c>
      <c r="D10" s="415">
        <f>SUM(D11:D11)</f>
        <v>7278483</v>
      </c>
      <c r="E10" s="408">
        <f>SUM(E11:E11)</f>
        <v>50000</v>
      </c>
      <c r="F10" s="416">
        <f>SUM(F11:F11)</f>
        <v>0</v>
      </c>
      <c r="G10" s="415">
        <f>SUM(G11:G11)</f>
        <v>50000</v>
      </c>
      <c r="H10" s="415">
        <v>0</v>
      </c>
      <c r="I10" s="408">
        <f>SUM(I11:I11)</f>
        <v>50000</v>
      </c>
      <c r="J10" s="415">
        <f>J11</f>
        <v>-48740</v>
      </c>
      <c r="K10" s="408">
        <f>SUM(K11:K11)</f>
        <v>1260</v>
      </c>
    </row>
    <row r="11" spans="1:11" ht="16.5" customHeight="1">
      <c r="A11" s="417" t="s">
        <v>352</v>
      </c>
      <c r="B11" s="418" t="s">
        <v>37</v>
      </c>
      <c r="C11" s="419">
        <v>8300000</v>
      </c>
      <c r="D11" s="412">
        <v>7278483</v>
      </c>
      <c r="E11" s="413">
        <v>50000</v>
      </c>
      <c r="F11" s="420">
        <v>0</v>
      </c>
      <c r="G11" s="412">
        <f>E11+F11</f>
        <v>50000</v>
      </c>
      <c r="H11" s="412">
        <v>0</v>
      </c>
      <c r="I11" s="413">
        <v>50000</v>
      </c>
      <c r="J11" s="412">
        <v>-48740</v>
      </c>
      <c r="K11" s="413">
        <f>I11+J11</f>
        <v>1260</v>
      </c>
    </row>
    <row r="12" spans="1:11" ht="15" customHeight="1">
      <c r="A12" s="421" t="s">
        <v>509</v>
      </c>
      <c r="B12" s="422" t="s">
        <v>44</v>
      </c>
      <c r="C12" s="423" t="e">
        <f>#REF!+C10+#REF!</f>
        <v>#REF!</v>
      </c>
      <c r="D12" s="423" t="e">
        <f>#REF!+D10+#REF!</f>
        <v>#REF!</v>
      </c>
      <c r="E12" s="424">
        <f>E10</f>
        <v>50000</v>
      </c>
      <c r="F12" s="425" t="e">
        <f>#REF!+F10+#REF!</f>
        <v>#REF!</v>
      </c>
      <c r="G12" s="423" t="e">
        <f>#REF!+G10+#REF!</f>
        <v>#REF!</v>
      </c>
      <c r="H12" s="423">
        <v>0</v>
      </c>
      <c r="I12" s="424">
        <f>I10</f>
        <v>50000</v>
      </c>
      <c r="J12" s="424">
        <f>J10</f>
        <v>-48740</v>
      </c>
      <c r="K12" s="424">
        <f>K10</f>
        <v>1260</v>
      </c>
    </row>
    <row r="13" spans="1:11" ht="15" customHeight="1">
      <c r="A13" s="405" t="s">
        <v>45</v>
      </c>
      <c r="B13" s="406" t="s">
        <v>46</v>
      </c>
      <c r="C13" s="415">
        <f aca="true" t="shared" si="0" ref="C13:K13">SUM(C14:C14)</f>
        <v>66914644</v>
      </c>
      <c r="D13" s="428">
        <f t="shared" si="0"/>
        <v>66919069</v>
      </c>
      <c r="E13" s="429">
        <f t="shared" si="0"/>
        <v>3046000</v>
      </c>
      <c r="F13" s="429">
        <f t="shared" si="0"/>
        <v>0</v>
      </c>
      <c r="G13" s="429">
        <f t="shared" si="0"/>
        <v>3046000</v>
      </c>
      <c r="H13" s="429">
        <f t="shared" si="0"/>
        <v>199533</v>
      </c>
      <c r="I13" s="429">
        <f t="shared" si="0"/>
        <v>3245533</v>
      </c>
      <c r="J13" s="429">
        <f t="shared" si="0"/>
        <v>13595</v>
      </c>
      <c r="K13" s="429">
        <f t="shared" si="0"/>
        <v>3259128</v>
      </c>
    </row>
    <row r="14" spans="1:11" ht="15" customHeight="1">
      <c r="A14" s="410" t="s">
        <v>510</v>
      </c>
      <c r="B14" s="411" t="s">
        <v>420</v>
      </c>
      <c r="C14" s="430">
        <v>66914644</v>
      </c>
      <c r="D14" s="412">
        <v>66919069</v>
      </c>
      <c r="E14" s="413">
        <f>2494167+551833</f>
        <v>3046000</v>
      </c>
      <c r="F14" s="431">
        <v>0</v>
      </c>
      <c r="G14" s="412">
        <f>E14+F14</f>
        <v>3046000</v>
      </c>
      <c r="H14" s="412">
        <v>199533</v>
      </c>
      <c r="I14" s="413">
        <v>3245533</v>
      </c>
      <c r="J14" s="412">
        <v>13595</v>
      </c>
      <c r="K14" s="413">
        <f>I14+J14</f>
        <v>3259128</v>
      </c>
    </row>
    <row r="15" spans="1:11" ht="15" customHeight="1" thickBot="1">
      <c r="A15" s="432" t="s">
        <v>511</v>
      </c>
      <c r="B15" s="433" t="s">
        <v>49</v>
      </c>
      <c r="C15" s="434" t="e">
        <f>C13+C12</f>
        <v>#REF!</v>
      </c>
      <c r="D15" s="435" t="e">
        <f aca="true" t="shared" si="1" ref="D15:I15">D12+D13</f>
        <v>#REF!</v>
      </c>
      <c r="E15" s="435">
        <f t="shared" si="1"/>
        <v>3096000</v>
      </c>
      <c r="F15" s="435" t="e">
        <f t="shared" si="1"/>
        <v>#REF!</v>
      </c>
      <c r="G15" s="435" t="e">
        <f t="shared" si="1"/>
        <v>#REF!</v>
      </c>
      <c r="H15" s="435">
        <f t="shared" si="1"/>
        <v>199533</v>
      </c>
      <c r="I15" s="435">
        <f t="shared" si="1"/>
        <v>3295533</v>
      </c>
      <c r="J15" s="435">
        <f>J12+J13</f>
        <v>-35145</v>
      </c>
      <c r="K15" s="435">
        <f>K12+K13</f>
        <v>3260388</v>
      </c>
    </row>
    <row r="16" spans="1:12" ht="15" customHeight="1" thickTop="1">
      <c r="A16" s="437"/>
      <c r="B16" s="437"/>
      <c r="C16" s="438"/>
      <c r="D16" s="439"/>
      <c r="E16" s="439"/>
      <c r="F16" s="438"/>
      <c r="G16" s="439"/>
      <c r="H16" s="439"/>
      <c r="I16" s="439"/>
      <c r="J16" s="439"/>
      <c r="K16" s="439"/>
      <c r="L16" s="387"/>
    </row>
    <row r="17" spans="1:12" ht="15" customHeight="1" thickBot="1">
      <c r="A17" s="440"/>
      <c r="B17" s="441"/>
      <c r="C17" s="442"/>
      <c r="D17" s="443"/>
      <c r="E17" s="443"/>
      <c r="F17" s="442"/>
      <c r="G17" s="443"/>
      <c r="H17" s="443"/>
      <c r="I17" s="443"/>
      <c r="J17" s="443"/>
      <c r="K17" s="443"/>
      <c r="L17" s="387"/>
    </row>
    <row r="18" spans="1:12" ht="45.75" customHeight="1" thickBot="1" thickTop="1">
      <c r="A18" s="397" t="s">
        <v>0</v>
      </c>
      <c r="B18" s="398" t="s">
        <v>512</v>
      </c>
      <c r="C18" s="399" t="s">
        <v>499</v>
      </c>
      <c r="D18" s="398" t="s">
        <v>500</v>
      </c>
      <c r="E18" s="398" t="s">
        <v>521</v>
      </c>
      <c r="F18" s="400" t="s">
        <v>416</v>
      </c>
      <c r="G18" s="398" t="s">
        <v>417</v>
      </c>
      <c r="H18" s="398" t="s">
        <v>539</v>
      </c>
      <c r="I18" s="398" t="s">
        <v>540</v>
      </c>
      <c r="J18" s="398" t="s">
        <v>606</v>
      </c>
      <c r="K18" s="398" t="s">
        <v>607</v>
      </c>
      <c r="L18" s="387"/>
    </row>
    <row r="19" spans="1:11" ht="15" customHeight="1" thickTop="1">
      <c r="A19" s="401" t="s">
        <v>92</v>
      </c>
      <c r="B19" s="402" t="s">
        <v>93</v>
      </c>
      <c r="C19" s="444" t="s">
        <v>94</v>
      </c>
      <c r="D19" s="444" t="s">
        <v>95</v>
      </c>
      <c r="E19" s="444" t="s">
        <v>94</v>
      </c>
      <c r="F19" s="445" t="s">
        <v>95</v>
      </c>
      <c r="G19" s="444" t="s">
        <v>96</v>
      </c>
      <c r="H19" s="444" t="s">
        <v>95</v>
      </c>
      <c r="I19" s="444" t="s">
        <v>95</v>
      </c>
      <c r="J19" s="444" t="s">
        <v>96</v>
      </c>
      <c r="K19" s="444" t="s">
        <v>304</v>
      </c>
    </row>
    <row r="20" spans="1:11" ht="15" customHeight="1">
      <c r="A20" s="405" t="s">
        <v>50</v>
      </c>
      <c r="B20" s="406" t="s">
        <v>51</v>
      </c>
      <c r="C20" s="446">
        <f aca="true" t="shared" si="2" ref="C20:K20">SUM(C21:C21)</f>
        <v>46560245</v>
      </c>
      <c r="D20" s="446">
        <f t="shared" si="2"/>
        <v>47741858</v>
      </c>
      <c r="E20" s="447">
        <f t="shared" si="2"/>
        <v>2325000</v>
      </c>
      <c r="F20" s="447">
        <f t="shared" si="2"/>
        <v>980000</v>
      </c>
      <c r="G20" s="447">
        <f t="shared" si="2"/>
        <v>3305000</v>
      </c>
      <c r="H20" s="447">
        <f t="shared" si="2"/>
        <v>96260</v>
      </c>
      <c r="I20" s="447">
        <f t="shared" si="2"/>
        <v>2421260</v>
      </c>
      <c r="J20" s="447">
        <f t="shared" si="2"/>
        <v>-10000</v>
      </c>
      <c r="K20" s="447">
        <f t="shared" si="2"/>
        <v>2411260</v>
      </c>
    </row>
    <row r="21" spans="1:11" ht="15" customHeight="1">
      <c r="A21" s="417" t="s">
        <v>52</v>
      </c>
      <c r="B21" s="418" t="s">
        <v>53</v>
      </c>
      <c r="C21" s="449">
        <v>46560245</v>
      </c>
      <c r="D21" s="450">
        <v>47741858</v>
      </c>
      <c r="E21" s="451">
        <f>2325000</f>
        <v>2325000</v>
      </c>
      <c r="F21" s="452">
        <v>980000</v>
      </c>
      <c r="G21" s="450">
        <f>E21+F21</f>
        <v>3305000</v>
      </c>
      <c r="H21" s="450">
        <v>96260</v>
      </c>
      <c r="I21" s="451">
        <f>E21+H21</f>
        <v>2421260</v>
      </c>
      <c r="J21" s="450">
        <v>-10000</v>
      </c>
      <c r="K21" s="451">
        <f>I21+J21</f>
        <v>2411260</v>
      </c>
    </row>
    <row r="22" spans="1:11" ht="30.75" customHeight="1">
      <c r="A22" s="405" t="s">
        <v>64</v>
      </c>
      <c r="B22" s="453" t="s">
        <v>160</v>
      </c>
      <c r="C22" s="454">
        <v>10838079</v>
      </c>
      <c r="D22" s="455">
        <v>10716052</v>
      </c>
      <c r="E22" s="455">
        <v>471000</v>
      </c>
      <c r="F22" s="456">
        <v>566196</v>
      </c>
      <c r="G22" s="455">
        <f>E22+F22</f>
        <v>1037196</v>
      </c>
      <c r="H22" s="455">
        <v>10000</v>
      </c>
      <c r="I22" s="455">
        <f>E22+H22</f>
        <v>481000</v>
      </c>
      <c r="J22" s="455">
        <v>-10000</v>
      </c>
      <c r="K22" s="455">
        <f>I22+J22</f>
        <v>471000</v>
      </c>
    </row>
    <row r="23" spans="1:11" ht="15" customHeight="1">
      <c r="A23" s="405" t="s">
        <v>65</v>
      </c>
      <c r="B23" s="406" t="s">
        <v>66</v>
      </c>
      <c r="C23" s="446">
        <f aca="true" t="shared" si="3" ref="C23:I23">SUM(C24:C28)</f>
        <v>31920000</v>
      </c>
      <c r="D23" s="455">
        <f t="shared" si="3"/>
        <v>29393152</v>
      </c>
      <c r="E23" s="455">
        <f t="shared" si="3"/>
        <v>300000</v>
      </c>
      <c r="F23" s="455">
        <f t="shared" si="3"/>
        <v>428286</v>
      </c>
      <c r="G23" s="455">
        <f t="shared" si="3"/>
        <v>728286</v>
      </c>
      <c r="H23" s="455">
        <f t="shared" si="3"/>
        <v>42473</v>
      </c>
      <c r="I23" s="455">
        <f t="shared" si="3"/>
        <v>342473</v>
      </c>
      <c r="J23" s="455">
        <f>SUM(J24:J28)</f>
        <v>-15145</v>
      </c>
      <c r="K23" s="455">
        <f>SUM(K24:K28)</f>
        <v>327328</v>
      </c>
    </row>
    <row r="24" spans="1:11" ht="15" customHeight="1">
      <c r="A24" s="417" t="s">
        <v>67</v>
      </c>
      <c r="B24" s="418" t="s">
        <v>68</v>
      </c>
      <c r="C24" s="449">
        <v>18790000</v>
      </c>
      <c r="D24" s="451">
        <v>18211785</v>
      </c>
      <c r="E24" s="451">
        <v>100000</v>
      </c>
      <c r="F24" s="452">
        <v>304522</v>
      </c>
      <c r="G24" s="451">
        <f>E24+F24</f>
        <v>404522</v>
      </c>
      <c r="H24" s="451">
        <v>42533</v>
      </c>
      <c r="I24" s="451">
        <f>E24+H24</f>
        <v>142533</v>
      </c>
      <c r="J24" s="451">
        <v>-4000</v>
      </c>
      <c r="K24" s="451">
        <f>I24+J24</f>
        <v>138533</v>
      </c>
    </row>
    <row r="25" spans="1:11" ht="15" customHeight="1">
      <c r="A25" s="417" t="s">
        <v>69</v>
      </c>
      <c r="B25" s="418" t="s">
        <v>70</v>
      </c>
      <c r="C25" s="449">
        <v>1360000</v>
      </c>
      <c r="D25" s="451">
        <v>1167083</v>
      </c>
      <c r="E25" s="451">
        <v>20000</v>
      </c>
      <c r="F25" s="452">
        <v>0</v>
      </c>
      <c r="G25" s="451">
        <f>E25+F25</f>
        <v>20000</v>
      </c>
      <c r="H25" s="451">
        <v>0</v>
      </c>
      <c r="I25" s="451">
        <f>E25+H25</f>
        <v>20000</v>
      </c>
      <c r="J25" s="451">
        <v>-5500</v>
      </c>
      <c r="K25" s="451">
        <f>I25+J25</f>
        <v>14500</v>
      </c>
    </row>
    <row r="26" spans="1:11" ht="15" customHeight="1">
      <c r="A26" s="417" t="s">
        <v>71</v>
      </c>
      <c r="B26" s="418" t="s">
        <v>72</v>
      </c>
      <c r="C26" s="449">
        <v>5390000</v>
      </c>
      <c r="D26" s="451">
        <v>5302314</v>
      </c>
      <c r="E26" s="451">
        <v>120000</v>
      </c>
      <c r="F26" s="452">
        <v>23659</v>
      </c>
      <c r="G26" s="451">
        <f>E26+F26</f>
        <v>143659</v>
      </c>
      <c r="H26" s="451">
        <v>-16260</v>
      </c>
      <c r="I26" s="451">
        <f>E26+H26</f>
        <v>103740</v>
      </c>
      <c r="J26" s="451">
        <v>-14500</v>
      </c>
      <c r="K26" s="451">
        <f>I26+J26</f>
        <v>89240</v>
      </c>
    </row>
    <row r="27" spans="1:11" ht="15" customHeight="1">
      <c r="A27" s="417" t="s">
        <v>74</v>
      </c>
      <c r="B27" s="418" t="s">
        <v>75</v>
      </c>
      <c r="C27" s="449">
        <v>600000</v>
      </c>
      <c r="D27" s="451">
        <v>547444</v>
      </c>
      <c r="E27" s="451">
        <v>10000</v>
      </c>
      <c r="F27" s="452">
        <v>0</v>
      </c>
      <c r="G27" s="451">
        <f>E27+F27</f>
        <v>10000</v>
      </c>
      <c r="H27" s="451">
        <v>0</v>
      </c>
      <c r="I27" s="451">
        <f>E27+H27</f>
        <v>10000</v>
      </c>
      <c r="J27" s="451">
        <v>-8500</v>
      </c>
      <c r="K27" s="451">
        <f>I27+J27</f>
        <v>1500</v>
      </c>
    </row>
    <row r="28" spans="1:11" ht="15" customHeight="1">
      <c r="A28" s="417" t="s">
        <v>76</v>
      </c>
      <c r="B28" s="418" t="s">
        <v>77</v>
      </c>
      <c r="C28" s="449">
        <v>5780000</v>
      </c>
      <c r="D28" s="451">
        <v>4164526</v>
      </c>
      <c r="E28" s="451">
        <v>50000</v>
      </c>
      <c r="F28" s="452">
        <v>100105</v>
      </c>
      <c r="G28" s="451">
        <f>E28+F28</f>
        <v>150105</v>
      </c>
      <c r="H28" s="451">
        <v>16200</v>
      </c>
      <c r="I28" s="451">
        <f>E28+H28</f>
        <v>66200</v>
      </c>
      <c r="J28" s="451">
        <v>17355</v>
      </c>
      <c r="K28" s="451">
        <f>I28+J28</f>
        <v>83555</v>
      </c>
    </row>
    <row r="29" spans="1:11" ht="15" customHeight="1">
      <c r="A29" s="457" t="s">
        <v>514</v>
      </c>
      <c r="B29" s="458" t="s">
        <v>83</v>
      </c>
      <c r="C29" s="459">
        <f aca="true" t="shared" si="4" ref="C29:I29">SUM(C30:C31)</f>
        <v>486200</v>
      </c>
      <c r="D29" s="459">
        <f t="shared" si="4"/>
        <v>762302</v>
      </c>
      <c r="E29" s="459">
        <f t="shared" si="4"/>
        <v>0</v>
      </c>
      <c r="F29" s="460">
        <f t="shared" si="4"/>
        <v>0</v>
      </c>
      <c r="G29" s="459">
        <f t="shared" si="4"/>
        <v>0</v>
      </c>
      <c r="H29" s="460">
        <f t="shared" si="4"/>
        <v>50800</v>
      </c>
      <c r="I29" s="459">
        <f t="shared" si="4"/>
        <v>50800</v>
      </c>
      <c r="J29" s="460">
        <f>SUM(J30:J31)</f>
        <v>0</v>
      </c>
      <c r="K29" s="459">
        <f>SUM(K30:K31)</f>
        <v>50800</v>
      </c>
    </row>
    <row r="30" spans="1:11" ht="15" customHeight="1">
      <c r="A30" s="417" t="s">
        <v>169</v>
      </c>
      <c r="B30" s="418" t="s">
        <v>515</v>
      </c>
      <c r="C30" s="449">
        <v>200000</v>
      </c>
      <c r="D30" s="451">
        <v>572951</v>
      </c>
      <c r="E30" s="451">
        <v>0</v>
      </c>
      <c r="F30" s="452">
        <v>0</v>
      </c>
      <c r="G30" s="451">
        <f>E30+F30</f>
        <v>0</v>
      </c>
      <c r="H30" s="452">
        <v>40000</v>
      </c>
      <c r="I30" s="451">
        <f>G30+H30</f>
        <v>40000</v>
      </c>
      <c r="J30" s="452">
        <v>0</v>
      </c>
      <c r="K30" s="451">
        <f>I30+J30</f>
        <v>40000</v>
      </c>
    </row>
    <row r="31" spans="1:11" ht="15" customHeight="1">
      <c r="A31" s="417" t="s">
        <v>170</v>
      </c>
      <c r="B31" s="418" t="s">
        <v>516</v>
      </c>
      <c r="C31" s="449">
        <v>286200</v>
      </c>
      <c r="D31" s="451">
        <v>189351</v>
      </c>
      <c r="E31" s="451">
        <v>0</v>
      </c>
      <c r="F31" s="452">
        <v>0</v>
      </c>
      <c r="G31" s="451">
        <f>E31+F31</f>
        <v>0</v>
      </c>
      <c r="H31" s="452">
        <v>10800</v>
      </c>
      <c r="I31" s="451">
        <f>G31+H31</f>
        <v>10800</v>
      </c>
      <c r="J31" s="452">
        <v>0</v>
      </c>
      <c r="K31" s="451">
        <f>I31+J31</f>
        <v>10800</v>
      </c>
    </row>
    <row r="32" spans="1:11" ht="15" customHeight="1" thickBot="1">
      <c r="A32" s="432" t="s">
        <v>517</v>
      </c>
      <c r="B32" s="433" t="s">
        <v>91</v>
      </c>
      <c r="C32" s="461" t="e">
        <f>C20+C22+C23+#REF!</f>
        <v>#REF!</v>
      </c>
      <c r="D32" s="462" t="e">
        <f>D20++#REF!+D22+D23</f>
        <v>#REF!</v>
      </c>
      <c r="E32" s="462">
        <f>E20+E22+E23</f>
        <v>3096000</v>
      </c>
      <c r="F32" s="462">
        <f>F20+F22+F23</f>
        <v>1974482</v>
      </c>
      <c r="G32" s="462">
        <f>G20+G22+G23</f>
        <v>5070482</v>
      </c>
      <c r="H32" s="462">
        <f>H20+H22+H23+H29</f>
        <v>199533</v>
      </c>
      <c r="I32" s="462">
        <f>I20+I22+I23+I29</f>
        <v>3295533</v>
      </c>
      <c r="J32" s="462">
        <f>J20+J22+J23+J29</f>
        <v>-35145</v>
      </c>
      <c r="K32" s="462">
        <f>K20+K22+K23+K29</f>
        <v>3260388</v>
      </c>
    </row>
    <row r="33" spans="1:12" ht="16.5" thickTop="1">
      <c r="A33" s="437"/>
      <c r="B33" s="437"/>
      <c r="C33" s="437"/>
      <c r="D33" s="463"/>
      <c r="E33" s="463"/>
      <c r="F33" s="437"/>
      <c r="G33" s="463"/>
      <c r="H33" s="463"/>
      <c r="I33" s="463"/>
      <c r="J33" s="463"/>
      <c r="K33" s="463"/>
      <c r="L33" s="464"/>
    </row>
    <row r="34" spans="1:12" ht="16.5" thickBot="1">
      <c r="A34" s="389"/>
      <c r="B34" s="465"/>
      <c r="C34" s="465"/>
      <c r="D34" s="465"/>
      <c r="F34" s="464"/>
      <c r="G34" s="387"/>
      <c r="H34" s="387"/>
      <c r="J34" s="387"/>
      <c r="L34" s="387"/>
    </row>
    <row r="35" spans="1:12" ht="15" thickBot="1">
      <c r="A35" s="466" t="s">
        <v>518</v>
      </c>
      <c r="B35" s="467"/>
      <c r="C35" s="468"/>
      <c r="D35" s="468"/>
      <c r="E35" s="470">
        <v>2.5</v>
      </c>
      <c r="G35" s="387"/>
      <c r="H35" s="387"/>
      <c r="I35" s="387"/>
      <c r="J35" s="387"/>
      <c r="K35" s="387"/>
      <c r="L35" s="387"/>
    </row>
    <row r="36" spans="1:5" s="386" customFormat="1" ht="15" thickBot="1">
      <c r="A36" s="466" t="s">
        <v>519</v>
      </c>
      <c r="B36" s="467"/>
      <c r="C36" s="468"/>
      <c r="D36" s="468"/>
      <c r="E36" s="469">
        <v>0</v>
      </c>
    </row>
    <row r="37" ht="12.75">
      <c r="L37" s="387"/>
    </row>
    <row r="38" ht="12.75">
      <c r="L38" s="387"/>
    </row>
  </sheetData>
  <sheetProtection/>
  <mergeCells count="5">
    <mergeCell ref="A7:B7"/>
    <mergeCell ref="D7:E7"/>
    <mergeCell ref="A2:K3"/>
    <mergeCell ref="A4:K4"/>
    <mergeCell ref="A6:C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4"/>
  <sheetViews>
    <sheetView view="pageBreakPreview" zoomScaleSheetLayoutView="100" zoomScalePageLayoutView="0" workbookViewId="0" topLeftCell="A30">
      <selection activeCell="F18" sqref="F18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3" width="16.7109375" style="0" customWidth="1"/>
    <col min="4" max="4" width="16.7109375" style="0" hidden="1" customWidth="1"/>
    <col min="5" max="7" width="16.7109375" style="0" customWidth="1"/>
  </cols>
  <sheetData>
    <row r="1" spans="1:7" ht="30" customHeight="1">
      <c r="A1" s="605" t="s">
        <v>183</v>
      </c>
      <c r="B1" s="605"/>
      <c r="C1" s="605"/>
      <c r="D1" s="605"/>
      <c r="E1" s="605"/>
      <c r="F1" s="263"/>
      <c r="G1" s="263"/>
    </row>
    <row r="2" spans="1:7" ht="18" customHeight="1">
      <c r="A2" s="606" t="s">
        <v>332</v>
      </c>
      <c r="B2" s="606"/>
      <c r="C2" s="606"/>
      <c r="D2" s="606"/>
      <c r="E2" s="606"/>
      <c r="F2" s="264"/>
      <c r="G2" s="264"/>
    </row>
    <row r="3" spans="1:7" ht="17.25" customHeight="1">
      <c r="A3" s="18"/>
      <c r="B3" s="16"/>
      <c r="C3" s="260"/>
      <c r="D3" s="260"/>
      <c r="E3" s="260"/>
      <c r="F3" s="260"/>
      <c r="G3" s="260"/>
    </row>
    <row r="4" spans="1:7" ht="13.5" thickBot="1">
      <c r="A4" s="17"/>
      <c r="B4" s="17"/>
      <c r="C4" s="261"/>
      <c r="D4" s="268"/>
      <c r="E4" s="268"/>
      <c r="F4" s="268"/>
      <c r="G4" s="268"/>
    </row>
    <row r="5" spans="1:7" ht="44.25" customHeight="1" thickBot="1" thickTop="1">
      <c r="A5" s="52" t="s">
        <v>0</v>
      </c>
      <c r="B5" s="36" t="s">
        <v>1</v>
      </c>
      <c r="C5" s="37" t="s">
        <v>353</v>
      </c>
      <c r="D5" s="37" t="s">
        <v>405</v>
      </c>
      <c r="E5" s="37" t="s">
        <v>406</v>
      </c>
      <c r="F5" s="37" t="s">
        <v>416</v>
      </c>
      <c r="G5" s="37" t="s">
        <v>417</v>
      </c>
    </row>
    <row r="6" spans="1:7" ht="12.75" customHeight="1" thickTop="1">
      <c r="A6" s="57" t="s">
        <v>92</v>
      </c>
      <c r="B6" s="58" t="s">
        <v>93</v>
      </c>
      <c r="C6" s="58" t="s">
        <v>94</v>
      </c>
      <c r="D6" s="58" t="s">
        <v>95</v>
      </c>
      <c r="E6" s="58" t="s">
        <v>95</v>
      </c>
      <c r="F6" s="58" t="s">
        <v>95</v>
      </c>
      <c r="G6" s="58" t="s">
        <v>304</v>
      </c>
    </row>
    <row r="7" spans="1:7" ht="21.75" customHeight="1">
      <c r="A7" s="34" t="s">
        <v>2</v>
      </c>
      <c r="B7" s="35" t="s">
        <v>3</v>
      </c>
      <c r="C7" s="50">
        <f>C8+C14</f>
        <v>160974547</v>
      </c>
      <c r="D7" s="50">
        <f>D8+D14</f>
        <v>0</v>
      </c>
      <c r="E7" s="50">
        <f>E8+E14</f>
        <v>160974547</v>
      </c>
      <c r="F7" s="50">
        <f>F8+F14</f>
        <v>0</v>
      </c>
      <c r="G7" s="50">
        <f>G8+G14</f>
        <v>160974547</v>
      </c>
    </row>
    <row r="8" spans="1:7" ht="21.75" customHeight="1">
      <c r="A8" s="23" t="s">
        <v>4</v>
      </c>
      <c r="B8" s="24" t="s">
        <v>5</v>
      </c>
      <c r="C8" s="44">
        <f>SUM(C9:C13)</f>
        <v>123425683</v>
      </c>
      <c r="D8" s="44">
        <f>SUM(D9:D13)</f>
        <v>0</v>
      </c>
      <c r="E8" s="44">
        <f>SUM(E9:E13)</f>
        <v>123425683</v>
      </c>
      <c r="F8" s="44">
        <f>SUM(F9:F13)</f>
        <v>0</v>
      </c>
      <c r="G8" s="44">
        <f>SUM(G9:G13)</f>
        <v>123425683</v>
      </c>
    </row>
    <row r="9" spans="1:7" ht="21.75" customHeight="1">
      <c r="A9" s="25" t="s">
        <v>129</v>
      </c>
      <c r="B9" s="26" t="s">
        <v>6</v>
      </c>
      <c r="C9" s="45">
        <v>44635962</v>
      </c>
      <c r="D9" s="45">
        <v>0</v>
      </c>
      <c r="E9" s="45">
        <v>44635962</v>
      </c>
      <c r="F9" s="45">
        <v>0</v>
      </c>
      <c r="G9" s="45">
        <v>44635962</v>
      </c>
    </row>
    <row r="10" spans="1:7" ht="21.75" customHeight="1">
      <c r="A10" s="25" t="s">
        <v>130</v>
      </c>
      <c r="B10" s="26" t="s">
        <v>7</v>
      </c>
      <c r="C10" s="45">
        <v>42304768</v>
      </c>
      <c r="D10" s="45">
        <v>0</v>
      </c>
      <c r="E10" s="45">
        <v>42304768</v>
      </c>
      <c r="F10" s="45">
        <v>0</v>
      </c>
      <c r="G10" s="45">
        <v>42304768</v>
      </c>
    </row>
    <row r="11" spans="1:7" ht="21.75" customHeight="1">
      <c r="A11" s="25" t="s">
        <v>131</v>
      </c>
      <c r="B11" s="26" t="s">
        <v>8</v>
      </c>
      <c r="C11" s="45">
        <v>32891974</v>
      </c>
      <c r="D11" s="45">
        <v>0</v>
      </c>
      <c r="E11" s="45">
        <v>32891974</v>
      </c>
      <c r="F11" s="45">
        <v>0</v>
      </c>
      <c r="G11" s="45">
        <v>32891974</v>
      </c>
    </row>
    <row r="12" spans="1:7" ht="21.75" customHeight="1">
      <c r="A12" s="25" t="s">
        <v>132</v>
      </c>
      <c r="B12" s="26" t="s">
        <v>9</v>
      </c>
      <c r="C12" s="45">
        <v>1800000</v>
      </c>
      <c r="D12" s="45">
        <v>0</v>
      </c>
      <c r="E12" s="45">
        <v>1800000</v>
      </c>
      <c r="F12" s="45">
        <v>0</v>
      </c>
      <c r="G12" s="45">
        <v>1800000</v>
      </c>
    </row>
    <row r="13" spans="1:7" ht="21.75" customHeight="1">
      <c r="A13" s="25" t="s">
        <v>133</v>
      </c>
      <c r="B13" s="46" t="s">
        <v>320</v>
      </c>
      <c r="C13" s="47">
        <v>1792979</v>
      </c>
      <c r="D13" s="47">
        <v>0</v>
      </c>
      <c r="E13" s="47">
        <v>1792979</v>
      </c>
      <c r="F13" s="47">
        <v>0</v>
      </c>
      <c r="G13" s="47">
        <v>1792979</v>
      </c>
    </row>
    <row r="14" spans="1:7" ht="21.75" customHeight="1">
      <c r="A14" s="23" t="s">
        <v>10</v>
      </c>
      <c r="B14" s="24" t="s">
        <v>11</v>
      </c>
      <c r="C14" s="44">
        <v>37548864</v>
      </c>
      <c r="D14" s="44">
        <v>0</v>
      </c>
      <c r="E14" s="44">
        <v>37548864</v>
      </c>
      <c r="F14" s="44">
        <v>0</v>
      </c>
      <c r="G14" s="44">
        <v>37548864</v>
      </c>
    </row>
    <row r="15" spans="1:7" ht="21.75" customHeight="1">
      <c r="A15" s="27" t="s">
        <v>12</v>
      </c>
      <c r="B15" s="28" t="s">
        <v>13</v>
      </c>
      <c r="C15" s="216">
        <f>C16+C17</f>
        <v>86185955</v>
      </c>
      <c r="D15" s="216">
        <f>D16+D17</f>
        <v>3706875</v>
      </c>
      <c r="E15" s="216">
        <f>E16+E17</f>
        <v>89892830</v>
      </c>
      <c r="F15" s="216">
        <f>F16+F17</f>
        <v>0</v>
      </c>
      <c r="G15" s="216">
        <f>G16+G17</f>
        <v>89892830</v>
      </c>
    </row>
    <row r="16" spans="1:7" ht="21.75" customHeight="1">
      <c r="A16" s="25" t="s">
        <v>162</v>
      </c>
      <c r="B16" s="46" t="s">
        <v>236</v>
      </c>
      <c r="C16" s="47">
        <v>0</v>
      </c>
      <c r="D16" s="47">
        <v>3706875</v>
      </c>
      <c r="E16" s="47">
        <f>C16+D16</f>
        <v>3706875</v>
      </c>
      <c r="F16" s="47">
        <v>0</v>
      </c>
      <c r="G16" s="47">
        <f>E16+F16</f>
        <v>3706875</v>
      </c>
    </row>
    <row r="17" spans="1:7" ht="21.75" customHeight="1">
      <c r="A17" s="25" t="s">
        <v>354</v>
      </c>
      <c r="B17" s="46" t="s">
        <v>355</v>
      </c>
      <c r="C17" s="47">
        <v>86185955</v>
      </c>
      <c r="D17" s="47">
        <v>0</v>
      </c>
      <c r="E17" s="47">
        <v>86185955</v>
      </c>
      <c r="F17" s="47">
        <v>0</v>
      </c>
      <c r="G17" s="47">
        <v>86185955</v>
      </c>
    </row>
    <row r="18" spans="1:7" ht="21.75" customHeight="1">
      <c r="A18" s="27" t="s">
        <v>14</v>
      </c>
      <c r="B18" s="28" t="s">
        <v>15</v>
      </c>
      <c r="C18" s="43">
        <f>C19+C23</f>
        <v>82450000</v>
      </c>
      <c r="D18" s="43">
        <f>D19+D23</f>
        <v>0</v>
      </c>
      <c r="E18" s="43">
        <f>E19+E23</f>
        <v>82450000</v>
      </c>
      <c r="F18" s="43">
        <f>F19+F23</f>
        <v>0</v>
      </c>
      <c r="G18" s="43">
        <f>G19+G23</f>
        <v>82450000</v>
      </c>
    </row>
    <row r="19" spans="1:7" s="56" customFormat="1" ht="23.25" customHeight="1">
      <c r="A19" s="25" t="s">
        <v>16</v>
      </c>
      <c r="B19" s="26" t="s">
        <v>17</v>
      </c>
      <c r="C19" s="215">
        <f>SUM(C20:C22)</f>
        <v>82300000</v>
      </c>
      <c r="D19" s="215">
        <f>SUM(D20:D22)</f>
        <v>0</v>
      </c>
      <c r="E19" s="215">
        <f>SUM(E20:E22)</f>
        <v>82300000</v>
      </c>
      <c r="F19" s="215">
        <f>SUM(F20:F22)</f>
        <v>0</v>
      </c>
      <c r="G19" s="215">
        <f>SUM(G20:G22)</f>
        <v>82300000</v>
      </c>
    </row>
    <row r="20" spans="1:7" s="222" customFormat="1" ht="21.75" customHeight="1">
      <c r="A20" s="219" t="s">
        <v>18</v>
      </c>
      <c r="B20" s="220" t="s">
        <v>402</v>
      </c>
      <c r="C20" s="221">
        <v>80000000</v>
      </c>
      <c r="D20" s="221">
        <v>0</v>
      </c>
      <c r="E20" s="221">
        <v>80000000</v>
      </c>
      <c r="F20" s="221">
        <v>0</v>
      </c>
      <c r="G20" s="221">
        <v>80000000</v>
      </c>
    </row>
    <row r="21" spans="1:7" s="222" customFormat="1" ht="21.75" customHeight="1">
      <c r="A21" s="219" t="s">
        <v>19</v>
      </c>
      <c r="B21" s="220" t="s">
        <v>20</v>
      </c>
      <c r="C21" s="221">
        <v>2300000</v>
      </c>
      <c r="D21" s="221">
        <v>0</v>
      </c>
      <c r="E21" s="221">
        <v>2300000</v>
      </c>
      <c r="F21" s="221">
        <v>0</v>
      </c>
      <c r="G21" s="221">
        <v>2300000</v>
      </c>
    </row>
    <row r="22" spans="1:7" s="222" customFormat="1" ht="21.75" customHeight="1">
      <c r="A22" s="219" t="s">
        <v>21</v>
      </c>
      <c r="B22" s="220" t="s">
        <v>22</v>
      </c>
      <c r="C22" s="221">
        <v>0</v>
      </c>
      <c r="D22" s="221">
        <v>0</v>
      </c>
      <c r="E22" s="221">
        <v>0</v>
      </c>
      <c r="F22" s="221">
        <v>0</v>
      </c>
      <c r="G22" s="221">
        <v>0</v>
      </c>
    </row>
    <row r="23" spans="1:7" s="56" customFormat="1" ht="21.75" customHeight="1">
      <c r="A23" s="25" t="s">
        <v>23</v>
      </c>
      <c r="B23" s="26" t="s">
        <v>24</v>
      </c>
      <c r="C23" s="45">
        <v>150000</v>
      </c>
      <c r="D23" s="45">
        <v>0</v>
      </c>
      <c r="E23" s="45">
        <v>150000</v>
      </c>
      <c r="F23" s="45">
        <v>0</v>
      </c>
      <c r="G23" s="45">
        <v>150000</v>
      </c>
    </row>
    <row r="24" spans="1:7" ht="21.75" customHeight="1">
      <c r="A24" s="27" t="s">
        <v>25</v>
      </c>
      <c r="B24" s="28" t="s">
        <v>26</v>
      </c>
      <c r="C24" s="43">
        <f>SUM(C25:C32)</f>
        <v>11883000</v>
      </c>
      <c r="D24" s="43">
        <f>SUM(D25:D32)</f>
        <v>0</v>
      </c>
      <c r="E24" s="43">
        <f>SUM(E25:E32)</f>
        <v>11883000</v>
      </c>
      <c r="F24" s="43">
        <f>SUM(F25:F32)</f>
        <v>0</v>
      </c>
      <c r="G24" s="43">
        <f>SUM(G25:G32)</f>
        <v>11883000</v>
      </c>
    </row>
    <row r="25" spans="1:7" ht="21.75" customHeight="1">
      <c r="A25" s="25" t="s">
        <v>27</v>
      </c>
      <c r="B25" s="26" t="s">
        <v>126</v>
      </c>
      <c r="C25" s="45">
        <v>3760000</v>
      </c>
      <c r="D25" s="45">
        <v>0</v>
      </c>
      <c r="E25" s="45">
        <v>3760000</v>
      </c>
      <c r="F25" s="45">
        <v>0</v>
      </c>
      <c r="G25" s="45">
        <v>3760000</v>
      </c>
    </row>
    <row r="26" spans="1:7" ht="21.75" customHeight="1">
      <c r="A26" s="25" t="s">
        <v>237</v>
      </c>
      <c r="B26" s="26" t="s">
        <v>238</v>
      </c>
      <c r="C26" s="45">
        <v>637500</v>
      </c>
      <c r="D26" s="45">
        <v>0</v>
      </c>
      <c r="E26" s="45">
        <v>637500</v>
      </c>
      <c r="F26" s="45">
        <v>0</v>
      </c>
      <c r="G26" s="45">
        <v>637500</v>
      </c>
    </row>
    <row r="27" spans="1:7" ht="21.75" customHeight="1">
      <c r="A27" s="25" t="s">
        <v>28</v>
      </c>
      <c r="B27" s="26" t="s">
        <v>29</v>
      </c>
      <c r="C27" s="45">
        <v>6000000</v>
      </c>
      <c r="D27" s="45">
        <v>0</v>
      </c>
      <c r="E27" s="45">
        <v>6000000</v>
      </c>
      <c r="F27" s="45">
        <v>0</v>
      </c>
      <c r="G27" s="45">
        <v>6000000</v>
      </c>
    </row>
    <row r="28" spans="1:7" ht="18.75" customHeight="1">
      <c r="A28" s="25" t="s">
        <v>30</v>
      </c>
      <c r="B28" s="26" t="s">
        <v>31</v>
      </c>
      <c r="C28" s="45">
        <v>150000</v>
      </c>
      <c r="D28" s="45">
        <v>0</v>
      </c>
      <c r="E28" s="45">
        <v>150000</v>
      </c>
      <c r="F28" s="45">
        <v>0</v>
      </c>
      <c r="G28" s="45">
        <v>150000</v>
      </c>
    </row>
    <row r="29" spans="1:7" ht="24.75" customHeight="1">
      <c r="A29" s="25" t="s">
        <v>32</v>
      </c>
      <c r="B29" s="26" t="s">
        <v>33</v>
      </c>
      <c r="C29" s="45">
        <v>1265500</v>
      </c>
      <c r="D29" s="45">
        <v>0</v>
      </c>
      <c r="E29" s="45">
        <v>1265500</v>
      </c>
      <c r="F29" s="45">
        <v>0</v>
      </c>
      <c r="G29" s="45">
        <v>1265500</v>
      </c>
    </row>
    <row r="30" spans="1:7" ht="21.75" customHeight="1">
      <c r="A30" s="25" t="s">
        <v>34</v>
      </c>
      <c r="B30" s="26" t="s">
        <v>35</v>
      </c>
      <c r="C30" s="51">
        <v>10000</v>
      </c>
      <c r="D30" s="51">
        <v>0</v>
      </c>
      <c r="E30" s="51">
        <v>10000</v>
      </c>
      <c r="F30" s="51">
        <v>0</v>
      </c>
      <c r="G30" s="51">
        <v>10000</v>
      </c>
    </row>
    <row r="31" spans="1:7" ht="21.75" customHeight="1">
      <c r="A31" s="25" t="s">
        <v>36</v>
      </c>
      <c r="B31" s="26" t="s">
        <v>321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</row>
    <row r="32" spans="1:7" ht="21.75" customHeight="1">
      <c r="A32" s="25" t="s">
        <v>352</v>
      </c>
      <c r="B32" s="26" t="s">
        <v>37</v>
      </c>
      <c r="C32" s="51">
        <v>60000</v>
      </c>
      <c r="D32" s="51">
        <v>0</v>
      </c>
      <c r="E32" s="51">
        <v>60000</v>
      </c>
      <c r="F32" s="51">
        <v>0</v>
      </c>
      <c r="G32" s="51">
        <v>60000</v>
      </c>
    </row>
    <row r="33" spans="1:7" ht="21.75" customHeight="1">
      <c r="A33" s="27" t="s">
        <v>38</v>
      </c>
      <c r="B33" s="28" t="s">
        <v>39</v>
      </c>
      <c r="C33" s="217">
        <f>SUM(C34:C34)</f>
        <v>0</v>
      </c>
      <c r="D33" s="217">
        <f>SUM(D34:D34)</f>
        <v>0</v>
      </c>
      <c r="E33" s="217">
        <f>SUM(E34:E34)</f>
        <v>0</v>
      </c>
      <c r="F33" s="217">
        <f>SUM(F34:F34)</f>
        <v>0</v>
      </c>
      <c r="G33" s="217">
        <f>SUM(G34:G34)</f>
        <v>0</v>
      </c>
    </row>
    <row r="34" spans="1:7" ht="21.75" customHeight="1">
      <c r="A34" s="25" t="s">
        <v>239</v>
      </c>
      <c r="B34" s="26" t="s">
        <v>240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</row>
    <row r="35" spans="1:7" ht="21.75" customHeight="1">
      <c r="A35" s="27" t="s">
        <v>40</v>
      </c>
      <c r="B35" s="28" t="s">
        <v>41</v>
      </c>
      <c r="C35" s="43">
        <f>SUM(C36:C36)</f>
        <v>50000</v>
      </c>
      <c r="D35" s="43">
        <f>SUM(D36:D36)</f>
        <v>0</v>
      </c>
      <c r="E35" s="43">
        <f>SUM(E36:E36)</f>
        <v>50000</v>
      </c>
      <c r="F35" s="43">
        <f>SUM(F36:F36)</f>
        <v>0</v>
      </c>
      <c r="G35" s="43">
        <f>SUM(G36:G36)</f>
        <v>50000</v>
      </c>
    </row>
    <row r="36" spans="1:7" ht="21.75" customHeight="1">
      <c r="A36" s="25" t="s">
        <v>127</v>
      </c>
      <c r="B36" s="26" t="s">
        <v>42</v>
      </c>
      <c r="C36" s="45">
        <v>50000</v>
      </c>
      <c r="D36" s="45">
        <v>0</v>
      </c>
      <c r="E36" s="45">
        <v>50000</v>
      </c>
      <c r="F36" s="45">
        <v>0</v>
      </c>
      <c r="G36" s="45">
        <v>50000</v>
      </c>
    </row>
    <row r="37" spans="1:7" ht="21.75" customHeight="1">
      <c r="A37" s="27" t="s">
        <v>43</v>
      </c>
      <c r="B37" s="28" t="s">
        <v>185</v>
      </c>
      <c r="C37" s="244">
        <f>C38</f>
        <v>0</v>
      </c>
      <c r="D37" s="244">
        <f>D38</f>
        <v>0</v>
      </c>
      <c r="E37" s="244">
        <f>E38</f>
        <v>0</v>
      </c>
      <c r="F37" s="244">
        <f>F38</f>
        <v>0</v>
      </c>
      <c r="G37" s="244">
        <f>G38</f>
        <v>0</v>
      </c>
    </row>
    <row r="38" spans="1:7" ht="21.75" customHeight="1">
      <c r="A38" s="25" t="s">
        <v>356</v>
      </c>
      <c r="B38" s="26" t="s">
        <v>357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</row>
    <row r="39" spans="1:7" ht="30" customHeight="1">
      <c r="A39" s="30" t="s">
        <v>180</v>
      </c>
      <c r="B39" s="31" t="s">
        <v>44</v>
      </c>
      <c r="C39" s="48">
        <f>C7+C15+C18+C24+C33+C35+C37</f>
        <v>341543502</v>
      </c>
      <c r="D39" s="48">
        <f>D7+D15+D18+D24+D33+D35+D37</f>
        <v>3706875</v>
      </c>
      <c r="E39" s="48">
        <f>E7+E15+E18+E24+E33+E35+E37</f>
        <v>345250377</v>
      </c>
      <c r="F39" s="48">
        <f>F7+F15+F18+F24+F33+F35+F37</f>
        <v>0</v>
      </c>
      <c r="G39" s="48">
        <f>G7+G15+G18+G24+G33+G35+G37</f>
        <v>345250377</v>
      </c>
    </row>
    <row r="40" spans="1:7" ht="21.75" customHeight="1">
      <c r="A40" s="27" t="s">
        <v>45</v>
      </c>
      <c r="B40" s="28" t="s">
        <v>46</v>
      </c>
      <c r="C40" s="216">
        <f>SUM(C41:C42)</f>
        <v>88071346</v>
      </c>
      <c r="D40" s="216">
        <f>SUM(D41:D42)</f>
        <v>0</v>
      </c>
      <c r="E40" s="216">
        <f>SUM(E41:E42)</f>
        <v>88071346</v>
      </c>
      <c r="F40" s="216">
        <f>SUM(F41:F42)</f>
        <v>0</v>
      </c>
      <c r="G40" s="216">
        <f>SUM(G41:G42)</f>
        <v>88071346</v>
      </c>
    </row>
    <row r="41" spans="1:7" ht="21.75" customHeight="1">
      <c r="A41" s="25" t="s">
        <v>47</v>
      </c>
      <c r="B41" s="26" t="s">
        <v>48</v>
      </c>
      <c r="C41" s="45">
        <v>88071346</v>
      </c>
      <c r="D41" s="45">
        <v>0</v>
      </c>
      <c r="E41" s="45">
        <v>88071346</v>
      </c>
      <c r="F41" s="45">
        <v>0</v>
      </c>
      <c r="G41" s="45">
        <v>88071346</v>
      </c>
    </row>
    <row r="42" spans="1:7" ht="21.75" customHeight="1">
      <c r="A42" s="25" t="s">
        <v>241</v>
      </c>
      <c r="B42" s="26" t="s">
        <v>242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</row>
    <row r="43" spans="1:7" s="19" customFormat="1" ht="37.5" customHeight="1" thickBot="1">
      <c r="A43" s="32" t="s">
        <v>128</v>
      </c>
      <c r="B43" s="33" t="s">
        <v>49</v>
      </c>
      <c r="C43" s="49">
        <f>C39+C40</f>
        <v>429614848</v>
      </c>
      <c r="D43" s="49">
        <f>D39+D40</f>
        <v>3706875</v>
      </c>
      <c r="E43" s="49">
        <f>E39+E40</f>
        <v>433321723</v>
      </c>
      <c r="F43" s="49">
        <f>F39+F40</f>
        <v>0</v>
      </c>
      <c r="G43" s="49">
        <f>G39+G40</f>
        <v>433321723</v>
      </c>
    </row>
    <row r="44" spans="1:7" ht="15.75" thickTop="1">
      <c r="A44" s="2"/>
      <c r="B44" s="2"/>
      <c r="C44" s="2"/>
      <c r="D44" s="2"/>
      <c r="E44" s="2"/>
      <c r="F44" s="2"/>
      <c r="G44" s="2"/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rowBreaks count="1" manualBreakCount="1">
    <brk id="4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view="pageBreakPreview" zoomScaleSheetLayoutView="100" zoomScalePageLayoutView="0" workbookViewId="0" topLeftCell="A1">
      <selection activeCell="A5" sqref="A5:B5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3" width="16.7109375" style="0" customWidth="1"/>
    <col min="4" max="8" width="16.7109375" style="0" hidden="1" customWidth="1"/>
    <col min="9" max="11" width="16.7109375" style="0" customWidth="1"/>
  </cols>
  <sheetData>
    <row r="1" spans="1:11" ht="30" customHeight="1">
      <c r="A1" s="607" t="s">
        <v>183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</row>
    <row r="2" spans="1:11" ht="18" customHeight="1">
      <c r="A2" s="606" t="s">
        <v>332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</row>
    <row r="3" spans="1:11" ht="18" customHeight="1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5" ht="19.5" customHeight="1">
      <c r="A4" s="600" t="s">
        <v>624</v>
      </c>
      <c r="B4" s="600"/>
      <c r="C4" s="260"/>
      <c r="D4" s="260"/>
      <c r="E4" s="260"/>
      <c r="F4" s="260"/>
      <c r="G4" s="201"/>
      <c r="H4" s="260"/>
      <c r="I4" s="201"/>
      <c r="J4" s="260"/>
      <c r="K4" s="201"/>
      <c r="L4" s="260"/>
      <c r="M4" s="201"/>
      <c r="N4" s="260"/>
      <c r="O4" s="201"/>
    </row>
    <row r="5" spans="1:15" ht="24" customHeight="1" thickBot="1">
      <c r="A5" s="599" t="s">
        <v>525</v>
      </c>
      <c r="B5" s="599"/>
      <c r="C5" s="262"/>
      <c r="D5" s="269"/>
      <c r="E5" s="269"/>
      <c r="F5" s="269"/>
      <c r="G5" s="39"/>
      <c r="H5" s="269"/>
      <c r="I5" s="39"/>
      <c r="J5" s="269"/>
      <c r="K5" s="39" t="s">
        <v>319</v>
      </c>
      <c r="L5" s="269"/>
      <c r="M5" s="39"/>
      <c r="N5" s="269"/>
      <c r="O5" s="39"/>
    </row>
    <row r="6" spans="1:11" ht="44.25" customHeight="1" thickBot="1" thickTop="1">
      <c r="A6" s="52" t="s">
        <v>0</v>
      </c>
      <c r="B6" s="36" t="s">
        <v>1</v>
      </c>
      <c r="C6" s="37" t="s">
        <v>353</v>
      </c>
      <c r="D6" s="37" t="s">
        <v>405</v>
      </c>
      <c r="E6" s="37" t="s">
        <v>406</v>
      </c>
      <c r="F6" s="37" t="s">
        <v>524</v>
      </c>
      <c r="G6" s="37" t="s">
        <v>521</v>
      </c>
      <c r="H6" s="37" t="s">
        <v>539</v>
      </c>
      <c r="I6" s="37" t="s">
        <v>540</v>
      </c>
      <c r="J6" s="37" t="s">
        <v>604</v>
      </c>
      <c r="K6" s="37" t="s">
        <v>605</v>
      </c>
    </row>
    <row r="7" spans="1:11" ht="12.75" customHeight="1" thickTop="1">
      <c r="A7" s="57" t="s">
        <v>92</v>
      </c>
      <c r="B7" s="58" t="s">
        <v>93</v>
      </c>
      <c r="C7" s="58" t="s">
        <v>94</v>
      </c>
      <c r="D7" s="58" t="s">
        <v>95</v>
      </c>
      <c r="E7" s="58" t="s">
        <v>95</v>
      </c>
      <c r="F7" s="58" t="s">
        <v>96</v>
      </c>
      <c r="G7" s="58" t="s">
        <v>95</v>
      </c>
      <c r="H7" s="58" t="s">
        <v>96</v>
      </c>
      <c r="I7" s="58" t="s">
        <v>95</v>
      </c>
      <c r="J7" s="58" t="s">
        <v>96</v>
      </c>
      <c r="K7" s="58" t="s">
        <v>304</v>
      </c>
    </row>
    <row r="8" spans="1:11" ht="21.75" customHeight="1">
      <c r="A8" s="34" t="s">
        <v>2</v>
      </c>
      <c r="B8" s="35" t="s">
        <v>3</v>
      </c>
      <c r="C8" s="50">
        <f aca="true" t="shared" si="0" ref="C8:I8">C9+C15</f>
        <v>160974547</v>
      </c>
      <c r="D8" s="50">
        <f t="shared" si="0"/>
        <v>0</v>
      </c>
      <c r="E8" s="50">
        <f t="shared" si="0"/>
        <v>160974547</v>
      </c>
      <c r="F8" s="50">
        <f t="shared" si="0"/>
        <v>2494167</v>
      </c>
      <c r="G8" s="50">
        <f t="shared" si="0"/>
        <v>163468714</v>
      </c>
      <c r="H8" s="50">
        <f t="shared" si="0"/>
        <v>24884433</v>
      </c>
      <c r="I8" s="50">
        <f t="shared" si="0"/>
        <v>188353147</v>
      </c>
      <c r="J8" s="50">
        <f>J9+J15</f>
        <v>-1380775</v>
      </c>
      <c r="K8" s="50">
        <f>K9+K15</f>
        <v>186972372</v>
      </c>
    </row>
    <row r="9" spans="1:11" s="570" customFormat="1" ht="21.75" customHeight="1">
      <c r="A9" s="567" t="s">
        <v>4</v>
      </c>
      <c r="B9" s="568" t="s">
        <v>5</v>
      </c>
      <c r="C9" s="569">
        <f aca="true" t="shared" si="1" ref="C9:I9">SUM(C10:C14)</f>
        <v>123425683</v>
      </c>
      <c r="D9" s="569">
        <f t="shared" si="1"/>
        <v>0</v>
      </c>
      <c r="E9" s="569">
        <f t="shared" si="1"/>
        <v>123425683</v>
      </c>
      <c r="F9" s="569">
        <f t="shared" si="1"/>
        <v>2494167</v>
      </c>
      <c r="G9" s="569">
        <f t="shared" si="1"/>
        <v>125919850</v>
      </c>
      <c r="H9" s="569">
        <f t="shared" si="1"/>
        <v>1280160</v>
      </c>
      <c r="I9" s="569">
        <f t="shared" si="1"/>
        <v>127200010</v>
      </c>
      <c r="J9" s="569">
        <f>SUM(J10:J14)</f>
        <v>3957214</v>
      </c>
      <c r="K9" s="569">
        <f>SUM(K10:K14)</f>
        <v>131157224</v>
      </c>
    </row>
    <row r="10" spans="1:11" s="222" customFormat="1" ht="21.75" customHeight="1">
      <c r="A10" s="219" t="s">
        <v>129</v>
      </c>
      <c r="B10" s="220" t="s">
        <v>6</v>
      </c>
      <c r="C10" s="221">
        <v>44635962</v>
      </c>
      <c r="D10" s="221">
        <v>0</v>
      </c>
      <c r="E10" s="221">
        <v>44635962</v>
      </c>
      <c r="F10" s="221">
        <v>0</v>
      </c>
      <c r="G10" s="221">
        <v>44635962</v>
      </c>
      <c r="H10" s="221">
        <v>0</v>
      </c>
      <c r="I10" s="221">
        <v>44635962</v>
      </c>
      <c r="J10" s="221">
        <v>169702</v>
      </c>
      <c r="K10" s="221">
        <f aca="true" t="shared" si="2" ref="K10:K15">I10+J10</f>
        <v>44805664</v>
      </c>
    </row>
    <row r="11" spans="1:11" s="222" customFormat="1" ht="21.75" customHeight="1">
      <c r="A11" s="219" t="s">
        <v>130</v>
      </c>
      <c r="B11" s="220" t="s">
        <v>7</v>
      </c>
      <c r="C11" s="221">
        <v>42304768</v>
      </c>
      <c r="D11" s="221">
        <v>0</v>
      </c>
      <c r="E11" s="221">
        <v>42304768</v>
      </c>
      <c r="F11" s="221">
        <v>0</v>
      </c>
      <c r="G11" s="221">
        <v>42304768</v>
      </c>
      <c r="H11" s="221">
        <v>0</v>
      </c>
      <c r="I11" s="221">
        <v>42304768</v>
      </c>
      <c r="J11" s="221">
        <v>1840700</v>
      </c>
      <c r="K11" s="221">
        <f t="shared" si="2"/>
        <v>44145468</v>
      </c>
    </row>
    <row r="12" spans="1:11" s="222" customFormat="1" ht="21.75" customHeight="1">
      <c r="A12" s="219" t="s">
        <v>131</v>
      </c>
      <c r="B12" s="220" t="s">
        <v>8</v>
      </c>
      <c r="C12" s="221">
        <v>32891974</v>
      </c>
      <c r="D12" s="221">
        <v>0</v>
      </c>
      <c r="E12" s="221">
        <v>32891974</v>
      </c>
      <c r="F12" s="221">
        <v>2494167</v>
      </c>
      <c r="G12" s="221">
        <f>E12+F12</f>
        <v>35386141</v>
      </c>
      <c r="H12" s="221">
        <v>0</v>
      </c>
      <c r="I12" s="221">
        <f>G12+H12</f>
        <v>35386141</v>
      </c>
      <c r="J12" s="221">
        <v>917336</v>
      </c>
      <c r="K12" s="221">
        <f t="shared" si="2"/>
        <v>36303477</v>
      </c>
    </row>
    <row r="13" spans="1:11" s="222" customFormat="1" ht="21.75" customHeight="1">
      <c r="A13" s="219" t="s">
        <v>132</v>
      </c>
      <c r="B13" s="220" t="s">
        <v>9</v>
      </c>
      <c r="C13" s="221">
        <v>1800000</v>
      </c>
      <c r="D13" s="221">
        <v>0</v>
      </c>
      <c r="E13" s="221">
        <v>1800000</v>
      </c>
      <c r="F13" s="221">
        <v>0</v>
      </c>
      <c r="G13" s="221">
        <v>1800000</v>
      </c>
      <c r="H13" s="221">
        <v>0</v>
      </c>
      <c r="I13" s="221">
        <v>1800000</v>
      </c>
      <c r="J13" s="221">
        <v>0</v>
      </c>
      <c r="K13" s="221">
        <f t="shared" si="2"/>
        <v>1800000</v>
      </c>
    </row>
    <row r="14" spans="1:11" s="222" customFormat="1" ht="21.75" customHeight="1">
      <c r="A14" s="219" t="s">
        <v>133</v>
      </c>
      <c r="B14" s="565" t="s">
        <v>320</v>
      </c>
      <c r="C14" s="566">
        <v>1792979</v>
      </c>
      <c r="D14" s="566">
        <v>0</v>
      </c>
      <c r="E14" s="566">
        <v>1792979</v>
      </c>
      <c r="F14" s="566">
        <v>0</v>
      </c>
      <c r="G14" s="566">
        <v>1792979</v>
      </c>
      <c r="H14" s="566">
        <v>1280160</v>
      </c>
      <c r="I14" s="566">
        <f>G14+H14</f>
        <v>3073139</v>
      </c>
      <c r="J14" s="566">
        <v>1029476</v>
      </c>
      <c r="K14" s="221">
        <f t="shared" si="2"/>
        <v>4102615</v>
      </c>
    </row>
    <row r="15" spans="1:11" s="570" customFormat="1" ht="21.75" customHeight="1">
      <c r="A15" s="567" t="s">
        <v>10</v>
      </c>
      <c r="B15" s="568" t="s">
        <v>11</v>
      </c>
      <c r="C15" s="569">
        <v>37548864</v>
      </c>
      <c r="D15" s="569">
        <v>0</v>
      </c>
      <c r="E15" s="569">
        <v>37548864</v>
      </c>
      <c r="F15" s="569">
        <v>0</v>
      </c>
      <c r="G15" s="569">
        <v>37548864</v>
      </c>
      <c r="H15" s="569">
        <v>23604273</v>
      </c>
      <c r="I15" s="569">
        <f>G15+H15</f>
        <v>61153137</v>
      </c>
      <c r="J15" s="569">
        <v>-5337989</v>
      </c>
      <c r="K15" s="569">
        <f t="shared" si="2"/>
        <v>55815148</v>
      </c>
    </row>
    <row r="16" spans="1:11" ht="21.75" customHeight="1">
      <c r="A16" s="27" t="s">
        <v>12</v>
      </c>
      <c r="B16" s="28" t="s">
        <v>13</v>
      </c>
      <c r="C16" s="216">
        <f aca="true" t="shared" si="3" ref="C16:I16">C17+C18</f>
        <v>86185955</v>
      </c>
      <c r="D16" s="216">
        <f t="shared" si="3"/>
        <v>3706875</v>
      </c>
      <c r="E16" s="216">
        <f t="shared" si="3"/>
        <v>89892830</v>
      </c>
      <c r="F16" s="216">
        <f t="shared" si="3"/>
        <v>0</v>
      </c>
      <c r="G16" s="216">
        <f t="shared" si="3"/>
        <v>89892830</v>
      </c>
      <c r="H16" s="216">
        <f t="shared" si="3"/>
        <v>-25243148</v>
      </c>
      <c r="I16" s="216">
        <f t="shared" si="3"/>
        <v>64649682</v>
      </c>
      <c r="J16" s="216">
        <f>J17+J18</f>
        <v>-64381682</v>
      </c>
      <c r="K16" s="216">
        <f>K17+K18</f>
        <v>268000</v>
      </c>
    </row>
    <row r="17" spans="1:11" ht="21.75" customHeight="1">
      <c r="A17" s="25" t="s">
        <v>162</v>
      </c>
      <c r="B17" s="46" t="s">
        <v>236</v>
      </c>
      <c r="C17" s="47">
        <v>0</v>
      </c>
      <c r="D17" s="47">
        <v>3706875</v>
      </c>
      <c r="E17" s="47">
        <f>C17+D17</f>
        <v>3706875</v>
      </c>
      <c r="F17" s="47">
        <v>0</v>
      </c>
      <c r="G17" s="47">
        <f>E17+F17</f>
        <v>3706875</v>
      </c>
      <c r="H17" s="47">
        <v>-3438875</v>
      </c>
      <c r="I17" s="47">
        <f>G17+H17</f>
        <v>268000</v>
      </c>
      <c r="J17" s="47">
        <v>0</v>
      </c>
      <c r="K17" s="47">
        <f>I17+J17</f>
        <v>268000</v>
      </c>
    </row>
    <row r="18" spans="1:11" ht="21.75" customHeight="1">
      <c r="A18" s="25" t="s">
        <v>354</v>
      </c>
      <c r="B18" s="46" t="s">
        <v>355</v>
      </c>
      <c r="C18" s="47">
        <v>86185955</v>
      </c>
      <c r="D18" s="47">
        <v>0</v>
      </c>
      <c r="E18" s="47">
        <v>86185955</v>
      </c>
      <c r="F18" s="47">
        <v>0</v>
      </c>
      <c r="G18" s="47">
        <v>86185955</v>
      </c>
      <c r="H18" s="47">
        <v>-21804273</v>
      </c>
      <c r="I18" s="47">
        <f>G18+H18</f>
        <v>64381682</v>
      </c>
      <c r="J18" s="47">
        <v>-64381682</v>
      </c>
      <c r="K18" s="47">
        <f>I18+J18</f>
        <v>0</v>
      </c>
    </row>
    <row r="19" spans="1:11" ht="21.75" customHeight="1">
      <c r="A19" s="27" t="s">
        <v>14</v>
      </c>
      <c r="B19" s="28" t="s">
        <v>15</v>
      </c>
      <c r="C19" s="43">
        <f aca="true" t="shared" si="4" ref="C19:H19">C20+C24</f>
        <v>82450000</v>
      </c>
      <c r="D19" s="43">
        <f t="shared" si="4"/>
        <v>0</v>
      </c>
      <c r="E19" s="43">
        <f t="shared" si="4"/>
        <v>84750000</v>
      </c>
      <c r="F19" s="43">
        <f t="shared" si="4"/>
        <v>0</v>
      </c>
      <c r="G19" s="43">
        <f t="shared" si="4"/>
        <v>84750000</v>
      </c>
      <c r="H19" s="43">
        <f t="shared" si="4"/>
        <v>11614949</v>
      </c>
      <c r="I19" s="43">
        <f>I20+I24</f>
        <v>94064949</v>
      </c>
      <c r="J19" s="43">
        <f>J20+J24</f>
        <v>10759036</v>
      </c>
      <c r="K19" s="43">
        <f>K20+K24</f>
        <v>104823985</v>
      </c>
    </row>
    <row r="20" spans="1:11" s="471" customFormat="1" ht="23.25" customHeight="1">
      <c r="A20" s="25" t="s">
        <v>16</v>
      </c>
      <c r="B20" s="26" t="s">
        <v>17</v>
      </c>
      <c r="C20" s="215">
        <f>C21+C22+C23</f>
        <v>82300000</v>
      </c>
      <c r="D20" s="215">
        <f aca="true" t="shared" si="5" ref="D20:K20">D21+D22+D23</f>
        <v>0</v>
      </c>
      <c r="E20" s="215">
        <f t="shared" si="5"/>
        <v>84600000</v>
      </c>
      <c r="F20" s="215">
        <f t="shared" si="5"/>
        <v>0</v>
      </c>
      <c r="G20" s="215">
        <f t="shared" si="5"/>
        <v>84600000</v>
      </c>
      <c r="H20" s="215">
        <f t="shared" si="5"/>
        <v>11614949</v>
      </c>
      <c r="I20" s="215">
        <f t="shared" si="5"/>
        <v>93914949</v>
      </c>
      <c r="J20" s="215">
        <f t="shared" si="5"/>
        <v>10849786</v>
      </c>
      <c r="K20" s="215">
        <f t="shared" si="5"/>
        <v>104764735</v>
      </c>
    </row>
    <row r="21" spans="1:11" s="564" customFormat="1" ht="21.75" customHeight="1">
      <c r="A21" s="561" t="s">
        <v>18</v>
      </c>
      <c r="B21" s="562" t="s">
        <v>402</v>
      </c>
      <c r="C21" s="563">
        <v>80000000</v>
      </c>
      <c r="D21" s="563">
        <v>0</v>
      </c>
      <c r="E21" s="563">
        <v>80000000</v>
      </c>
      <c r="F21" s="563">
        <v>0</v>
      </c>
      <c r="G21" s="563">
        <v>80000000</v>
      </c>
      <c r="H21" s="563">
        <v>11614949</v>
      </c>
      <c r="I21" s="563">
        <f>G21+H21</f>
        <v>91614949</v>
      </c>
      <c r="J21" s="563">
        <v>10557510</v>
      </c>
      <c r="K21" s="563">
        <f>I21+J21</f>
        <v>102172459</v>
      </c>
    </row>
    <row r="22" spans="1:11" s="564" customFormat="1" ht="21.75" customHeight="1">
      <c r="A22" s="561" t="s">
        <v>19</v>
      </c>
      <c r="B22" s="562" t="s">
        <v>20</v>
      </c>
      <c r="C22" s="563">
        <v>2300000</v>
      </c>
      <c r="D22" s="563">
        <v>0</v>
      </c>
      <c r="E22" s="563">
        <v>2300000</v>
      </c>
      <c r="F22" s="563">
        <v>0</v>
      </c>
      <c r="G22" s="563">
        <v>2300000</v>
      </c>
      <c r="H22" s="563">
        <v>0</v>
      </c>
      <c r="I22" s="563">
        <v>2300000</v>
      </c>
      <c r="J22" s="563">
        <v>288076</v>
      </c>
      <c r="K22" s="563">
        <f>I22+J22</f>
        <v>2588076</v>
      </c>
    </row>
    <row r="23" spans="1:11" s="564" customFormat="1" ht="21.75" customHeight="1">
      <c r="A23" s="561" t="s">
        <v>21</v>
      </c>
      <c r="B23" s="562" t="s">
        <v>608</v>
      </c>
      <c r="C23" s="563">
        <v>0</v>
      </c>
      <c r="D23" s="563">
        <v>0</v>
      </c>
      <c r="E23" s="563">
        <v>2300000</v>
      </c>
      <c r="F23" s="563">
        <v>0</v>
      </c>
      <c r="G23" s="563">
        <v>2300000</v>
      </c>
      <c r="H23" s="563">
        <v>0</v>
      </c>
      <c r="I23" s="563">
        <v>0</v>
      </c>
      <c r="J23" s="563">
        <v>4200</v>
      </c>
      <c r="K23" s="563">
        <f>I23+J23</f>
        <v>4200</v>
      </c>
    </row>
    <row r="24" spans="1:11" s="471" customFormat="1" ht="21.75" customHeight="1">
      <c r="A24" s="25" t="s">
        <v>23</v>
      </c>
      <c r="B24" s="26" t="s">
        <v>24</v>
      </c>
      <c r="C24" s="45">
        <v>150000</v>
      </c>
      <c r="D24" s="45">
        <v>0</v>
      </c>
      <c r="E24" s="45">
        <v>150000</v>
      </c>
      <c r="F24" s="45">
        <v>0</v>
      </c>
      <c r="G24" s="45">
        <v>150000</v>
      </c>
      <c r="H24" s="45">
        <v>0</v>
      </c>
      <c r="I24" s="45">
        <v>150000</v>
      </c>
      <c r="J24" s="45">
        <v>-90750</v>
      </c>
      <c r="K24" s="45">
        <f>I24+J24</f>
        <v>59250</v>
      </c>
    </row>
    <row r="25" spans="1:11" ht="21.75" customHeight="1">
      <c r="A25" s="27" t="s">
        <v>25</v>
      </c>
      <c r="B25" s="28" t="s">
        <v>26</v>
      </c>
      <c r="C25" s="43">
        <f aca="true" t="shared" si="6" ref="C25:I25">SUM(C26:C33)</f>
        <v>11883000</v>
      </c>
      <c r="D25" s="43">
        <f t="shared" si="6"/>
        <v>0</v>
      </c>
      <c r="E25" s="43">
        <f t="shared" si="6"/>
        <v>11883000</v>
      </c>
      <c r="F25" s="43">
        <f t="shared" si="6"/>
        <v>0</v>
      </c>
      <c r="G25" s="43">
        <f t="shared" si="6"/>
        <v>11883000</v>
      </c>
      <c r="H25" s="43">
        <f t="shared" si="6"/>
        <v>678700</v>
      </c>
      <c r="I25" s="43">
        <f t="shared" si="6"/>
        <v>12561700</v>
      </c>
      <c r="J25" s="43">
        <f>SUM(J26:J33)</f>
        <v>1686285</v>
      </c>
      <c r="K25" s="43">
        <f>SUM(K26:K33)</f>
        <v>14247985</v>
      </c>
    </row>
    <row r="26" spans="1:11" ht="21.75" customHeight="1">
      <c r="A26" s="25" t="s">
        <v>27</v>
      </c>
      <c r="B26" s="26" t="s">
        <v>126</v>
      </c>
      <c r="C26" s="45">
        <v>3760000</v>
      </c>
      <c r="D26" s="45">
        <v>0</v>
      </c>
      <c r="E26" s="45">
        <v>3760000</v>
      </c>
      <c r="F26" s="45">
        <v>0</v>
      </c>
      <c r="G26" s="45">
        <v>3760000</v>
      </c>
      <c r="H26" s="45">
        <v>0</v>
      </c>
      <c r="I26" s="45">
        <v>3760000</v>
      </c>
      <c r="J26" s="45">
        <v>1199612</v>
      </c>
      <c r="K26" s="45">
        <f>I26+J26</f>
        <v>4959612</v>
      </c>
    </row>
    <row r="27" spans="1:11" ht="21.75" customHeight="1">
      <c r="A27" s="25" t="s">
        <v>237</v>
      </c>
      <c r="B27" s="26" t="s">
        <v>238</v>
      </c>
      <c r="C27" s="45">
        <v>637500</v>
      </c>
      <c r="D27" s="45">
        <v>0</v>
      </c>
      <c r="E27" s="45">
        <v>637500</v>
      </c>
      <c r="F27" s="45">
        <v>0</v>
      </c>
      <c r="G27" s="45">
        <v>637500</v>
      </c>
      <c r="H27" s="45">
        <v>0</v>
      </c>
      <c r="I27" s="45">
        <v>637500</v>
      </c>
      <c r="J27" s="45">
        <v>105566</v>
      </c>
      <c r="K27" s="45">
        <f aca="true" t="shared" si="7" ref="K27:K33">I27+J27</f>
        <v>743066</v>
      </c>
    </row>
    <row r="28" spans="1:11" ht="21.75" customHeight="1">
      <c r="A28" s="25" t="s">
        <v>28</v>
      </c>
      <c r="B28" s="26" t="s">
        <v>29</v>
      </c>
      <c r="C28" s="45">
        <v>6000000</v>
      </c>
      <c r="D28" s="45">
        <v>0</v>
      </c>
      <c r="E28" s="45">
        <v>6000000</v>
      </c>
      <c r="F28" s="45">
        <v>0</v>
      </c>
      <c r="G28" s="45">
        <v>6000000</v>
      </c>
      <c r="H28" s="45">
        <v>0</v>
      </c>
      <c r="I28" s="45">
        <v>6000000</v>
      </c>
      <c r="J28" s="45">
        <v>55668</v>
      </c>
      <c r="K28" s="45">
        <f t="shared" si="7"/>
        <v>6055668</v>
      </c>
    </row>
    <row r="29" spans="1:11" ht="18.75" customHeight="1">
      <c r="A29" s="25" t="s">
        <v>30</v>
      </c>
      <c r="B29" s="26" t="s">
        <v>31</v>
      </c>
      <c r="C29" s="45">
        <v>150000</v>
      </c>
      <c r="D29" s="45">
        <v>0</v>
      </c>
      <c r="E29" s="45">
        <v>150000</v>
      </c>
      <c r="F29" s="45">
        <v>0</v>
      </c>
      <c r="G29" s="45">
        <v>150000</v>
      </c>
      <c r="H29" s="45">
        <v>0</v>
      </c>
      <c r="I29" s="45">
        <v>150000</v>
      </c>
      <c r="J29" s="45">
        <v>14839</v>
      </c>
      <c r="K29" s="45">
        <f t="shared" si="7"/>
        <v>164839</v>
      </c>
    </row>
    <row r="30" spans="1:11" ht="24.75" customHeight="1">
      <c r="A30" s="25" t="s">
        <v>32</v>
      </c>
      <c r="B30" s="26" t="s">
        <v>33</v>
      </c>
      <c r="C30" s="45">
        <v>1265500</v>
      </c>
      <c r="D30" s="45">
        <v>0</v>
      </c>
      <c r="E30" s="45">
        <v>1265500</v>
      </c>
      <c r="F30" s="45">
        <v>0</v>
      </c>
      <c r="G30" s="45">
        <v>1265500</v>
      </c>
      <c r="H30" s="45">
        <v>0</v>
      </c>
      <c r="I30" s="45">
        <v>1265500</v>
      </c>
      <c r="J30" s="45">
        <v>373374</v>
      </c>
      <c r="K30" s="45">
        <f t="shared" si="7"/>
        <v>1638874</v>
      </c>
    </row>
    <row r="31" spans="1:11" ht="21.75" customHeight="1">
      <c r="A31" s="25" t="s">
        <v>34</v>
      </c>
      <c r="B31" s="26" t="s">
        <v>35</v>
      </c>
      <c r="C31" s="51">
        <v>10000</v>
      </c>
      <c r="D31" s="51">
        <v>0</v>
      </c>
      <c r="E31" s="51">
        <v>10000</v>
      </c>
      <c r="F31" s="51">
        <v>0</v>
      </c>
      <c r="G31" s="51">
        <v>10000</v>
      </c>
      <c r="H31" s="51">
        <v>0</v>
      </c>
      <c r="I31" s="51">
        <v>10000</v>
      </c>
      <c r="J31" s="51">
        <v>-9191</v>
      </c>
      <c r="K31" s="45">
        <f t="shared" si="7"/>
        <v>809</v>
      </c>
    </row>
    <row r="32" spans="1:11" ht="21.75" customHeight="1">
      <c r="A32" s="25" t="s">
        <v>36</v>
      </c>
      <c r="B32" s="26" t="s">
        <v>541</v>
      </c>
      <c r="C32" s="51">
        <v>0</v>
      </c>
      <c r="D32" s="51"/>
      <c r="E32" s="51"/>
      <c r="F32" s="51"/>
      <c r="G32" s="51">
        <v>0</v>
      </c>
      <c r="H32" s="51">
        <v>678700</v>
      </c>
      <c r="I32" s="51">
        <f>H32</f>
        <v>678700</v>
      </c>
      <c r="J32" s="51">
        <v>0</v>
      </c>
      <c r="K32" s="45">
        <f t="shared" si="7"/>
        <v>678700</v>
      </c>
    </row>
    <row r="33" spans="1:11" ht="21.75" customHeight="1">
      <c r="A33" s="25" t="s">
        <v>352</v>
      </c>
      <c r="B33" s="26" t="s">
        <v>37</v>
      </c>
      <c r="C33" s="51">
        <v>60000</v>
      </c>
      <c r="D33" s="51">
        <v>0</v>
      </c>
      <c r="E33" s="51">
        <v>60000</v>
      </c>
      <c r="F33" s="51">
        <v>0</v>
      </c>
      <c r="G33" s="51">
        <v>60000</v>
      </c>
      <c r="H33" s="51">
        <v>0</v>
      </c>
      <c r="I33" s="51">
        <v>60000</v>
      </c>
      <c r="J33" s="51">
        <v>-53583</v>
      </c>
      <c r="K33" s="45">
        <f t="shared" si="7"/>
        <v>6417</v>
      </c>
    </row>
    <row r="34" spans="1:11" ht="21.75" customHeight="1">
      <c r="A34" s="27" t="s">
        <v>38</v>
      </c>
      <c r="B34" s="28" t="s">
        <v>39</v>
      </c>
      <c r="C34" s="43">
        <f aca="true" t="shared" si="8" ref="C34:K36">SUM(C35:C35)</f>
        <v>0</v>
      </c>
      <c r="D34" s="43">
        <f t="shared" si="8"/>
        <v>0</v>
      </c>
      <c r="E34" s="43">
        <f t="shared" si="8"/>
        <v>50000</v>
      </c>
      <c r="F34" s="43">
        <f t="shared" si="8"/>
        <v>0</v>
      </c>
      <c r="G34" s="43">
        <f t="shared" si="8"/>
        <v>50000</v>
      </c>
      <c r="H34" s="43">
        <f t="shared" si="8"/>
        <v>0</v>
      </c>
      <c r="I34" s="43">
        <f t="shared" si="8"/>
        <v>0</v>
      </c>
      <c r="J34" s="43">
        <f t="shared" si="8"/>
        <v>11000</v>
      </c>
      <c r="K34" s="43">
        <f t="shared" si="8"/>
        <v>11000</v>
      </c>
    </row>
    <row r="35" spans="1:11" ht="21.75" customHeight="1" hidden="1">
      <c r="A35" s="25" t="s">
        <v>239</v>
      </c>
      <c r="B35" s="26" t="s">
        <v>240</v>
      </c>
      <c r="C35" s="45">
        <v>0</v>
      </c>
      <c r="D35" s="45">
        <v>0</v>
      </c>
      <c r="E35" s="45">
        <v>50000</v>
      </c>
      <c r="F35" s="45">
        <v>0</v>
      </c>
      <c r="G35" s="45">
        <v>50000</v>
      </c>
      <c r="H35" s="45">
        <v>0</v>
      </c>
      <c r="I35" s="45">
        <v>0</v>
      </c>
      <c r="J35" s="45">
        <v>11000</v>
      </c>
      <c r="K35" s="45">
        <f>J35</f>
        <v>11000</v>
      </c>
    </row>
    <row r="36" spans="1:11" ht="21.75" customHeight="1">
      <c r="A36" s="27" t="s">
        <v>40</v>
      </c>
      <c r="B36" s="28" t="s">
        <v>41</v>
      </c>
      <c r="C36" s="43">
        <f t="shared" si="8"/>
        <v>50000</v>
      </c>
      <c r="D36" s="43">
        <f t="shared" si="8"/>
        <v>0</v>
      </c>
      <c r="E36" s="43">
        <f t="shared" si="8"/>
        <v>50000</v>
      </c>
      <c r="F36" s="43">
        <f t="shared" si="8"/>
        <v>0</v>
      </c>
      <c r="G36" s="43">
        <f t="shared" si="8"/>
        <v>50000</v>
      </c>
      <c r="H36" s="43">
        <f t="shared" si="8"/>
        <v>0</v>
      </c>
      <c r="I36" s="43">
        <f t="shared" si="8"/>
        <v>50000</v>
      </c>
      <c r="J36" s="43">
        <f t="shared" si="8"/>
        <v>-40000</v>
      </c>
      <c r="K36" s="43">
        <f t="shared" si="8"/>
        <v>10000</v>
      </c>
    </row>
    <row r="37" spans="1:11" ht="21.75" customHeight="1" hidden="1">
      <c r="A37" s="25" t="s">
        <v>127</v>
      </c>
      <c r="B37" s="26" t="s">
        <v>42</v>
      </c>
      <c r="C37" s="45">
        <v>50000</v>
      </c>
      <c r="D37" s="45">
        <v>0</v>
      </c>
      <c r="E37" s="45">
        <v>50000</v>
      </c>
      <c r="F37" s="45">
        <v>0</v>
      </c>
      <c r="G37" s="45">
        <v>50000</v>
      </c>
      <c r="H37" s="45">
        <v>0</v>
      </c>
      <c r="I37" s="45">
        <v>50000</v>
      </c>
      <c r="J37" s="45">
        <v>-40000</v>
      </c>
      <c r="K37" s="45">
        <f>I37+J37</f>
        <v>10000</v>
      </c>
    </row>
    <row r="38" spans="1:11" ht="30" customHeight="1">
      <c r="A38" s="30" t="s">
        <v>180</v>
      </c>
      <c r="B38" s="31" t="s">
        <v>44</v>
      </c>
      <c r="C38" s="48">
        <f>C8+C16+C19+C25+C36+C34</f>
        <v>341543502</v>
      </c>
      <c r="D38" s="48">
        <f aca="true" t="shared" si="9" ref="D38:K38">D8+D16+D19+D25+D36+D34</f>
        <v>3706875</v>
      </c>
      <c r="E38" s="48">
        <f t="shared" si="9"/>
        <v>347600377</v>
      </c>
      <c r="F38" s="48">
        <f t="shared" si="9"/>
        <v>2494167</v>
      </c>
      <c r="G38" s="48">
        <f t="shared" si="9"/>
        <v>350094544</v>
      </c>
      <c r="H38" s="48">
        <f t="shared" si="9"/>
        <v>11934934</v>
      </c>
      <c r="I38" s="48">
        <f t="shared" si="9"/>
        <v>359679478</v>
      </c>
      <c r="J38" s="48">
        <f t="shared" si="9"/>
        <v>-53346136</v>
      </c>
      <c r="K38" s="48">
        <f t="shared" si="9"/>
        <v>306333342</v>
      </c>
    </row>
    <row r="39" spans="1:11" ht="21.75" customHeight="1">
      <c r="A39" s="27" t="s">
        <v>45</v>
      </c>
      <c r="B39" s="28" t="s">
        <v>46</v>
      </c>
      <c r="C39" s="216">
        <f aca="true" t="shared" si="10" ref="C39:I39">SUM(C40:C41)</f>
        <v>88071346</v>
      </c>
      <c r="D39" s="216">
        <f t="shared" si="10"/>
        <v>0</v>
      </c>
      <c r="E39" s="216">
        <f t="shared" si="10"/>
        <v>88071346</v>
      </c>
      <c r="F39" s="216">
        <f t="shared" si="10"/>
        <v>0</v>
      </c>
      <c r="G39" s="216">
        <f t="shared" si="10"/>
        <v>88071346</v>
      </c>
      <c r="H39" s="216">
        <f t="shared" si="10"/>
        <v>0</v>
      </c>
      <c r="I39" s="216">
        <f t="shared" si="10"/>
        <v>88071346</v>
      </c>
      <c r="J39" s="216">
        <f>SUM(J40:J41)</f>
        <v>4488745</v>
      </c>
      <c r="K39" s="216">
        <f>SUM(K40:K41)</f>
        <v>92560091</v>
      </c>
    </row>
    <row r="40" spans="1:11" ht="21.75" customHeight="1">
      <c r="A40" s="25" t="s">
        <v>47</v>
      </c>
      <c r="B40" s="26" t="s">
        <v>48</v>
      </c>
      <c r="C40" s="45">
        <v>88071346</v>
      </c>
      <c r="D40" s="45">
        <v>0</v>
      </c>
      <c r="E40" s="45">
        <v>88071346</v>
      </c>
      <c r="F40" s="45">
        <v>0</v>
      </c>
      <c r="G40" s="45">
        <v>88071346</v>
      </c>
      <c r="H40" s="45">
        <v>0</v>
      </c>
      <c r="I40" s="45">
        <v>88071346</v>
      </c>
      <c r="J40" s="45">
        <v>0</v>
      </c>
      <c r="K40" s="45">
        <v>88071346</v>
      </c>
    </row>
    <row r="41" spans="1:11" ht="21.75" customHeight="1">
      <c r="A41" s="25" t="s">
        <v>241</v>
      </c>
      <c r="B41" s="26" t="s">
        <v>242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4488745</v>
      </c>
      <c r="K41" s="45">
        <f>J41</f>
        <v>4488745</v>
      </c>
    </row>
    <row r="42" spans="1:11" s="19" customFormat="1" ht="37.5" customHeight="1" thickBot="1">
      <c r="A42" s="32" t="s">
        <v>128</v>
      </c>
      <c r="B42" s="33" t="s">
        <v>49</v>
      </c>
      <c r="C42" s="49">
        <f aca="true" t="shared" si="11" ref="C42:H42">C38+C39</f>
        <v>429614848</v>
      </c>
      <c r="D42" s="49">
        <f t="shared" si="11"/>
        <v>3706875</v>
      </c>
      <c r="E42" s="49">
        <f t="shared" si="11"/>
        <v>435671723</v>
      </c>
      <c r="F42" s="49">
        <f t="shared" si="11"/>
        <v>2494167</v>
      </c>
      <c r="G42" s="49">
        <f t="shared" si="11"/>
        <v>438165890</v>
      </c>
      <c r="H42" s="49">
        <f t="shared" si="11"/>
        <v>11934934</v>
      </c>
      <c r="I42" s="49">
        <f>I38+I39</f>
        <v>447750824</v>
      </c>
      <c r="J42" s="49">
        <f>J38+J39</f>
        <v>-48857391</v>
      </c>
      <c r="K42" s="49">
        <f>K38+K39</f>
        <v>398893433</v>
      </c>
    </row>
    <row r="43" spans="1:11" ht="15.75" thickTop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</sheetData>
  <sheetProtection/>
  <mergeCells count="4">
    <mergeCell ref="A5:B5"/>
    <mergeCell ref="A4:B4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rowBreaks count="1" manualBreakCount="1">
    <brk id="4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PageLayoutView="0" workbookViewId="0" topLeftCell="A1">
      <selection activeCell="A5" sqref="A5:B5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6.7109375" style="0" customWidth="1"/>
    <col min="4" max="4" width="16.140625" style="0" hidden="1" customWidth="1"/>
    <col min="5" max="5" width="16.28125" style="0" hidden="1" customWidth="1"/>
    <col min="6" max="6" width="16.140625" style="0" hidden="1" customWidth="1"/>
    <col min="7" max="7" width="16.28125" style="0" hidden="1" customWidth="1"/>
    <col min="8" max="8" width="16.140625" style="0" hidden="1" customWidth="1"/>
    <col min="9" max="9" width="16.28125" style="0" hidden="1" customWidth="1"/>
    <col min="10" max="10" width="16.140625" style="0" hidden="1" customWidth="1"/>
    <col min="11" max="11" width="16.28125" style="0" hidden="1" customWidth="1"/>
    <col min="12" max="12" width="16.140625" style="0" hidden="1" customWidth="1"/>
    <col min="13" max="13" width="16.28125" style="0" customWidth="1"/>
    <col min="14" max="14" width="16.140625" style="0" customWidth="1"/>
    <col min="15" max="15" width="16.28125" style="0" customWidth="1"/>
  </cols>
  <sheetData>
    <row r="1" spans="1:15" ht="30" customHeight="1">
      <c r="A1" s="605" t="s">
        <v>184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</row>
    <row r="2" spans="1:15" ht="18" customHeight="1">
      <c r="A2" s="606" t="s">
        <v>332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</row>
    <row r="3" spans="1:15" ht="18" customHeight="1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1:15" ht="19.5" customHeight="1">
      <c r="A4" s="600" t="s">
        <v>625</v>
      </c>
      <c r="B4" s="600"/>
      <c r="C4" s="260"/>
      <c r="D4" s="260"/>
      <c r="E4" s="260"/>
      <c r="F4" s="260"/>
      <c r="G4" s="201"/>
      <c r="H4" s="260"/>
      <c r="I4" s="201"/>
      <c r="J4" s="260"/>
      <c r="K4" s="201"/>
      <c r="L4" s="260"/>
      <c r="M4" s="201"/>
      <c r="N4" s="260"/>
      <c r="O4" s="201"/>
    </row>
    <row r="5" spans="1:15" ht="24" customHeight="1" thickBot="1">
      <c r="A5" s="599" t="s">
        <v>419</v>
      </c>
      <c r="B5" s="599"/>
      <c r="C5" s="262"/>
      <c r="D5" s="269"/>
      <c r="E5" s="269"/>
      <c r="F5" s="269"/>
      <c r="G5" s="39"/>
      <c r="H5" s="269"/>
      <c r="I5" s="39"/>
      <c r="J5" s="269"/>
      <c r="K5" s="39"/>
      <c r="L5" s="269"/>
      <c r="M5" s="39"/>
      <c r="N5" s="269"/>
      <c r="O5" s="39" t="s">
        <v>325</v>
      </c>
    </row>
    <row r="6" spans="1:15" ht="38.25" customHeight="1" thickBot="1" thickTop="1">
      <c r="A6" s="54" t="s">
        <v>0</v>
      </c>
      <c r="B6" s="55" t="s">
        <v>1</v>
      </c>
      <c r="C6" s="37" t="s">
        <v>353</v>
      </c>
      <c r="D6" s="37" t="s">
        <v>407</v>
      </c>
      <c r="E6" s="37" t="s">
        <v>406</v>
      </c>
      <c r="F6" s="37" t="s">
        <v>418</v>
      </c>
      <c r="G6" s="37" t="s">
        <v>417</v>
      </c>
      <c r="H6" s="37" t="s">
        <v>472</v>
      </c>
      <c r="I6" s="37" t="s">
        <v>471</v>
      </c>
      <c r="J6" s="37" t="s">
        <v>523</v>
      </c>
      <c r="K6" s="37" t="s">
        <v>521</v>
      </c>
      <c r="L6" s="37" t="s">
        <v>542</v>
      </c>
      <c r="M6" s="37" t="s">
        <v>540</v>
      </c>
      <c r="N6" s="37" t="s">
        <v>609</v>
      </c>
      <c r="O6" s="37" t="s">
        <v>605</v>
      </c>
    </row>
    <row r="7" spans="1:15" ht="12.75" customHeight="1" thickTop="1">
      <c r="A7" s="57" t="s">
        <v>92</v>
      </c>
      <c r="B7" s="58" t="s">
        <v>93</v>
      </c>
      <c r="C7" s="58" t="s">
        <v>94</v>
      </c>
      <c r="D7" s="58" t="s">
        <v>95</v>
      </c>
      <c r="E7" s="58" t="s">
        <v>95</v>
      </c>
      <c r="F7" s="58" t="s">
        <v>96</v>
      </c>
      <c r="G7" s="58" t="s">
        <v>95</v>
      </c>
      <c r="H7" s="58" t="s">
        <v>96</v>
      </c>
      <c r="I7" s="58" t="s">
        <v>95</v>
      </c>
      <c r="J7" s="58" t="s">
        <v>96</v>
      </c>
      <c r="K7" s="58" t="s">
        <v>95</v>
      </c>
      <c r="L7" s="58" t="s">
        <v>96</v>
      </c>
      <c r="M7" s="58" t="s">
        <v>95</v>
      </c>
      <c r="N7" s="58" t="s">
        <v>96</v>
      </c>
      <c r="O7" s="58" t="s">
        <v>304</v>
      </c>
    </row>
    <row r="8" spans="1:15" s="21" customFormat="1" ht="21.75" customHeight="1">
      <c r="A8" s="34" t="s">
        <v>50</v>
      </c>
      <c r="B8" s="35" t="s">
        <v>51</v>
      </c>
      <c r="C8" s="50">
        <f aca="true" t="shared" si="0" ref="C8:H8">C9+C16</f>
        <v>47206036</v>
      </c>
      <c r="D8" s="50">
        <f t="shared" si="0"/>
        <v>0</v>
      </c>
      <c r="E8" s="50">
        <f t="shared" si="0"/>
        <v>47206036</v>
      </c>
      <c r="F8" s="50">
        <f t="shared" si="0"/>
        <v>0</v>
      </c>
      <c r="G8" s="50">
        <f t="shared" si="0"/>
        <v>47206036</v>
      </c>
      <c r="H8" s="50">
        <f t="shared" si="0"/>
        <v>810990</v>
      </c>
      <c r="I8" s="50">
        <f>G8+H8</f>
        <v>48017026</v>
      </c>
      <c r="J8" s="50">
        <f>J9+J16</f>
        <v>0</v>
      </c>
      <c r="K8" s="50">
        <f>I8+J8</f>
        <v>48017026</v>
      </c>
      <c r="L8" s="50">
        <f>L9+L16</f>
        <v>3630000</v>
      </c>
      <c r="M8" s="50">
        <f>K8+L8</f>
        <v>51647026</v>
      </c>
      <c r="N8" s="50">
        <f>N9+N16</f>
        <v>3015000</v>
      </c>
      <c r="O8" s="50">
        <f>M8+N8</f>
        <v>54662026</v>
      </c>
    </row>
    <row r="9" spans="1:15" s="20" customFormat="1" ht="21.75" customHeight="1">
      <c r="A9" s="25" t="s">
        <v>52</v>
      </c>
      <c r="B9" s="26" t="s">
        <v>53</v>
      </c>
      <c r="C9" s="45">
        <f aca="true" t="shared" si="1" ref="C9:I9">SUM(C10:C15)</f>
        <v>36766036</v>
      </c>
      <c r="D9" s="45">
        <f t="shared" si="1"/>
        <v>0</v>
      </c>
      <c r="E9" s="45">
        <f t="shared" si="1"/>
        <v>36766036</v>
      </c>
      <c r="F9" s="45">
        <f t="shared" si="1"/>
        <v>0</v>
      </c>
      <c r="G9" s="45">
        <f t="shared" si="1"/>
        <v>36766036</v>
      </c>
      <c r="H9" s="45">
        <f t="shared" si="1"/>
        <v>0</v>
      </c>
      <c r="I9" s="45">
        <f t="shared" si="1"/>
        <v>36766036</v>
      </c>
      <c r="J9" s="45">
        <f aca="true" t="shared" si="2" ref="J9:O9">SUM(J10:J15)</f>
        <v>0</v>
      </c>
      <c r="K9" s="45">
        <f t="shared" si="2"/>
        <v>36766036</v>
      </c>
      <c r="L9" s="45">
        <f t="shared" si="2"/>
        <v>1150000</v>
      </c>
      <c r="M9" s="45">
        <f t="shared" si="2"/>
        <v>37916036</v>
      </c>
      <c r="N9" s="45">
        <f t="shared" si="2"/>
        <v>905000</v>
      </c>
      <c r="O9" s="45">
        <f t="shared" si="2"/>
        <v>38821036</v>
      </c>
    </row>
    <row r="10" spans="1:15" s="20" customFormat="1" ht="22.5" customHeight="1" hidden="1">
      <c r="A10" s="25" t="s">
        <v>134</v>
      </c>
      <c r="B10" s="26" t="s">
        <v>54</v>
      </c>
      <c r="C10" s="45">
        <v>33575000</v>
      </c>
      <c r="D10" s="45">
        <v>0</v>
      </c>
      <c r="E10" s="45">
        <v>33575000</v>
      </c>
      <c r="F10" s="45">
        <v>-30000</v>
      </c>
      <c r="G10" s="45">
        <f>E10+F10</f>
        <v>33545000</v>
      </c>
      <c r="H10" s="45">
        <v>0</v>
      </c>
      <c r="I10" s="45">
        <f aca="true" t="shared" si="3" ref="I10:I15">G10+H10</f>
        <v>33545000</v>
      </c>
      <c r="J10" s="45">
        <v>0</v>
      </c>
      <c r="K10" s="45">
        <f aca="true" t="shared" si="4" ref="K10:K15">I10+J10</f>
        <v>33545000</v>
      </c>
      <c r="L10" s="45">
        <v>950000</v>
      </c>
      <c r="M10" s="45">
        <f aca="true" t="shared" si="5" ref="M10:M15">K10+L10</f>
        <v>34495000</v>
      </c>
      <c r="N10" s="45">
        <v>-110000</v>
      </c>
      <c r="O10" s="45">
        <f aca="true" t="shared" si="6" ref="O10:O15">M10+N10</f>
        <v>34385000</v>
      </c>
    </row>
    <row r="11" spans="1:15" s="20" customFormat="1" ht="22.5" customHeight="1" hidden="1">
      <c r="A11" s="25" t="s">
        <v>187</v>
      </c>
      <c r="B11" s="26" t="s">
        <v>188</v>
      </c>
      <c r="C11" s="45">
        <v>0</v>
      </c>
      <c r="D11" s="45">
        <v>0</v>
      </c>
      <c r="E11" s="45">
        <v>0</v>
      </c>
      <c r="F11" s="45">
        <v>30000</v>
      </c>
      <c r="G11" s="45">
        <f>F11</f>
        <v>30000</v>
      </c>
      <c r="H11" s="45">
        <v>0</v>
      </c>
      <c r="I11" s="45">
        <f t="shared" si="3"/>
        <v>30000</v>
      </c>
      <c r="J11" s="45">
        <v>0</v>
      </c>
      <c r="K11" s="45">
        <f t="shared" si="4"/>
        <v>30000</v>
      </c>
      <c r="L11" s="45">
        <v>0</v>
      </c>
      <c r="M11" s="45">
        <f t="shared" si="5"/>
        <v>30000</v>
      </c>
      <c r="N11" s="45">
        <v>0</v>
      </c>
      <c r="O11" s="45">
        <f t="shared" si="6"/>
        <v>30000</v>
      </c>
    </row>
    <row r="12" spans="1:15" s="20" customFormat="1" ht="21.75" customHeight="1" hidden="1">
      <c r="A12" s="25" t="s">
        <v>135</v>
      </c>
      <c r="B12" s="26" t="s">
        <v>55</v>
      </c>
      <c r="C12" s="45">
        <v>2095036</v>
      </c>
      <c r="D12" s="45">
        <v>0</v>
      </c>
      <c r="E12" s="45">
        <v>2095036</v>
      </c>
      <c r="F12" s="45">
        <v>0</v>
      </c>
      <c r="G12" s="45">
        <v>2095036</v>
      </c>
      <c r="H12" s="45">
        <v>0</v>
      </c>
      <c r="I12" s="45">
        <f t="shared" si="3"/>
        <v>2095036</v>
      </c>
      <c r="J12" s="45">
        <v>0</v>
      </c>
      <c r="K12" s="45">
        <f t="shared" si="4"/>
        <v>2095036</v>
      </c>
      <c r="L12" s="45">
        <v>0</v>
      </c>
      <c r="M12" s="45">
        <f t="shared" si="5"/>
        <v>2095036</v>
      </c>
      <c r="N12" s="45">
        <v>455000</v>
      </c>
      <c r="O12" s="45">
        <f t="shared" si="6"/>
        <v>2550036</v>
      </c>
    </row>
    <row r="13" spans="1:15" s="20" customFormat="1" ht="21.75" customHeight="1" hidden="1">
      <c r="A13" s="25" t="s">
        <v>136</v>
      </c>
      <c r="B13" s="26" t="s">
        <v>56</v>
      </c>
      <c r="C13" s="45">
        <v>36000</v>
      </c>
      <c r="D13" s="45">
        <v>0</v>
      </c>
      <c r="E13" s="45">
        <v>36000</v>
      </c>
      <c r="F13" s="45">
        <v>0</v>
      </c>
      <c r="G13" s="45">
        <v>36000</v>
      </c>
      <c r="H13" s="45">
        <v>0</v>
      </c>
      <c r="I13" s="45">
        <f t="shared" si="3"/>
        <v>36000</v>
      </c>
      <c r="J13" s="45">
        <v>0</v>
      </c>
      <c r="K13" s="45">
        <f t="shared" si="4"/>
        <v>36000</v>
      </c>
      <c r="L13" s="45">
        <v>0</v>
      </c>
      <c r="M13" s="45">
        <f t="shared" si="5"/>
        <v>36000</v>
      </c>
      <c r="N13" s="45">
        <v>10000</v>
      </c>
      <c r="O13" s="45">
        <f t="shared" si="6"/>
        <v>46000</v>
      </c>
    </row>
    <row r="14" spans="1:15" s="20" customFormat="1" ht="21.75" customHeight="1" hidden="1">
      <c r="A14" s="25" t="s">
        <v>137</v>
      </c>
      <c r="B14" s="26" t="s">
        <v>57</v>
      </c>
      <c r="C14" s="45">
        <v>510000</v>
      </c>
      <c r="D14" s="45">
        <v>0</v>
      </c>
      <c r="E14" s="45">
        <v>510000</v>
      </c>
      <c r="F14" s="45">
        <v>0</v>
      </c>
      <c r="G14" s="45">
        <v>510000</v>
      </c>
      <c r="H14" s="45">
        <v>0</v>
      </c>
      <c r="I14" s="45">
        <f t="shared" si="3"/>
        <v>510000</v>
      </c>
      <c r="J14" s="45">
        <v>0</v>
      </c>
      <c r="K14" s="45">
        <f t="shared" si="4"/>
        <v>510000</v>
      </c>
      <c r="L14" s="45">
        <v>0</v>
      </c>
      <c r="M14" s="45">
        <f t="shared" si="5"/>
        <v>510000</v>
      </c>
      <c r="N14" s="45">
        <v>0</v>
      </c>
      <c r="O14" s="45">
        <f t="shared" si="6"/>
        <v>510000</v>
      </c>
    </row>
    <row r="15" spans="1:15" s="20" customFormat="1" ht="21.75" customHeight="1" hidden="1">
      <c r="A15" s="25" t="s">
        <v>138</v>
      </c>
      <c r="B15" s="26" t="s">
        <v>58</v>
      </c>
      <c r="C15" s="45">
        <v>550000</v>
      </c>
      <c r="D15" s="45">
        <v>0</v>
      </c>
      <c r="E15" s="45">
        <v>550000</v>
      </c>
      <c r="F15" s="45">
        <v>0</v>
      </c>
      <c r="G15" s="45">
        <v>550000</v>
      </c>
      <c r="H15" s="45">
        <v>0</v>
      </c>
      <c r="I15" s="45">
        <f t="shared" si="3"/>
        <v>550000</v>
      </c>
      <c r="J15" s="45">
        <v>0</v>
      </c>
      <c r="K15" s="45">
        <f t="shared" si="4"/>
        <v>550000</v>
      </c>
      <c r="L15" s="45">
        <v>200000</v>
      </c>
      <c r="M15" s="45">
        <f t="shared" si="5"/>
        <v>750000</v>
      </c>
      <c r="N15" s="45">
        <v>550000</v>
      </c>
      <c r="O15" s="45">
        <f t="shared" si="6"/>
        <v>1300000</v>
      </c>
    </row>
    <row r="16" spans="1:15" s="20" customFormat="1" ht="21.75" customHeight="1">
      <c r="A16" s="25" t="s">
        <v>59</v>
      </c>
      <c r="B16" s="26" t="s">
        <v>60</v>
      </c>
      <c r="C16" s="45">
        <f aca="true" t="shared" si="7" ref="C16:I16">SUM(C17:C19)</f>
        <v>10440000</v>
      </c>
      <c r="D16" s="45">
        <f t="shared" si="7"/>
        <v>0</v>
      </c>
      <c r="E16" s="45">
        <f t="shared" si="7"/>
        <v>10440000</v>
      </c>
      <c r="F16" s="45">
        <f t="shared" si="7"/>
        <v>0</v>
      </c>
      <c r="G16" s="45">
        <f t="shared" si="7"/>
        <v>10440000</v>
      </c>
      <c r="H16" s="45">
        <f t="shared" si="7"/>
        <v>810990</v>
      </c>
      <c r="I16" s="45">
        <f t="shared" si="7"/>
        <v>11250990</v>
      </c>
      <c r="J16" s="45">
        <f aca="true" t="shared" si="8" ref="J16:O16">SUM(J17:J19)</f>
        <v>0</v>
      </c>
      <c r="K16" s="45">
        <f t="shared" si="8"/>
        <v>11250990</v>
      </c>
      <c r="L16" s="45">
        <f t="shared" si="8"/>
        <v>2480000</v>
      </c>
      <c r="M16" s="45">
        <f t="shared" si="8"/>
        <v>13730990</v>
      </c>
      <c r="N16" s="45">
        <f t="shared" si="8"/>
        <v>2110000</v>
      </c>
      <c r="O16" s="45">
        <f t="shared" si="8"/>
        <v>15840990</v>
      </c>
    </row>
    <row r="17" spans="1:15" s="20" customFormat="1" ht="21.75" customHeight="1" hidden="1">
      <c r="A17" s="25" t="s">
        <v>139</v>
      </c>
      <c r="B17" s="26" t="s">
        <v>61</v>
      </c>
      <c r="C17" s="45">
        <v>7800000</v>
      </c>
      <c r="D17" s="45">
        <v>0</v>
      </c>
      <c r="E17" s="45">
        <v>7800000</v>
      </c>
      <c r="F17" s="45">
        <v>0</v>
      </c>
      <c r="G17" s="45">
        <v>7800000</v>
      </c>
      <c r="H17" s="45">
        <v>0</v>
      </c>
      <c r="I17" s="45">
        <f>G17+H17</f>
        <v>7800000</v>
      </c>
      <c r="J17" s="45">
        <v>-800000</v>
      </c>
      <c r="K17" s="45">
        <f>I17+J17</f>
        <v>7000000</v>
      </c>
      <c r="L17" s="45">
        <v>700000</v>
      </c>
      <c r="M17" s="45">
        <f>K17+L17</f>
        <v>7700000</v>
      </c>
      <c r="N17" s="45">
        <v>350000</v>
      </c>
      <c r="O17" s="45">
        <f>M17+N17</f>
        <v>8050000</v>
      </c>
    </row>
    <row r="18" spans="1:15" s="20" customFormat="1" ht="28.5" customHeight="1" hidden="1">
      <c r="A18" s="25" t="s">
        <v>140</v>
      </c>
      <c r="B18" s="26" t="s">
        <v>62</v>
      </c>
      <c r="C18" s="45">
        <v>2140000</v>
      </c>
      <c r="D18" s="45">
        <v>0</v>
      </c>
      <c r="E18" s="45">
        <v>2140000</v>
      </c>
      <c r="F18" s="45">
        <v>0</v>
      </c>
      <c r="G18" s="45">
        <v>2140000</v>
      </c>
      <c r="H18" s="45">
        <v>810990</v>
      </c>
      <c r="I18" s="45">
        <f>G18+H18</f>
        <v>2950990</v>
      </c>
      <c r="J18" s="45">
        <v>800000</v>
      </c>
      <c r="K18" s="45">
        <f>I18+J18</f>
        <v>3750990</v>
      </c>
      <c r="L18" s="45">
        <v>1400000</v>
      </c>
      <c r="M18" s="45">
        <f>K18+L18</f>
        <v>5150990</v>
      </c>
      <c r="N18" s="45">
        <v>650000</v>
      </c>
      <c r="O18" s="45">
        <f>M18+N18</f>
        <v>5800990</v>
      </c>
    </row>
    <row r="19" spans="1:15" s="20" customFormat="1" ht="21.75" customHeight="1" hidden="1">
      <c r="A19" s="25" t="s">
        <v>141</v>
      </c>
      <c r="B19" s="26" t="s">
        <v>63</v>
      </c>
      <c r="C19" s="45">
        <v>500000</v>
      </c>
      <c r="D19" s="45">
        <v>0</v>
      </c>
      <c r="E19" s="45">
        <v>500000</v>
      </c>
      <c r="F19" s="45">
        <v>0</v>
      </c>
      <c r="G19" s="45">
        <v>500000</v>
      </c>
      <c r="H19" s="45">
        <v>0</v>
      </c>
      <c r="I19" s="45">
        <f>G19+H19</f>
        <v>500000</v>
      </c>
      <c r="J19" s="45">
        <v>0</v>
      </c>
      <c r="K19" s="45">
        <f>I19+J19</f>
        <v>500000</v>
      </c>
      <c r="L19" s="45">
        <v>380000</v>
      </c>
      <c r="M19" s="45">
        <f>K19+L19</f>
        <v>880000</v>
      </c>
      <c r="N19" s="45">
        <v>1110000</v>
      </c>
      <c r="O19" s="45">
        <f>M19+N19</f>
        <v>1990000</v>
      </c>
    </row>
    <row r="20" spans="1:15" s="21" customFormat="1" ht="34.5" customHeight="1">
      <c r="A20" s="27" t="s">
        <v>64</v>
      </c>
      <c r="B20" s="29" t="s">
        <v>160</v>
      </c>
      <c r="C20" s="43">
        <v>11598180</v>
      </c>
      <c r="D20" s="43">
        <v>0</v>
      </c>
      <c r="E20" s="43">
        <v>11598180</v>
      </c>
      <c r="F20" s="43">
        <v>0</v>
      </c>
      <c r="G20" s="43">
        <v>11598180</v>
      </c>
      <c r="H20" s="43">
        <v>142329</v>
      </c>
      <c r="I20" s="43">
        <f>G20+H20</f>
        <v>11740509</v>
      </c>
      <c r="J20" s="43">
        <v>0</v>
      </c>
      <c r="K20" s="43">
        <f>I20+J20</f>
        <v>11740509</v>
      </c>
      <c r="L20" s="43">
        <v>150000</v>
      </c>
      <c r="M20" s="43">
        <f>K20+L20</f>
        <v>11890509</v>
      </c>
      <c r="N20" s="43">
        <v>-10083</v>
      </c>
      <c r="O20" s="43">
        <f>M20+N20</f>
        <v>11880426</v>
      </c>
    </row>
    <row r="21" spans="1:15" s="21" customFormat="1" ht="21.75" customHeight="1">
      <c r="A21" s="27" t="s">
        <v>65</v>
      </c>
      <c r="B21" s="28" t="s">
        <v>66</v>
      </c>
      <c r="C21" s="48">
        <f aca="true" t="shared" si="9" ref="C21:I21">C22+C25+C28+C35+C36</f>
        <v>42555558</v>
      </c>
      <c r="D21" s="48">
        <f t="shared" si="9"/>
        <v>0</v>
      </c>
      <c r="E21" s="48">
        <f t="shared" si="9"/>
        <v>42555558</v>
      </c>
      <c r="F21" s="48">
        <f t="shared" si="9"/>
        <v>0</v>
      </c>
      <c r="G21" s="48">
        <f t="shared" si="9"/>
        <v>42555558</v>
      </c>
      <c r="H21" s="48">
        <f t="shared" si="9"/>
        <v>-953319</v>
      </c>
      <c r="I21" s="48">
        <f t="shared" si="9"/>
        <v>41602239</v>
      </c>
      <c r="J21" s="48">
        <f aca="true" t="shared" si="10" ref="J21:O21">J22+J25+J28+J35+J36</f>
        <v>9468939</v>
      </c>
      <c r="K21" s="48">
        <f t="shared" si="10"/>
        <v>51071178</v>
      </c>
      <c r="L21" s="48">
        <f t="shared" si="10"/>
        <v>7029208</v>
      </c>
      <c r="M21" s="48">
        <f t="shared" si="10"/>
        <v>58100386</v>
      </c>
      <c r="N21" s="48">
        <f t="shared" si="10"/>
        <v>35731498</v>
      </c>
      <c r="O21" s="48">
        <f t="shared" si="10"/>
        <v>93831884</v>
      </c>
    </row>
    <row r="22" spans="1:15" s="20" customFormat="1" ht="21.75" customHeight="1">
      <c r="A22" s="25" t="s">
        <v>67</v>
      </c>
      <c r="B22" s="26" t="s">
        <v>68</v>
      </c>
      <c r="C22" s="45">
        <f aca="true" t="shared" si="11" ref="C22:I22">SUM(C23:C24)</f>
        <v>5516627</v>
      </c>
      <c r="D22" s="45">
        <f t="shared" si="11"/>
        <v>0</v>
      </c>
      <c r="E22" s="45">
        <f t="shared" si="11"/>
        <v>5516627</v>
      </c>
      <c r="F22" s="45">
        <f t="shared" si="11"/>
        <v>0</v>
      </c>
      <c r="G22" s="45">
        <f t="shared" si="11"/>
        <v>5516627</v>
      </c>
      <c r="H22" s="45">
        <f t="shared" si="11"/>
        <v>0</v>
      </c>
      <c r="I22" s="45">
        <f t="shared" si="11"/>
        <v>5516627</v>
      </c>
      <c r="J22" s="45">
        <f aca="true" t="shared" si="12" ref="J22:O22">SUM(J23:J24)</f>
        <v>700000</v>
      </c>
      <c r="K22" s="45">
        <f t="shared" si="12"/>
        <v>6216627</v>
      </c>
      <c r="L22" s="45">
        <f t="shared" si="12"/>
        <v>500000</v>
      </c>
      <c r="M22" s="45">
        <f t="shared" si="12"/>
        <v>6716627</v>
      </c>
      <c r="N22" s="45">
        <f t="shared" si="12"/>
        <v>2635000</v>
      </c>
      <c r="O22" s="45">
        <f t="shared" si="12"/>
        <v>9351627</v>
      </c>
    </row>
    <row r="23" spans="1:15" s="20" customFormat="1" ht="21.75" customHeight="1" hidden="1">
      <c r="A23" s="25" t="s">
        <v>146</v>
      </c>
      <c r="B23" s="26" t="s">
        <v>148</v>
      </c>
      <c r="C23" s="45">
        <v>900000</v>
      </c>
      <c r="D23" s="45">
        <v>0</v>
      </c>
      <c r="E23" s="45">
        <v>900000</v>
      </c>
      <c r="F23" s="45">
        <v>0</v>
      </c>
      <c r="G23" s="45">
        <v>900000</v>
      </c>
      <c r="H23" s="45">
        <v>0</v>
      </c>
      <c r="I23" s="45">
        <v>900000</v>
      </c>
      <c r="J23" s="45">
        <v>700000</v>
      </c>
      <c r="K23" s="45">
        <f>I23+J23</f>
        <v>1600000</v>
      </c>
      <c r="L23" s="45">
        <v>0</v>
      </c>
      <c r="M23" s="45">
        <f>K23+L23</f>
        <v>1600000</v>
      </c>
      <c r="N23" s="45">
        <v>0</v>
      </c>
      <c r="O23" s="45">
        <f>M23+N23</f>
        <v>1600000</v>
      </c>
    </row>
    <row r="24" spans="1:15" s="20" customFormat="1" ht="21.75" customHeight="1" hidden="1">
      <c r="A24" s="25" t="s">
        <v>147</v>
      </c>
      <c r="B24" s="26" t="s">
        <v>149</v>
      </c>
      <c r="C24" s="45">
        <v>4616627</v>
      </c>
      <c r="D24" s="45">
        <v>0</v>
      </c>
      <c r="E24" s="45">
        <v>4616627</v>
      </c>
      <c r="F24" s="45">
        <v>0</v>
      </c>
      <c r="G24" s="45">
        <v>4616627</v>
      </c>
      <c r="H24" s="45">
        <v>0</v>
      </c>
      <c r="I24" s="45">
        <v>4616627</v>
      </c>
      <c r="J24" s="45">
        <v>0</v>
      </c>
      <c r="K24" s="45">
        <v>4616627</v>
      </c>
      <c r="L24" s="45">
        <v>500000</v>
      </c>
      <c r="M24" s="45">
        <f>K24+L24</f>
        <v>5116627</v>
      </c>
      <c r="N24" s="45">
        <v>2635000</v>
      </c>
      <c r="O24" s="45">
        <f>M24+N24</f>
        <v>7751627</v>
      </c>
    </row>
    <row r="25" spans="1:15" s="20" customFormat="1" ht="21.75" customHeight="1">
      <c r="A25" s="25" t="s">
        <v>69</v>
      </c>
      <c r="B25" s="26" t="s">
        <v>70</v>
      </c>
      <c r="C25" s="45">
        <f aca="true" t="shared" si="13" ref="C25:I25">SUM(C26:C27)</f>
        <v>605000</v>
      </c>
      <c r="D25" s="45">
        <f t="shared" si="13"/>
        <v>0</v>
      </c>
      <c r="E25" s="45">
        <f t="shared" si="13"/>
        <v>605000</v>
      </c>
      <c r="F25" s="45">
        <f t="shared" si="13"/>
        <v>0</v>
      </c>
      <c r="G25" s="45">
        <f t="shared" si="13"/>
        <v>605000</v>
      </c>
      <c r="H25" s="45">
        <f t="shared" si="13"/>
        <v>0</v>
      </c>
      <c r="I25" s="45">
        <f t="shared" si="13"/>
        <v>605000</v>
      </c>
      <c r="J25" s="45">
        <f>SUM(J26:J27)</f>
        <v>200000</v>
      </c>
      <c r="K25" s="45">
        <f>SUM(K26:K27)</f>
        <v>805000</v>
      </c>
      <c r="L25" s="45">
        <f>SUM(L26:L27)</f>
        <v>200000</v>
      </c>
      <c r="M25" s="45">
        <f>K25+L25</f>
        <v>1005000</v>
      </c>
      <c r="N25" s="45">
        <f>SUM(N26:N27)</f>
        <v>0</v>
      </c>
      <c r="O25" s="45">
        <f>M25+N25</f>
        <v>1005000</v>
      </c>
    </row>
    <row r="26" spans="1:15" s="20" customFormat="1" ht="21.75" customHeight="1" hidden="1">
      <c r="A26" s="25" t="s">
        <v>142</v>
      </c>
      <c r="B26" s="26" t="s">
        <v>144</v>
      </c>
      <c r="C26" s="45">
        <v>140000</v>
      </c>
      <c r="D26" s="45">
        <v>0</v>
      </c>
      <c r="E26" s="45">
        <v>140000</v>
      </c>
      <c r="F26" s="45">
        <v>0</v>
      </c>
      <c r="G26" s="45">
        <v>140000</v>
      </c>
      <c r="H26" s="45">
        <v>0</v>
      </c>
      <c r="I26" s="45">
        <v>140000</v>
      </c>
      <c r="J26" s="45">
        <v>200000</v>
      </c>
      <c r="K26" s="45">
        <f>I26+J26</f>
        <v>340000</v>
      </c>
      <c r="L26" s="45">
        <v>100000</v>
      </c>
      <c r="M26" s="45">
        <f>K26+L26</f>
        <v>440000</v>
      </c>
      <c r="N26" s="45">
        <v>0</v>
      </c>
      <c r="O26" s="45">
        <f>M26+N26</f>
        <v>440000</v>
      </c>
    </row>
    <row r="27" spans="1:15" s="20" customFormat="1" ht="21.75" customHeight="1" hidden="1">
      <c r="A27" s="25" t="s">
        <v>143</v>
      </c>
      <c r="B27" s="26" t="s">
        <v>145</v>
      </c>
      <c r="C27" s="45">
        <v>465000</v>
      </c>
      <c r="D27" s="45">
        <v>0</v>
      </c>
      <c r="E27" s="45">
        <v>465000</v>
      </c>
      <c r="F27" s="45">
        <v>0</v>
      </c>
      <c r="G27" s="45">
        <v>465000</v>
      </c>
      <c r="H27" s="45">
        <v>0</v>
      </c>
      <c r="I27" s="45">
        <v>465000</v>
      </c>
      <c r="J27" s="45">
        <v>0</v>
      </c>
      <c r="K27" s="45">
        <v>465000</v>
      </c>
      <c r="L27" s="45">
        <v>100000</v>
      </c>
      <c r="M27" s="45">
        <f>K27+L27</f>
        <v>565000</v>
      </c>
      <c r="N27" s="45">
        <v>0</v>
      </c>
      <c r="O27" s="45">
        <f>M27+N27</f>
        <v>565000</v>
      </c>
    </row>
    <row r="28" spans="1:15" s="20" customFormat="1" ht="21.75" customHeight="1">
      <c r="A28" s="25" t="s">
        <v>71</v>
      </c>
      <c r="B28" s="26" t="s">
        <v>72</v>
      </c>
      <c r="C28" s="45">
        <f aca="true" t="shared" si="14" ref="C28:I28">SUM(C29:C34)</f>
        <v>26230331</v>
      </c>
      <c r="D28" s="45">
        <f t="shared" si="14"/>
        <v>0</v>
      </c>
      <c r="E28" s="45">
        <f t="shared" si="14"/>
        <v>26230331</v>
      </c>
      <c r="F28" s="45">
        <f t="shared" si="14"/>
        <v>0</v>
      </c>
      <c r="G28" s="45">
        <f t="shared" si="14"/>
        <v>26230331</v>
      </c>
      <c r="H28" s="45">
        <f t="shared" si="14"/>
        <v>-750645</v>
      </c>
      <c r="I28" s="45">
        <f t="shared" si="14"/>
        <v>25479686</v>
      </c>
      <c r="J28" s="45">
        <f aca="true" t="shared" si="15" ref="J28:O28">SUM(J29:J34)</f>
        <v>7053241</v>
      </c>
      <c r="K28" s="45">
        <f t="shared" si="15"/>
        <v>32532927</v>
      </c>
      <c r="L28" s="45">
        <f t="shared" si="15"/>
        <v>5243427</v>
      </c>
      <c r="M28" s="45">
        <f t="shared" si="15"/>
        <v>37776354</v>
      </c>
      <c r="N28" s="45">
        <f t="shared" si="15"/>
        <v>32511048</v>
      </c>
      <c r="O28" s="45">
        <f t="shared" si="15"/>
        <v>70287402</v>
      </c>
    </row>
    <row r="29" spans="1:15" s="20" customFormat="1" ht="21.75" customHeight="1" hidden="1">
      <c r="A29" s="25" t="s">
        <v>150</v>
      </c>
      <c r="B29" s="46" t="s">
        <v>543</v>
      </c>
      <c r="C29" s="45">
        <v>7575000</v>
      </c>
      <c r="D29" s="45">
        <v>0</v>
      </c>
      <c r="E29" s="45">
        <v>7575000</v>
      </c>
      <c r="F29" s="45">
        <v>0</v>
      </c>
      <c r="G29" s="45">
        <v>7575000</v>
      </c>
      <c r="H29" s="45">
        <v>0</v>
      </c>
      <c r="I29" s="45">
        <v>7575000</v>
      </c>
      <c r="J29" s="45">
        <v>0</v>
      </c>
      <c r="K29" s="45">
        <v>7575000</v>
      </c>
      <c r="L29" s="45">
        <v>0</v>
      </c>
      <c r="M29" s="45">
        <f aca="true" t="shared" si="16" ref="M29:M35">K29+L29</f>
        <v>7575000</v>
      </c>
      <c r="N29" s="45">
        <v>0</v>
      </c>
      <c r="O29" s="45">
        <f aca="true" t="shared" si="17" ref="O29:O35">M29+N29</f>
        <v>7575000</v>
      </c>
    </row>
    <row r="30" spans="1:15" s="20" customFormat="1" ht="21.75" customHeight="1" hidden="1">
      <c r="A30" s="25" t="s">
        <v>151</v>
      </c>
      <c r="B30" s="46" t="s">
        <v>152</v>
      </c>
      <c r="C30" s="45">
        <v>430000</v>
      </c>
      <c r="D30" s="45">
        <v>0</v>
      </c>
      <c r="E30" s="45">
        <v>430000</v>
      </c>
      <c r="F30" s="45">
        <v>0</v>
      </c>
      <c r="G30" s="45">
        <v>430000</v>
      </c>
      <c r="H30" s="45">
        <v>0</v>
      </c>
      <c r="I30" s="45">
        <v>430000</v>
      </c>
      <c r="J30" s="45">
        <v>0</v>
      </c>
      <c r="K30" s="45">
        <v>430000</v>
      </c>
      <c r="L30" s="45">
        <v>100000</v>
      </c>
      <c r="M30" s="45">
        <f t="shared" si="16"/>
        <v>530000</v>
      </c>
      <c r="N30" s="45">
        <v>0</v>
      </c>
      <c r="O30" s="45">
        <f t="shared" si="17"/>
        <v>530000</v>
      </c>
    </row>
    <row r="31" spans="1:15" s="20" customFormat="1" ht="21.75" customHeight="1" hidden="1">
      <c r="A31" s="25" t="s">
        <v>153</v>
      </c>
      <c r="B31" s="26" t="s">
        <v>154</v>
      </c>
      <c r="C31" s="45">
        <v>1760000</v>
      </c>
      <c r="D31" s="45">
        <v>0</v>
      </c>
      <c r="E31" s="45">
        <v>1760000</v>
      </c>
      <c r="F31" s="45">
        <v>0</v>
      </c>
      <c r="G31" s="45">
        <v>1760000</v>
      </c>
      <c r="H31" s="45">
        <v>0</v>
      </c>
      <c r="I31" s="45">
        <v>1760000</v>
      </c>
      <c r="J31" s="45">
        <v>200000</v>
      </c>
      <c r="K31" s="45">
        <f>I31+J31</f>
        <v>1960000</v>
      </c>
      <c r="L31" s="45">
        <v>500000</v>
      </c>
      <c r="M31" s="45">
        <f t="shared" si="16"/>
        <v>2460000</v>
      </c>
      <c r="N31" s="45">
        <v>70000</v>
      </c>
      <c r="O31" s="45">
        <f t="shared" si="17"/>
        <v>2530000</v>
      </c>
    </row>
    <row r="32" spans="1:15" s="20" customFormat="1" ht="21.75" customHeight="1" hidden="1">
      <c r="A32" s="25" t="s">
        <v>322</v>
      </c>
      <c r="B32" s="26" t="s">
        <v>323</v>
      </c>
      <c r="C32" s="45">
        <v>705000</v>
      </c>
      <c r="D32" s="45">
        <v>0</v>
      </c>
      <c r="E32" s="45">
        <v>705000</v>
      </c>
      <c r="F32" s="45">
        <v>0</v>
      </c>
      <c r="G32" s="45">
        <v>705000</v>
      </c>
      <c r="H32" s="45">
        <v>0</v>
      </c>
      <c r="I32" s="45">
        <v>705000</v>
      </c>
      <c r="J32" s="45">
        <v>0</v>
      </c>
      <c r="K32" s="45">
        <v>705000</v>
      </c>
      <c r="L32" s="45">
        <v>0</v>
      </c>
      <c r="M32" s="45">
        <f t="shared" si="16"/>
        <v>705000</v>
      </c>
      <c r="N32" s="45">
        <v>0</v>
      </c>
      <c r="O32" s="45">
        <f t="shared" si="17"/>
        <v>705000</v>
      </c>
    </row>
    <row r="33" spans="1:15" s="20" customFormat="1" ht="21.75" customHeight="1" hidden="1">
      <c r="A33" s="25" t="s">
        <v>155</v>
      </c>
      <c r="B33" s="26" t="s">
        <v>157</v>
      </c>
      <c r="C33" s="45">
        <v>10020331</v>
      </c>
      <c r="D33" s="45">
        <v>0</v>
      </c>
      <c r="E33" s="45">
        <v>10020331</v>
      </c>
      <c r="F33" s="45">
        <v>0</v>
      </c>
      <c r="G33" s="45">
        <v>10020331</v>
      </c>
      <c r="H33" s="45">
        <v>-750645</v>
      </c>
      <c r="I33" s="45">
        <f>G33+H33</f>
        <v>9269686</v>
      </c>
      <c r="J33" s="45">
        <v>6744651</v>
      </c>
      <c r="K33" s="45">
        <f>I33+J33</f>
        <v>16014337</v>
      </c>
      <c r="L33" s="45">
        <v>3816837</v>
      </c>
      <c r="M33" s="45">
        <f t="shared" si="16"/>
        <v>19831174</v>
      </c>
      <c r="N33" s="45">
        <v>31481465</v>
      </c>
      <c r="O33" s="45">
        <f t="shared" si="17"/>
        <v>51312639</v>
      </c>
    </row>
    <row r="34" spans="1:15" s="20" customFormat="1" ht="21.75" customHeight="1" hidden="1">
      <c r="A34" s="25" t="s">
        <v>156</v>
      </c>
      <c r="B34" s="26" t="s">
        <v>73</v>
      </c>
      <c r="C34" s="45">
        <v>5740000</v>
      </c>
      <c r="D34" s="45">
        <v>0</v>
      </c>
      <c r="E34" s="45">
        <v>5740000</v>
      </c>
      <c r="F34" s="45">
        <v>0</v>
      </c>
      <c r="G34" s="45">
        <v>5740000</v>
      </c>
      <c r="H34" s="45">
        <v>0</v>
      </c>
      <c r="I34" s="45">
        <f>G34+H34</f>
        <v>5740000</v>
      </c>
      <c r="J34" s="45">
        <v>108590</v>
      </c>
      <c r="K34" s="45">
        <f>I34+J34</f>
        <v>5848590</v>
      </c>
      <c r="L34" s="45">
        <v>826590</v>
      </c>
      <c r="M34" s="45">
        <f t="shared" si="16"/>
        <v>6675180</v>
      </c>
      <c r="N34" s="45">
        <v>959583</v>
      </c>
      <c r="O34" s="45">
        <f t="shared" si="17"/>
        <v>7634763</v>
      </c>
    </row>
    <row r="35" spans="1:15" s="20" customFormat="1" ht="21.75" customHeight="1">
      <c r="A35" s="571" t="s">
        <v>74</v>
      </c>
      <c r="B35" s="572" t="s">
        <v>75</v>
      </c>
      <c r="C35" s="51">
        <v>500000</v>
      </c>
      <c r="D35" s="51">
        <v>0</v>
      </c>
      <c r="E35" s="51">
        <v>500000</v>
      </c>
      <c r="F35" s="51">
        <v>0</v>
      </c>
      <c r="G35" s="51">
        <v>500000</v>
      </c>
      <c r="H35" s="51">
        <v>0</v>
      </c>
      <c r="I35" s="51">
        <v>500000</v>
      </c>
      <c r="J35" s="51">
        <v>0</v>
      </c>
      <c r="K35" s="51">
        <v>500000</v>
      </c>
      <c r="L35" s="51">
        <v>109450</v>
      </c>
      <c r="M35" s="51">
        <f t="shared" si="16"/>
        <v>609450</v>
      </c>
      <c r="N35" s="51">
        <v>125000</v>
      </c>
      <c r="O35" s="51">
        <f t="shared" si="17"/>
        <v>734450</v>
      </c>
    </row>
    <row r="36" spans="1:15" s="20" customFormat="1" ht="21.75" customHeight="1">
      <c r="A36" s="25" t="s">
        <v>76</v>
      </c>
      <c r="B36" s="26" t="s">
        <v>77</v>
      </c>
      <c r="C36" s="45">
        <f aca="true" t="shared" si="18" ref="C36:I36">SUM(C37:C39)</f>
        <v>9703600</v>
      </c>
      <c r="D36" s="45">
        <f t="shared" si="18"/>
        <v>0</v>
      </c>
      <c r="E36" s="45">
        <f t="shared" si="18"/>
        <v>9703600</v>
      </c>
      <c r="F36" s="45">
        <f t="shared" si="18"/>
        <v>0</v>
      </c>
      <c r="G36" s="45">
        <f t="shared" si="18"/>
        <v>9703600</v>
      </c>
      <c r="H36" s="45">
        <f t="shared" si="18"/>
        <v>-202674</v>
      </c>
      <c r="I36" s="45">
        <f t="shared" si="18"/>
        <v>9500926</v>
      </c>
      <c r="J36" s="45">
        <f aca="true" t="shared" si="19" ref="J36:O36">SUM(J37:J39)</f>
        <v>1515698</v>
      </c>
      <c r="K36" s="45">
        <f t="shared" si="19"/>
        <v>11016624</v>
      </c>
      <c r="L36" s="45">
        <f t="shared" si="19"/>
        <v>976331</v>
      </c>
      <c r="M36" s="45">
        <f t="shared" si="19"/>
        <v>11992955</v>
      </c>
      <c r="N36" s="45">
        <f t="shared" si="19"/>
        <v>460450</v>
      </c>
      <c r="O36" s="45">
        <f t="shared" si="19"/>
        <v>12453405</v>
      </c>
    </row>
    <row r="37" spans="1:15" s="20" customFormat="1" ht="21.75" customHeight="1" hidden="1">
      <c r="A37" s="25" t="s">
        <v>158</v>
      </c>
      <c r="B37" s="26" t="s">
        <v>326</v>
      </c>
      <c r="C37" s="209">
        <v>7553600</v>
      </c>
      <c r="D37" s="45">
        <v>-200000</v>
      </c>
      <c r="E37" s="209">
        <f>C37+D37</f>
        <v>7353600</v>
      </c>
      <c r="F37" s="45">
        <v>0</v>
      </c>
      <c r="G37" s="209">
        <f>E37+F37</f>
        <v>7353600</v>
      </c>
      <c r="H37" s="45">
        <v>-202674</v>
      </c>
      <c r="I37" s="209">
        <f>G37+H37</f>
        <v>7150926</v>
      </c>
      <c r="J37" s="45">
        <v>1248698</v>
      </c>
      <c r="K37" s="209">
        <f>I37+J37</f>
        <v>8399624</v>
      </c>
      <c r="L37" s="45">
        <v>644331</v>
      </c>
      <c r="M37" s="209">
        <f>K37+L37</f>
        <v>9043955</v>
      </c>
      <c r="N37" s="45">
        <v>460450</v>
      </c>
      <c r="O37" s="209">
        <f>M37+N37</f>
        <v>9504405</v>
      </c>
    </row>
    <row r="38" spans="1:15" s="20" customFormat="1" ht="21.75" customHeight="1" hidden="1">
      <c r="A38" s="25" t="s">
        <v>338</v>
      </c>
      <c r="B38" s="26" t="s">
        <v>339</v>
      </c>
      <c r="C38" s="215">
        <v>100000</v>
      </c>
      <c r="D38" s="215">
        <v>200000</v>
      </c>
      <c r="E38" s="209">
        <f>C38+D38</f>
        <v>300000</v>
      </c>
      <c r="F38" s="215">
        <v>0</v>
      </c>
      <c r="G38" s="209">
        <f>E38+F38</f>
        <v>300000</v>
      </c>
      <c r="H38" s="215">
        <v>0</v>
      </c>
      <c r="I38" s="209">
        <f>G38+H38</f>
        <v>300000</v>
      </c>
      <c r="J38" s="215">
        <v>267000</v>
      </c>
      <c r="K38" s="209">
        <f>I38+J38</f>
        <v>567000</v>
      </c>
      <c r="L38" s="215">
        <v>332000</v>
      </c>
      <c r="M38" s="209">
        <f>K38+L38</f>
        <v>899000</v>
      </c>
      <c r="N38" s="215">
        <v>0</v>
      </c>
      <c r="O38" s="209">
        <f>M38+N38</f>
        <v>899000</v>
      </c>
    </row>
    <row r="39" spans="1:15" s="20" customFormat="1" ht="21.75" customHeight="1" hidden="1">
      <c r="A39" s="25" t="s">
        <v>159</v>
      </c>
      <c r="B39" s="26" t="s">
        <v>78</v>
      </c>
      <c r="C39" s="209">
        <v>2050000</v>
      </c>
      <c r="D39" s="45">
        <v>0</v>
      </c>
      <c r="E39" s="209">
        <f>C39+D39</f>
        <v>2050000</v>
      </c>
      <c r="F39" s="45">
        <v>0</v>
      </c>
      <c r="G39" s="209">
        <f>E39+F39</f>
        <v>2050000</v>
      </c>
      <c r="H39" s="45">
        <v>0</v>
      </c>
      <c r="I39" s="209">
        <f>G39+H39</f>
        <v>2050000</v>
      </c>
      <c r="J39" s="45">
        <v>0</v>
      </c>
      <c r="K39" s="209">
        <f>I39+J39</f>
        <v>2050000</v>
      </c>
      <c r="L39" s="45">
        <v>0</v>
      </c>
      <c r="M39" s="209">
        <f>K39+L39</f>
        <v>2050000</v>
      </c>
      <c r="N39" s="45">
        <v>0</v>
      </c>
      <c r="O39" s="209">
        <f>M39+N39</f>
        <v>2050000</v>
      </c>
    </row>
    <row r="40" spans="1:15" s="21" customFormat="1" ht="21" customHeight="1">
      <c r="A40" s="27" t="s">
        <v>79</v>
      </c>
      <c r="B40" s="28" t="s">
        <v>80</v>
      </c>
      <c r="C40" s="43">
        <f aca="true" t="shared" si="20" ref="C40:I40">SUM(C41:C42)</f>
        <v>6315000</v>
      </c>
      <c r="D40" s="43">
        <f t="shared" si="20"/>
        <v>0</v>
      </c>
      <c r="E40" s="43">
        <f t="shared" si="20"/>
        <v>6315000</v>
      </c>
      <c r="F40" s="43">
        <f t="shared" si="20"/>
        <v>0</v>
      </c>
      <c r="G40" s="43">
        <f t="shared" si="20"/>
        <v>6315000</v>
      </c>
      <c r="H40" s="43">
        <f t="shared" si="20"/>
        <v>0</v>
      </c>
      <c r="I40" s="43">
        <f t="shared" si="20"/>
        <v>6315000</v>
      </c>
      <c r="J40" s="43">
        <f aca="true" t="shared" si="21" ref="J40:O40">SUM(J41:J42)</f>
        <v>0</v>
      </c>
      <c r="K40" s="43">
        <f t="shared" si="21"/>
        <v>6315000</v>
      </c>
      <c r="L40" s="43">
        <f t="shared" si="21"/>
        <v>1371600</v>
      </c>
      <c r="M40" s="43">
        <f t="shared" si="21"/>
        <v>7686600</v>
      </c>
      <c r="N40" s="43">
        <f t="shared" si="21"/>
        <v>-1695450</v>
      </c>
      <c r="O40" s="43">
        <f t="shared" si="21"/>
        <v>5991150</v>
      </c>
    </row>
    <row r="41" spans="1:15" s="21" customFormat="1" ht="21.75" customHeight="1">
      <c r="A41" s="25" t="s">
        <v>161</v>
      </c>
      <c r="B41" s="26" t="s">
        <v>123</v>
      </c>
      <c r="C41" s="45">
        <v>315000</v>
      </c>
      <c r="D41" s="45">
        <v>0</v>
      </c>
      <c r="E41" s="45">
        <v>315000</v>
      </c>
      <c r="F41" s="45">
        <v>0</v>
      </c>
      <c r="G41" s="45">
        <v>315000</v>
      </c>
      <c r="H41" s="45">
        <v>0</v>
      </c>
      <c r="I41" s="45">
        <v>315000</v>
      </c>
      <c r="J41" s="45">
        <v>0</v>
      </c>
      <c r="K41" s="45">
        <v>315000</v>
      </c>
      <c r="L41" s="45">
        <v>0</v>
      </c>
      <c r="M41" s="45">
        <v>315000</v>
      </c>
      <c r="N41" s="45">
        <v>0</v>
      </c>
      <c r="O41" s="45">
        <v>315000</v>
      </c>
    </row>
    <row r="42" spans="1:15" s="21" customFormat="1" ht="24" customHeight="1">
      <c r="A42" s="25" t="s">
        <v>163</v>
      </c>
      <c r="B42" s="26" t="s">
        <v>124</v>
      </c>
      <c r="C42" s="45">
        <v>6000000</v>
      </c>
      <c r="D42" s="45">
        <v>0</v>
      </c>
      <c r="E42" s="45">
        <v>6000000</v>
      </c>
      <c r="F42" s="45">
        <v>0</v>
      </c>
      <c r="G42" s="45">
        <v>6000000</v>
      </c>
      <c r="H42" s="45">
        <v>0</v>
      </c>
      <c r="I42" s="45">
        <v>6000000</v>
      </c>
      <c r="J42" s="45">
        <v>0</v>
      </c>
      <c r="K42" s="45">
        <v>6000000</v>
      </c>
      <c r="L42" s="45">
        <v>1371600</v>
      </c>
      <c r="M42" s="45">
        <f>K42+L42</f>
        <v>7371600</v>
      </c>
      <c r="N42" s="45">
        <v>-1695450</v>
      </c>
      <c r="O42" s="45">
        <f>M42+N42</f>
        <v>5676150</v>
      </c>
    </row>
    <row r="43" spans="1:15" s="21" customFormat="1" ht="21.75" customHeight="1">
      <c r="A43" s="27" t="s">
        <v>81</v>
      </c>
      <c r="B43" s="28" t="s">
        <v>125</v>
      </c>
      <c r="C43" s="48">
        <f aca="true" t="shared" si="22" ref="C43:H43">SUM(C44:C48)</f>
        <v>110559819</v>
      </c>
      <c r="D43" s="48">
        <f t="shared" si="22"/>
        <v>-500000</v>
      </c>
      <c r="E43" s="48">
        <f t="shared" si="22"/>
        <v>110059819</v>
      </c>
      <c r="F43" s="48">
        <f t="shared" si="22"/>
        <v>3717000</v>
      </c>
      <c r="G43" s="48">
        <f t="shared" si="22"/>
        <v>113776819</v>
      </c>
      <c r="H43" s="48">
        <f t="shared" si="22"/>
        <v>-17910301</v>
      </c>
      <c r="I43" s="48">
        <f>G43+H43</f>
        <v>95866518</v>
      </c>
      <c r="J43" s="48">
        <f>SUM(J44:J48)</f>
        <v>-778620</v>
      </c>
      <c r="K43" s="48">
        <f>I43+J43</f>
        <v>95087898</v>
      </c>
      <c r="L43" s="48">
        <f>SUM(L44:L48)</f>
        <v>-4809208</v>
      </c>
      <c r="M43" s="48">
        <f>K43+L43</f>
        <v>90278690</v>
      </c>
      <c r="N43" s="48">
        <f>SUM(N44:N48)</f>
        <v>-30551465</v>
      </c>
      <c r="O43" s="48">
        <f>M43+N43</f>
        <v>59727225</v>
      </c>
    </row>
    <row r="44" spans="1:15" s="21" customFormat="1" ht="26.25" customHeight="1">
      <c r="A44" s="25" t="s">
        <v>336</v>
      </c>
      <c r="B44" s="26" t="s">
        <v>337</v>
      </c>
      <c r="C44" s="45">
        <v>433401</v>
      </c>
      <c r="D44" s="45">
        <v>0</v>
      </c>
      <c r="E44" s="45">
        <v>433401</v>
      </c>
      <c r="F44" s="45">
        <v>0</v>
      </c>
      <c r="G44" s="45">
        <v>433401</v>
      </c>
      <c r="H44" s="45">
        <v>0</v>
      </c>
      <c r="I44" s="45">
        <v>433401</v>
      </c>
      <c r="J44" s="45">
        <v>0</v>
      </c>
      <c r="K44" s="45">
        <v>433401</v>
      </c>
      <c r="L44" s="45">
        <v>0</v>
      </c>
      <c r="M44" s="45">
        <v>433401</v>
      </c>
      <c r="N44" s="45">
        <v>0</v>
      </c>
      <c r="O44" s="45">
        <v>433401</v>
      </c>
    </row>
    <row r="45" spans="1:15" s="21" customFormat="1" ht="21.75" customHeight="1">
      <c r="A45" s="25" t="s">
        <v>164</v>
      </c>
      <c r="B45" s="26" t="s">
        <v>189</v>
      </c>
      <c r="C45" s="45">
        <v>47503395</v>
      </c>
      <c r="D45" s="45">
        <v>0</v>
      </c>
      <c r="E45" s="45">
        <v>47503395</v>
      </c>
      <c r="F45" s="45">
        <v>0</v>
      </c>
      <c r="G45" s="45">
        <v>47503395</v>
      </c>
      <c r="H45" s="45">
        <v>3200000</v>
      </c>
      <c r="I45" s="45">
        <f>G45+H45</f>
        <v>50703395</v>
      </c>
      <c r="J45" s="45">
        <v>0</v>
      </c>
      <c r="K45" s="45">
        <f>I45+J45</f>
        <v>50703395</v>
      </c>
      <c r="L45" s="45">
        <v>0</v>
      </c>
      <c r="M45" s="45">
        <f>K45+L45</f>
        <v>50703395</v>
      </c>
      <c r="N45" s="45">
        <v>0</v>
      </c>
      <c r="O45" s="45">
        <f>M45+N45</f>
        <v>50703395</v>
      </c>
    </row>
    <row r="46" spans="1:15" s="21" customFormat="1" ht="30.75" customHeight="1">
      <c r="A46" s="25" t="s">
        <v>165</v>
      </c>
      <c r="B46" s="26" t="s">
        <v>166</v>
      </c>
      <c r="C46" s="45">
        <v>50000</v>
      </c>
      <c r="D46" s="45">
        <v>0</v>
      </c>
      <c r="E46" s="45">
        <v>50000</v>
      </c>
      <c r="F46" s="45">
        <v>0</v>
      </c>
      <c r="G46" s="45">
        <v>50000</v>
      </c>
      <c r="H46" s="45">
        <v>0</v>
      </c>
      <c r="I46" s="45">
        <v>50000</v>
      </c>
      <c r="J46" s="45">
        <v>0</v>
      </c>
      <c r="K46" s="45">
        <v>50000</v>
      </c>
      <c r="L46" s="45">
        <v>100000</v>
      </c>
      <c r="M46" s="45">
        <f>K46+L46</f>
        <v>150000</v>
      </c>
      <c r="N46" s="45">
        <v>0</v>
      </c>
      <c r="O46" s="45">
        <f>M46+N46</f>
        <v>150000</v>
      </c>
    </row>
    <row r="47" spans="1:15" s="21" customFormat="1" ht="21.75" customHeight="1">
      <c r="A47" s="25" t="s">
        <v>324</v>
      </c>
      <c r="B47" s="26" t="s">
        <v>167</v>
      </c>
      <c r="C47" s="45">
        <v>4693429</v>
      </c>
      <c r="D47" s="45">
        <v>0</v>
      </c>
      <c r="E47" s="45">
        <v>4693429</v>
      </c>
      <c r="F47" s="45">
        <v>3717000</v>
      </c>
      <c r="G47" s="45">
        <f>E47+F47</f>
        <v>8410429</v>
      </c>
      <c r="H47" s="45">
        <v>0</v>
      </c>
      <c r="I47" s="45">
        <f>G47+H47</f>
        <v>8410429</v>
      </c>
      <c r="J47" s="45">
        <v>0</v>
      </c>
      <c r="K47" s="45">
        <f>I47+J47</f>
        <v>8410429</v>
      </c>
      <c r="L47" s="45">
        <v>-100000</v>
      </c>
      <c r="M47" s="45">
        <f>K47+L47</f>
        <v>8310429</v>
      </c>
      <c r="N47" s="45">
        <v>130000</v>
      </c>
      <c r="O47" s="45">
        <f>M47+N47</f>
        <v>8440429</v>
      </c>
    </row>
    <row r="48" spans="1:15" s="21" customFormat="1" ht="21.75" customHeight="1">
      <c r="A48" s="25" t="s">
        <v>234</v>
      </c>
      <c r="B48" s="26" t="s">
        <v>235</v>
      </c>
      <c r="C48" s="45">
        <v>57879594</v>
      </c>
      <c r="D48" s="45">
        <v>-500000</v>
      </c>
      <c r="E48" s="45">
        <f>C48+D48</f>
        <v>57379594</v>
      </c>
      <c r="F48" s="45">
        <v>0</v>
      </c>
      <c r="G48" s="45">
        <f>E48+F48</f>
        <v>57379594</v>
      </c>
      <c r="H48" s="45">
        <v>-21110301</v>
      </c>
      <c r="I48" s="45">
        <f>G48+H48</f>
        <v>36269293</v>
      </c>
      <c r="J48" s="45">
        <v>-778620</v>
      </c>
      <c r="K48" s="45">
        <f>I48+J48</f>
        <v>35490673</v>
      </c>
      <c r="L48" s="45">
        <v>-4809208</v>
      </c>
      <c r="M48" s="45">
        <f>K48+L48</f>
        <v>30681465</v>
      </c>
      <c r="N48" s="45">
        <v>-30681465</v>
      </c>
      <c r="O48" s="45">
        <f>M48+N48</f>
        <v>0</v>
      </c>
    </row>
    <row r="49" spans="1:15" s="21" customFormat="1" ht="21.75" customHeight="1">
      <c r="A49" s="27" t="s">
        <v>82</v>
      </c>
      <c r="B49" s="28" t="s">
        <v>83</v>
      </c>
      <c r="C49" s="218">
        <f>SUM(C50:C53)</f>
        <v>38100000</v>
      </c>
      <c r="D49" s="218">
        <f>SUM(D50:D54)-D54-D52</f>
        <v>4206875</v>
      </c>
      <c r="E49" s="218">
        <f>E50+E51+E53</f>
        <v>42306875</v>
      </c>
      <c r="F49" s="218">
        <f>SUM(F50:F54)-F54-F52</f>
        <v>0</v>
      </c>
      <c r="G49" s="218">
        <f>G50+G51+G53</f>
        <v>42306875</v>
      </c>
      <c r="H49" s="218">
        <f>SUM(H50:H54)-H54-H52</f>
        <v>-18850000</v>
      </c>
      <c r="I49" s="218">
        <f>I50+I51+I53</f>
        <v>23456875</v>
      </c>
      <c r="J49" s="218">
        <f>SUM(J50:J54)-J54-J52</f>
        <v>-2101369</v>
      </c>
      <c r="K49" s="218">
        <f>K50+K51+K53</f>
        <v>21355506</v>
      </c>
      <c r="L49" s="218">
        <f>SUM(L50:L54)-L54-L52</f>
        <v>16219747</v>
      </c>
      <c r="M49" s="218">
        <f>M50+M51+M53</f>
        <v>37575253</v>
      </c>
      <c r="N49" s="218">
        <f>SUM(N50:N54)-N54-N52</f>
        <v>2213964</v>
      </c>
      <c r="O49" s="218">
        <f>O50+O51+O53</f>
        <v>39789217</v>
      </c>
    </row>
    <row r="50" spans="1:15" s="21" customFormat="1" ht="21.75" customHeight="1" hidden="1">
      <c r="A50" s="25" t="s">
        <v>168</v>
      </c>
      <c r="B50" s="26" t="s">
        <v>171</v>
      </c>
      <c r="C50" s="45">
        <v>27559055</v>
      </c>
      <c r="D50" s="45">
        <v>0</v>
      </c>
      <c r="E50" s="45">
        <v>27559055</v>
      </c>
      <c r="F50" s="45">
        <v>0</v>
      </c>
      <c r="G50" s="45">
        <v>27559055</v>
      </c>
      <c r="H50" s="45">
        <v>-15118111</v>
      </c>
      <c r="I50" s="45">
        <f>G50+H50</f>
        <v>12440944</v>
      </c>
      <c r="J50" s="45">
        <v>-7496102</v>
      </c>
      <c r="K50" s="45">
        <f>I50+J50</f>
        <v>4944842</v>
      </c>
      <c r="L50" s="45">
        <v>2420000</v>
      </c>
      <c r="M50" s="45">
        <f>K50+L50</f>
        <v>7364842</v>
      </c>
      <c r="N50" s="45">
        <v>546050</v>
      </c>
      <c r="O50" s="45">
        <f>M50+N50</f>
        <v>7910892</v>
      </c>
    </row>
    <row r="51" spans="1:15" s="20" customFormat="1" ht="21.75" customHeight="1" hidden="1">
      <c r="A51" s="25" t="s">
        <v>169</v>
      </c>
      <c r="B51" s="26" t="s">
        <v>493</v>
      </c>
      <c r="C51" s="51">
        <v>2441180</v>
      </c>
      <c r="D51" s="51">
        <v>3312500</v>
      </c>
      <c r="E51" s="51">
        <f>C51+D51</f>
        <v>5753680</v>
      </c>
      <c r="F51" s="51">
        <v>0</v>
      </c>
      <c r="G51" s="51">
        <f>E51+F51</f>
        <v>5753680</v>
      </c>
      <c r="H51" s="51">
        <v>275590</v>
      </c>
      <c r="I51" s="51">
        <f>G51+H51</f>
        <v>6029270</v>
      </c>
      <c r="J51" s="51">
        <v>5992071</v>
      </c>
      <c r="K51" s="51">
        <f>I51+J51</f>
        <v>12021341</v>
      </c>
      <c r="L51" s="51">
        <v>10679879</v>
      </c>
      <c r="M51" s="51">
        <f>K51+L51</f>
        <v>22701220</v>
      </c>
      <c r="N51" s="51">
        <v>1197227</v>
      </c>
      <c r="O51" s="51">
        <f>M51+N51</f>
        <v>23898447</v>
      </c>
    </row>
    <row r="52" spans="1:15" s="273" customFormat="1" ht="21.75" customHeight="1">
      <c r="A52" s="270"/>
      <c r="B52" s="271" t="s">
        <v>408</v>
      </c>
      <c r="C52" s="272">
        <v>0</v>
      </c>
      <c r="D52" s="272">
        <v>3312500</v>
      </c>
      <c r="E52" s="272">
        <f>D52</f>
        <v>3312500</v>
      </c>
      <c r="F52" s="272">
        <v>0</v>
      </c>
      <c r="G52" s="272">
        <v>3312500</v>
      </c>
      <c r="H52" s="272">
        <v>0</v>
      </c>
      <c r="I52" s="272">
        <f>G52</f>
        <v>3312500</v>
      </c>
      <c r="J52" s="272">
        <v>0</v>
      </c>
      <c r="K52" s="272">
        <f>I52</f>
        <v>3312500</v>
      </c>
      <c r="L52" s="272">
        <v>-2650000</v>
      </c>
      <c r="M52" s="272">
        <f>K52+L52</f>
        <v>662500</v>
      </c>
      <c r="N52" s="272">
        <v>0</v>
      </c>
      <c r="O52" s="272">
        <f>M52+N52</f>
        <v>662500</v>
      </c>
    </row>
    <row r="53" spans="1:15" s="21" customFormat="1" ht="21.75" customHeight="1" hidden="1">
      <c r="A53" s="25" t="s">
        <v>170</v>
      </c>
      <c r="B53" s="26" t="s">
        <v>172</v>
      </c>
      <c r="C53" s="45">
        <v>8099765</v>
      </c>
      <c r="D53" s="45">
        <v>894375</v>
      </c>
      <c r="E53" s="45">
        <f>C53+D53</f>
        <v>8994140</v>
      </c>
      <c r="F53" s="45">
        <v>0</v>
      </c>
      <c r="G53" s="45">
        <f>E53+F53</f>
        <v>8994140</v>
      </c>
      <c r="H53" s="45">
        <v>-4007479</v>
      </c>
      <c r="I53" s="45">
        <f>G53+H53</f>
        <v>4986661</v>
      </c>
      <c r="J53" s="45">
        <v>-597338</v>
      </c>
      <c r="K53" s="45">
        <f>I53+J53</f>
        <v>4389323</v>
      </c>
      <c r="L53" s="45">
        <v>3119868</v>
      </c>
      <c r="M53" s="45">
        <f>K53+L53</f>
        <v>7509191</v>
      </c>
      <c r="N53" s="45">
        <v>470687</v>
      </c>
      <c r="O53" s="45">
        <f>M53+N53</f>
        <v>7979878</v>
      </c>
    </row>
    <row r="54" spans="1:15" s="273" customFormat="1" ht="21.75" customHeight="1">
      <c r="A54" s="270"/>
      <c r="B54" s="271" t="s">
        <v>409</v>
      </c>
      <c r="C54" s="274">
        <v>0</v>
      </c>
      <c r="D54" s="274">
        <v>894375</v>
      </c>
      <c r="E54" s="274">
        <f>D54</f>
        <v>894375</v>
      </c>
      <c r="F54" s="274">
        <v>0</v>
      </c>
      <c r="G54" s="274">
        <v>894375</v>
      </c>
      <c r="H54" s="274">
        <v>0</v>
      </c>
      <c r="I54" s="274">
        <f>G54</f>
        <v>894375</v>
      </c>
      <c r="J54" s="274">
        <v>0</v>
      </c>
      <c r="K54" s="274">
        <f>I54</f>
        <v>894375</v>
      </c>
      <c r="L54" s="274">
        <v>-715500</v>
      </c>
      <c r="M54" s="274">
        <f>K54+L54</f>
        <v>178875</v>
      </c>
      <c r="N54" s="274">
        <v>0</v>
      </c>
      <c r="O54" s="274">
        <f>M54+N54</f>
        <v>178875</v>
      </c>
    </row>
    <row r="55" spans="1:15" s="21" customFormat="1" ht="21.75" customHeight="1">
      <c r="A55" s="27" t="s">
        <v>84</v>
      </c>
      <c r="B55" s="28" t="s">
        <v>85</v>
      </c>
      <c r="C55" s="48">
        <f aca="true" t="shared" si="23" ref="C55:I55">SUM(C56:C57)</f>
        <v>95154097</v>
      </c>
      <c r="D55" s="48">
        <f t="shared" si="23"/>
        <v>0</v>
      </c>
      <c r="E55" s="48">
        <f t="shared" si="23"/>
        <v>95154097</v>
      </c>
      <c r="F55" s="48">
        <f t="shared" si="23"/>
        <v>-3717000</v>
      </c>
      <c r="G55" s="48">
        <f t="shared" si="23"/>
        <v>91437097</v>
      </c>
      <c r="H55" s="48">
        <f t="shared" si="23"/>
        <v>-1410000</v>
      </c>
      <c r="I55" s="48">
        <f t="shared" si="23"/>
        <v>90027097</v>
      </c>
      <c r="J55" s="48">
        <f aca="true" t="shared" si="24" ref="J55:O55">SUM(J56:J57)</f>
        <v>-7551833</v>
      </c>
      <c r="K55" s="48">
        <f t="shared" si="24"/>
        <v>82475264</v>
      </c>
      <c r="L55" s="48">
        <f t="shared" si="24"/>
        <v>-10555264</v>
      </c>
      <c r="M55" s="48">
        <f t="shared" si="24"/>
        <v>71920000</v>
      </c>
      <c r="N55" s="48">
        <f t="shared" si="24"/>
        <v>-55000000</v>
      </c>
      <c r="O55" s="48">
        <f t="shared" si="24"/>
        <v>16920000</v>
      </c>
    </row>
    <row r="56" spans="1:15" s="21" customFormat="1" ht="21.75" customHeight="1" hidden="1">
      <c r="A56" s="25" t="s">
        <v>173</v>
      </c>
      <c r="B56" s="26" t="s">
        <v>175</v>
      </c>
      <c r="C56" s="45">
        <v>74924194</v>
      </c>
      <c r="D56" s="45">
        <v>0</v>
      </c>
      <c r="E56" s="45">
        <v>74924194</v>
      </c>
      <c r="F56" s="45">
        <v>-2926772</v>
      </c>
      <c r="G56" s="45">
        <v>71997422</v>
      </c>
      <c r="H56" s="45">
        <v>-1110236</v>
      </c>
      <c r="I56" s="45">
        <f>G56+H56</f>
        <v>70887186</v>
      </c>
      <c r="J56" s="45">
        <v>-5946325</v>
      </c>
      <c r="K56" s="45">
        <f>I56+J56</f>
        <v>64940861</v>
      </c>
      <c r="L56" s="45">
        <v>-8312019</v>
      </c>
      <c r="M56" s="45">
        <f>K56+L56</f>
        <v>56628842</v>
      </c>
      <c r="N56" s="45">
        <v>-43307000</v>
      </c>
      <c r="O56" s="45">
        <f>M56+N56</f>
        <v>13321842</v>
      </c>
    </row>
    <row r="57" spans="1:15" s="21" customFormat="1" ht="21.75" customHeight="1" hidden="1">
      <c r="A57" s="25" t="s">
        <v>174</v>
      </c>
      <c r="B57" s="26" t="s">
        <v>176</v>
      </c>
      <c r="C57" s="45">
        <v>20229903</v>
      </c>
      <c r="D57" s="45">
        <v>0</v>
      </c>
      <c r="E57" s="45">
        <v>20229903</v>
      </c>
      <c r="F57" s="45">
        <v>-790228</v>
      </c>
      <c r="G57" s="45">
        <v>19439675</v>
      </c>
      <c r="H57" s="45">
        <v>-299764</v>
      </c>
      <c r="I57" s="45">
        <f>G57+H57</f>
        <v>19139911</v>
      </c>
      <c r="J57" s="45">
        <v>-1605508</v>
      </c>
      <c r="K57" s="45">
        <f>I57+J57</f>
        <v>17534403</v>
      </c>
      <c r="L57" s="45">
        <v>-2243245</v>
      </c>
      <c r="M57" s="45">
        <f>K57+L57</f>
        <v>15291158</v>
      </c>
      <c r="N57" s="45">
        <v>-11693000</v>
      </c>
      <c r="O57" s="45">
        <f>M57+N57</f>
        <v>3598158</v>
      </c>
    </row>
    <row r="58" spans="1:15" s="21" customFormat="1" ht="21.75" customHeight="1">
      <c r="A58" s="27" t="s">
        <v>86</v>
      </c>
      <c r="B58" s="28" t="s">
        <v>178</v>
      </c>
      <c r="C58" s="43">
        <f>SUM(C59:C60)</f>
        <v>550000</v>
      </c>
      <c r="D58" s="43">
        <f aca="true" t="shared" si="25" ref="D58:I58">SUM(D59:D60)</f>
        <v>0</v>
      </c>
      <c r="E58" s="43">
        <f t="shared" si="25"/>
        <v>1100000</v>
      </c>
      <c r="F58" s="43">
        <f t="shared" si="25"/>
        <v>0</v>
      </c>
      <c r="G58" s="43">
        <f t="shared" si="25"/>
        <v>550000</v>
      </c>
      <c r="H58" s="43">
        <f t="shared" si="25"/>
        <v>38170301</v>
      </c>
      <c r="I58" s="43">
        <f t="shared" si="25"/>
        <v>38720301</v>
      </c>
      <c r="J58" s="43">
        <f aca="true" t="shared" si="26" ref="J58:O58">SUM(J59:J60)</f>
        <v>411050</v>
      </c>
      <c r="K58" s="43">
        <f t="shared" si="26"/>
        <v>39131351</v>
      </c>
      <c r="L58" s="43">
        <f t="shared" si="26"/>
        <v>0</v>
      </c>
      <c r="M58" s="43">
        <f t="shared" si="26"/>
        <v>39131351</v>
      </c>
      <c r="N58" s="43">
        <f t="shared" si="26"/>
        <v>0</v>
      </c>
      <c r="O58" s="43">
        <f t="shared" si="26"/>
        <v>39131351</v>
      </c>
    </row>
    <row r="59" spans="1:15" s="21" customFormat="1" ht="21.75" customHeight="1">
      <c r="A59" s="25" t="s">
        <v>473</v>
      </c>
      <c r="B59" s="26" t="s">
        <v>474</v>
      </c>
      <c r="C59" s="45">
        <v>0</v>
      </c>
      <c r="D59" s="45">
        <v>0</v>
      </c>
      <c r="E59" s="45">
        <v>550000</v>
      </c>
      <c r="F59" s="45">
        <v>0</v>
      </c>
      <c r="G59" s="45">
        <v>0</v>
      </c>
      <c r="H59" s="45">
        <v>37910301</v>
      </c>
      <c r="I59" s="45">
        <f>H59</f>
        <v>37910301</v>
      </c>
      <c r="J59" s="45">
        <v>411050</v>
      </c>
      <c r="K59" s="45">
        <f>I59+J59</f>
        <v>38321351</v>
      </c>
      <c r="L59" s="45">
        <v>0</v>
      </c>
      <c r="M59" s="45">
        <f>K59+L59</f>
        <v>38321351</v>
      </c>
      <c r="N59" s="45">
        <v>0</v>
      </c>
      <c r="O59" s="45">
        <f>M59+N59</f>
        <v>38321351</v>
      </c>
    </row>
    <row r="60" spans="1:15" s="21" customFormat="1" ht="21.75" customHeight="1">
      <c r="A60" s="25" t="s">
        <v>334</v>
      </c>
      <c r="B60" s="26" t="s">
        <v>335</v>
      </c>
      <c r="C60" s="45">
        <v>550000</v>
      </c>
      <c r="D60" s="45">
        <v>0</v>
      </c>
      <c r="E60" s="45">
        <v>550000</v>
      </c>
      <c r="F60" s="45">
        <v>0</v>
      </c>
      <c r="G60" s="45">
        <v>550000</v>
      </c>
      <c r="H60" s="45">
        <v>260000</v>
      </c>
      <c r="I60" s="45">
        <f>G60+H60</f>
        <v>810000</v>
      </c>
      <c r="J60" s="45">
        <v>0</v>
      </c>
      <c r="K60" s="45">
        <f>I60+J60</f>
        <v>810000</v>
      </c>
      <c r="L60" s="45">
        <v>0</v>
      </c>
      <c r="M60" s="45">
        <f>K60+L60</f>
        <v>810000</v>
      </c>
      <c r="N60" s="45">
        <v>0</v>
      </c>
      <c r="O60" s="45">
        <f>M60+N60</f>
        <v>810000</v>
      </c>
    </row>
    <row r="61" spans="1:15" s="22" customFormat="1" ht="36" customHeight="1">
      <c r="A61" s="245" t="s">
        <v>179</v>
      </c>
      <c r="B61" s="53" t="s">
        <v>87</v>
      </c>
      <c r="C61" s="100">
        <f aca="true" t="shared" si="27" ref="C61:I61">C8+C20+C21+C40+C43+C49+C55+C58</f>
        <v>352038690</v>
      </c>
      <c r="D61" s="100">
        <f t="shared" si="27"/>
        <v>3706875</v>
      </c>
      <c r="E61" s="100">
        <f t="shared" si="27"/>
        <v>356295565</v>
      </c>
      <c r="F61" s="100">
        <f t="shared" si="27"/>
        <v>0</v>
      </c>
      <c r="G61" s="100">
        <f t="shared" si="27"/>
        <v>355745565</v>
      </c>
      <c r="H61" s="100">
        <f>H8+H20+H21+H40+H43+H49+H55+H58</f>
        <v>0</v>
      </c>
      <c r="I61" s="100">
        <f t="shared" si="27"/>
        <v>355745565</v>
      </c>
      <c r="J61" s="100">
        <f aca="true" t="shared" si="28" ref="J61:O61">J8+J20+J21+J40+J43+J49+J55+J58</f>
        <v>-551833</v>
      </c>
      <c r="K61" s="100">
        <f t="shared" si="28"/>
        <v>355193732</v>
      </c>
      <c r="L61" s="100">
        <f t="shared" si="28"/>
        <v>13036083</v>
      </c>
      <c r="M61" s="100">
        <f t="shared" si="28"/>
        <v>368229815</v>
      </c>
      <c r="N61" s="100">
        <f t="shared" si="28"/>
        <v>-46296536</v>
      </c>
      <c r="O61" s="100">
        <f t="shared" si="28"/>
        <v>321933279</v>
      </c>
    </row>
    <row r="62" spans="1:15" s="20" customFormat="1" ht="21.75" customHeight="1">
      <c r="A62" s="245" t="s">
        <v>88</v>
      </c>
      <c r="B62" s="53" t="s">
        <v>89</v>
      </c>
      <c r="C62" s="48">
        <f aca="true" t="shared" si="29" ref="C62:I62">SUM(C63:C64)</f>
        <v>77576158</v>
      </c>
      <c r="D62" s="48">
        <f t="shared" si="29"/>
        <v>0</v>
      </c>
      <c r="E62" s="48">
        <f t="shared" si="29"/>
        <v>77576158</v>
      </c>
      <c r="F62" s="48">
        <f t="shared" si="29"/>
        <v>0</v>
      </c>
      <c r="G62" s="48">
        <f t="shared" si="29"/>
        <v>77576158</v>
      </c>
      <c r="H62" s="48">
        <f t="shared" si="29"/>
        <v>0</v>
      </c>
      <c r="I62" s="48">
        <f t="shared" si="29"/>
        <v>77576158</v>
      </c>
      <c r="J62" s="48">
        <f aca="true" t="shared" si="30" ref="J62:O62">SUM(J63:J64)</f>
        <v>3046000</v>
      </c>
      <c r="K62" s="48">
        <f t="shared" si="30"/>
        <v>80622158</v>
      </c>
      <c r="L62" s="48">
        <f t="shared" si="30"/>
        <v>-1101149</v>
      </c>
      <c r="M62" s="48">
        <f t="shared" si="30"/>
        <v>79521009</v>
      </c>
      <c r="N62" s="48">
        <f t="shared" si="30"/>
        <v>-2560855</v>
      </c>
      <c r="O62" s="48">
        <f t="shared" si="30"/>
        <v>76960154</v>
      </c>
    </row>
    <row r="63" spans="1:15" s="20" customFormat="1" ht="21.75" customHeight="1">
      <c r="A63" s="25" t="s">
        <v>190</v>
      </c>
      <c r="B63" s="26" t="s">
        <v>191</v>
      </c>
      <c r="C63" s="45">
        <v>4276181</v>
      </c>
      <c r="D63" s="45">
        <v>0</v>
      </c>
      <c r="E63" s="45">
        <v>4276181</v>
      </c>
      <c r="F63" s="45">
        <v>0</v>
      </c>
      <c r="G63" s="45">
        <v>4276181</v>
      </c>
      <c r="H63" s="45">
        <v>0</v>
      </c>
      <c r="I63" s="45">
        <v>4276181</v>
      </c>
      <c r="J63" s="45">
        <v>0</v>
      </c>
      <c r="K63" s="45">
        <v>4276181</v>
      </c>
      <c r="L63" s="45">
        <v>0</v>
      </c>
      <c r="M63" s="45">
        <v>4276181</v>
      </c>
      <c r="N63" s="45">
        <v>10083</v>
      </c>
      <c r="O63" s="45">
        <f>M63+N63</f>
        <v>4286264</v>
      </c>
    </row>
    <row r="64" spans="1:15" s="22" customFormat="1" ht="30.75" customHeight="1">
      <c r="A64" s="25" t="s">
        <v>177</v>
      </c>
      <c r="B64" s="26" t="s">
        <v>90</v>
      </c>
      <c r="C64" s="45">
        <v>73299977</v>
      </c>
      <c r="D64" s="45">
        <v>0</v>
      </c>
      <c r="E64" s="45">
        <v>73299977</v>
      </c>
      <c r="F64" s="45">
        <v>0</v>
      </c>
      <c r="G64" s="45">
        <v>73299977</v>
      </c>
      <c r="H64" s="45">
        <v>0</v>
      </c>
      <c r="I64" s="45">
        <v>73299977</v>
      </c>
      <c r="J64" s="45">
        <v>3046000</v>
      </c>
      <c r="K64" s="45">
        <f>I64+J64</f>
        <v>76345977</v>
      </c>
      <c r="L64" s="45">
        <v>-1101149</v>
      </c>
      <c r="M64" s="45">
        <f>K64+L64</f>
        <v>75244828</v>
      </c>
      <c r="N64" s="45">
        <v>-2570938</v>
      </c>
      <c r="O64" s="45">
        <f>M64+N64</f>
        <v>72673890</v>
      </c>
    </row>
    <row r="65" spans="1:15" ht="30" thickBot="1">
      <c r="A65" s="246" t="s">
        <v>181</v>
      </c>
      <c r="B65" s="247" t="s">
        <v>91</v>
      </c>
      <c r="C65" s="101">
        <f aca="true" t="shared" si="31" ref="C65:I65">C61+C62</f>
        <v>429614848</v>
      </c>
      <c r="D65" s="101">
        <f t="shared" si="31"/>
        <v>3706875</v>
      </c>
      <c r="E65" s="101">
        <f t="shared" si="31"/>
        <v>433871723</v>
      </c>
      <c r="F65" s="101">
        <f t="shared" si="31"/>
        <v>0</v>
      </c>
      <c r="G65" s="101">
        <f t="shared" si="31"/>
        <v>433321723</v>
      </c>
      <c r="H65" s="101">
        <f t="shared" si="31"/>
        <v>0</v>
      </c>
      <c r="I65" s="101">
        <f t="shared" si="31"/>
        <v>433321723</v>
      </c>
      <c r="J65" s="101">
        <f aca="true" t="shared" si="32" ref="J65:O65">J61+J62</f>
        <v>2494167</v>
      </c>
      <c r="K65" s="101">
        <f t="shared" si="32"/>
        <v>435815890</v>
      </c>
      <c r="L65" s="101">
        <f t="shared" si="32"/>
        <v>11934934</v>
      </c>
      <c r="M65" s="101">
        <f t="shared" si="32"/>
        <v>447750824</v>
      </c>
      <c r="N65" s="101">
        <f t="shared" si="32"/>
        <v>-48857391</v>
      </c>
      <c r="O65" s="101">
        <f t="shared" si="32"/>
        <v>398893433</v>
      </c>
    </row>
    <row r="66" spans="1:2" ht="13.5" thickTop="1">
      <c r="A66" s="1"/>
      <c r="B66" s="1"/>
    </row>
  </sheetData>
  <sheetProtection/>
  <mergeCells count="4">
    <mergeCell ref="A4:B4"/>
    <mergeCell ref="A5:B5"/>
    <mergeCell ref="A1:O1"/>
    <mergeCell ref="A2:O2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PageLayoutView="0" workbookViewId="0" topLeftCell="A13">
      <selection activeCell="G40" sqref="G40"/>
    </sheetView>
  </sheetViews>
  <sheetFormatPr defaultColWidth="9.140625" defaultRowHeight="12.75"/>
  <cols>
    <col min="1" max="1" width="9.140625" style="386" customWidth="1"/>
    <col min="2" max="2" width="42.7109375" style="386" customWidth="1"/>
    <col min="3" max="4" width="16.7109375" style="386" hidden="1" customWidth="1"/>
    <col min="5" max="5" width="16.7109375" style="386" customWidth="1"/>
    <col min="6" max="6" width="15.8515625" style="386" customWidth="1"/>
    <col min="7" max="7" width="16.7109375" style="386" customWidth="1"/>
    <col min="8" max="8" width="17.57421875" style="386" customWidth="1"/>
    <col min="9" max="16384" width="9.140625" style="387" customWidth="1"/>
  </cols>
  <sheetData>
    <row r="1" spans="1:6" ht="12.75">
      <c r="A1" s="384"/>
      <c r="B1" s="385"/>
      <c r="C1" s="385"/>
      <c r="F1" s="385"/>
    </row>
    <row r="2" spans="1:8" s="390" customFormat="1" ht="20.25" customHeight="1">
      <c r="A2" s="608" t="s">
        <v>496</v>
      </c>
      <c r="B2" s="608"/>
      <c r="C2" s="608"/>
      <c r="D2" s="608"/>
      <c r="E2" s="608"/>
      <c r="F2" s="608"/>
      <c r="G2" s="608"/>
      <c r="H2" s="389"/>
    </row>
    <row r="3" spans="1:8" s="390" customFormat="1" ht="20.25" customHeight="1">
      <c r="A3" s="608"/>
      <c r="B3" s="608"/>
      <c r="C3" s="608"/>
      <c r="D3" s="608"/>
      <c r="E3" s="608"/>
      <c r="F3" s="608"/>
      <c r="G3" s="608"/>
      <c r="H3" s="389"/>
    </row>
    <row r="4" spans="1:8" s="390" customFormat="1" ht="20.25">
      <c r="A4" s="608" t="s">
        <v>332</v>
      </c>
      <c r="B4" s="608"/>
      <c r="C4" s="608"/>
      <c r="D4" s="608"/>
      <c r="E4" s="608"/>
      <c r="F4" s="608"/>
      <c r="G4" s="608"/>
      <c r="H4" s="389"/>
    </row>
    <row r="5" spans="1:8" s="390" customFormat="1" ht="20.25">
      <c r="A5" s="388"/>
      <c r="B5" s="388"/>
      <c r="C5" s="388"/>
      <c r="D5" s="388"/>
      <c r="E5" s="388"/>
      <c r="F5" s="388"/>
      <c r="G5" s="388"/>
      <c r="H5" s="389"/>
    </row>
    <row r="6" spans="1:7" ht="20.25">
      <c r="A6" s="600" t="s">
        <v>421</v>
      </c>
      <c r="B6" s="600"/>
      <c r="C6" s="391"/>
      <c r="D6" s="392"/>
      <c r="E6" s="393"/>
      <c r="F6" s="391"/>
      <c r="G6" s="392"/>
    </row>
    <row r="7" spans="1:8" ht="21" thickBot="1">
      <c r="A7" s="599" t="s">
        <v>497</v>
      </c>
      <c r="B7" s="599"/>
      <c r="C7" s="394"/>
      <c r="D7" s="609"/>
      <c r="E7" s="609"/>
      <c r="F7" s="394"/>
      <c r="G7" s="395" t="s">
        <v>319</v>
      </c>
      <c r="H7" s="396"/>
    </row>
    <row r="8" spans="1:8" ht="45" customHeight="1" thickBot="1" thickTop="1">
      <c r="A8" s="397" t="s">
        <v>0</v>
      </c>
      <c r="B8" s="398" t="s">
        <v>498</v>
      </c>
      <c r="C8" s="399" t="s">
        <v>499</v>
      </c>
      <c r="D8" s="398" t="s">
        <v>500</v>
      </c>
      <c r="E8" s="398" t="s">
        <v>501</v>
      </c>
      <c r="F8" s="400" t="s">
        <v>416</v>
      </c>
      <c r="G8" s="398" t="s">
        <v>417</v>
      </c>
      <c r="H8" s="387"/>
    </row>
    <row r="9" spans="1:8" ht="15" customHeight="1" thickTop="1">
      <c r="A9" s="401" t="s">
        <v>92</v>
      </c>
      <c r="B9" s="402" t="s">
        <v>93</v>
      </c>
      <c r="C9" s="402" t="s">
        <v>94</v>
      </c>
      <c r="D9" s="402" t="s">
        <v>95</v>
      </c>
      <c r="E9" s="403" t="s">
        <v>94</v>
      </c>
      <c r="F9" s="404" t="s">
        <v>95</v>
      </c>
      <c r="G9" s="402" t="s">
        <v>96</v>
      </c>
      <c r="H9" s="387"/>
    </row>
    <row r="10" spans="1:7" ht="15" customHeight="1">
      <c r="A10" s="405" t="s">
        <v>2</v>
      </c>
      <c r="B10" s="406" t="s">
        <v>502</v>
      </c>
      <c r="C10" s="407">
        <f>C11</f>
        <v>4420695</v>
      </c>
      <c r="D10" s="407">
        <f>D11</f>
        <v>6405455</v>
      </c>
      <c r="E10" s="408">
        <f>E11</f>
        <v>12066452</v>
      </c>
      <c r="F10" s="409">
        <f>F11</f>
        <v>3873194</v>
      </c>
      <c r="G10" s="407">
        <f>G11</f>
        <v>15939646</v>
      </c>
    </row>
    <row r="11" spans="1:7" ht="15" customHeight="1">
      <c r="A11" s="410" t="s">
        <v>10</v>
      </c>
      <c r="B11" s="411" t="s">
        <v>503</v>
      </c>
      <c r="C11" s="412">
        <v>4420695</v>
      </c>
      <c r="D11" s="412">
        <v>6405455</v>
      </c>
      <c r="E11" s="413">
        <v>12066452</v>
      </c>
      <c r="F11" s="414">
        <v>3873194</v>
      </c>
      <c r="G11" s="412">
        <f>E11+F11</f>
        <v>15939646</v>
      </c>
    </row>
    <row r="12" spans="1:7" ht="15" customHeight="1">
      <c r="A12" s="405" t="s">
        <v>25</v>
      </c>
      <c r="B12" s="406" t="s">
        <v>26</v>
      </c>
      <c r="C12" s="415">
        <f>SUM(C13:C17)</f>
        <v>17868500</v>
      </c>
      <c r="D12" s="415">
        <f>SUM(D13:D17)</f>
        <v>16155550</v>
      </c>
      <c r="E12" s="408">
        <f>SUM(E13:E17)</f>
        <v>16023000</v>
      </c>
      <c r="F12" s="416">
        <f>SUM(F13:F17)</f>
        <v>0</v>
      </c>
      <c r="G12" s="415">
        <f>SUM(G13:G17)</f>
        <v>16023000</v>
      </c>
    </row>
    <row r="13" spans="1:7" ht="15" customHeight="1">
      <c r="A13" s="417" t="s">
        <v>27</v>
      </c>
      <c r="B13" s="418" t="s">
        <v>126</v>
      </c>
      <c r="C13" s="419">
        <v>8300000</v>
      </c>
      <c r="D13" s="412">
        <v>7278483</v>
      </c>
      <c r="E13" s="413">
        <v>7100000</v>
      </c>
      <c r="F13" s="420">
        <v>0</v>
      </c>
      <c r="G13" s="412">
        <f>E13+F13</f>
        <v>7100000</v>
      </c>
    </row>
    <row r="14" spans="1:7" ht="15" customHeight="1">
      <c r="A14" s="417" t="s">
        <v>504</v>
      </c>
      <c r="B14" s="418" t="s">
        <v>238</v>
      </c>
      <c r="C14" s="419">
        <v>20000</v>
      </c>
      <c r="D14" s="412">
        <v>96985</v>
      </c>
      <c r="E14" s="413">
        <v>20000</v>
      </c>
      <c r="F14" s="420">
        <v>0</v>
      </c>
      <c r="G14" s="412">
        <f>E14+F14</f>
        <v>20000</v>
      </c>
    </row>
    <row r="15" spans="1:7" ht="15" customHeight="1">
      <c r="A15" s="417" t="s">
        <v>30</v>
      </c>
      <c r="B15" s="418" t="s">
        <v>505</v>
      </c>
      <c r="C15" s="419">
        <v>5750000</v>
      </c>
      <c r="D15" s="412">
        <v>5402896</v>
      </c>
      <c r="E15" s="413">
        <v>5500000</v>
      </c>
      <c r="F15" s="420">
        <v>0</v>
      </c>
      <c r="G15" s="412">
        <f>E15+F15</f>
        <v>5500000</v>
      </c>
    </row>
    <row r="16" spans="1:7" ht="15" customHeight="1">
      <c r="A16" s="417" t="s">
        <v>32</v>
      </c>
      <c r="B16" s="418" t="s">
        <v>506</v>
      </c>
      <c r="C16" s="419">
        <v>3793500</v>
      </c>
      <c r="D16" s="412">
        <v>3377015</v>
      </c>
      <c r="E16" s="413">
        <v>3402000</v>
      </c>
      <c r="F16" s="420">
        <v>0</v>
      </c>
      <c r="G16" s="412">
        <f>E16+F16</f>
        <v>3402000</v>
      </c>
    </row>
    <row r="17" spans="1:7" ht="15" customHeight="1">
      <c r="A17" s="417" t="s">
        <v>34</v>
      </c>
      <c r="B17" s="418" t="s">
        <v>35</v>
      </c>
      <c r="C17" s="412">
        <v>5000</v>
      </c>
      <c r="D17" s="412">
        <v>171</v>
      </c>
      <c r="E17" s="413">
        <v>1000</v>
      </c>
      <c r="F17" s="414">
        <v>0</v>
      </c>
      <c r="G17" s="412">
        <f>E17+F17</f>
        <v>1000</v>
      </c>
    </row>
    <row r="18" spans="1:7" ht="15" customHeight="1">
      <c r="A18" s="405" t="s">
        <v>38</v>
      </c>
      <c r="B18" s="406" t="s">
        <v>39</v>
      </c>
      <c r="C18" s="407">
        <f>C19</f>
        <v>15000</v>
      </c>
      <c r="D18" s="407">
        <f>D19</f>
        <v>11000</v>
      </c>
      <c r="E18" s="408">
        <f>E19</f>
        <v>15000</v>
      </c>
      <c r="F18" s="409">
        <f>F19</f>
        <v>0</v>
      </c>
      <c r="G18" s="407">
        <f>G19</f>
        <v>15000</v>
      </c>
    </row>
    <row r="19" spans="1:7" ht="15" customHeight="1">
      <c r="A19" s="410" t="s">
        <v>507</v>
      </c>
      <c r="B19" s="411" t="s">
        <v>508</v>
      </c>
      <c r="C19" s="412">
        <v>15000</v>
      </c>
      <c r="D19" s="412">
        <v>11000</v>
      </c>
      <c r="E19" s="413">
        <v>15000</v>
      </c>
      <c r="F19" s="414">
        <v>0</v>
      </c>
      <c r="G19" s="412">
        <f>E19</f>
        <v>15000</v>
      </c>
    </row>
    <row r="20" spans="1:7" ht="15" customHeight="1">
      <c r="A20" s="421" t="s">
        <v>509</v>
      </c>
      <c r="B20" s="422" t="s">
        <v>44</v>
      </c>
      <c r="C20" s="423">
        <f>C10+C12+C18</f>
        <v>22304195</v>
      </c>
      <c r="D20" s="423">
        <f>D10+D12+D18</f>
        <v>22572005</v>
      </c>
      <c r="E20" s="424">
        <f>E10+E12+E18</f>
        <v>28104452</v>
      </c>
      <c r="F20" s="425">
        <f>F10+F12+F18</f>
        <v>3873194</v>
      </c>
      <c r="G20" s="423">
        <f>G10+G12+G18</f>
        <v>31977646</v>
      </c>
    </row>
    <row r="21" spans="1:7" ht="15" customHeight="1">
      <c r="A21" s="421"/>
      <c r="B21" s="422"/>
      <c r="C21" s="423"/>
      <c r="D21" s="426"/>
      <c r="E21" s="427"/>
      <c r="F21" s="425"/>
      <c r="G21" s="426"/>
    </row>
    <row r="22" spans="1:7" ht="15" customHeight="1">
      <c r="A22" s="405" t="s">
        <v>45</v>
      </c>
      <c r="B22" s="406" t="s">
        <v>46</v>
      </c>
      <c r="C22" s="415">
        <f>SUM(C23:C24)</f>
        <v>68410329</v>
      </c>
      <c r="D22" s="428">
        <f>SUM(D23:D24)</f>
        <v>68414754</v>
      </c>
      <c r="E22" s="429">
        <f>SUM(E23:E24)</f>
        <v>75461456</v>
      </c>
      <c r="F22" s="416">
        <f>SUM(F23:F24)</f>
        <v>0</v>
      </c>
      <c r="G22" s="428">
        <f>SUM(G23:G24)</f>
        <v>75461456</v>
      </c>
    </row>
    <row r="23" spans="1:7" ht="15" customHeight="1">
      <c r="A23" s="417" t="s">
        <v>47</v>
      </c>
      <c r="B23" s="418" t="s">
        <v>48</v>
      </c>
      <c r="C23" s="419">
        <v>1495685</v>
      </c>
      <c r="D23" s="412">
        <v>1495685</v>
      </c>
      <c r="E23" s="413">
        <v>2161479</v>
      </c>
      <c r="F23" s="420">
        <v>0</v>
      </c>
      <c r="G23" s="412">
        <f>E23+F23</f>
        <v>2161479</v>
      </c>
    </row>
    <row r="24" spans="1:7" ht="15" customHeight="1">
      <c r="A24" s="410" t="s">
        <v>510</v>
      </c>
      <c r="B24" s="411" t="s">
        <v>420</v>
      </c>
      <c r="C24" s="430">
        <v>66914644</v>
      </c>
      <c r="D24" s="412">
        <v>66919069</v>
      </c>
      <c r="E24" s="413">
        <v>73299977</v>
      </c>
      <c r="F24" s="431">
        <v>0</v>
      </c>
      <c r="G24" s="412">
        <f>E24+F24</f>
        <v>73299977</v>
      </c>
    </row>
    <row r="25" spans="1:7" ht="15" customHeight="1">
      <c r="A25" s="410"/>
      <c r="B25" s="411"/>
      <c r="C25" s="430"/>
      <c r="D25" s="412"/>
      <c r="E25" s="413"/>
      <c r="F25" s="431"/>
      <c r="G25" s="412"/>
    </row>
    <row r="26" spans="1:7" ht="15" customHeight="1" thickBot="1">
      <c r="A26" s="432" t="s">
        <v>511</v>
      </c>
      <c r="B26" s="433" t="s">
        <v>49</v>
      </c>
      <c r="C26" s="434">
        <f>C22+C20</f>
        <v>90714524</v>
      </c>
      <c r="D26" s="435">
        <f>D20+D22</f>
        <v>90986759</v>
      </c>
      <c r="E26" s="435">
        <f>E20+E22</f>
        <v>103565908</v>
      </c>
      <c r="F26" s="436">
        <f>F22+F20</f>
        <v>3873194</v>
      </c>
      <c r="G26" s="435">
        <f>G20+G22</f>
        <v>107439102</v>
      </c>
    </row>
    <row r="27" spans="1:8" ht="15" customHeight="1" thickTop="1">
      <c r="A27" s="437"/>
      <c r="B27" s="437"/>
      <c r="C27" s="438"/>
      <c r="D27" s="439"/>
      <c r="E27" s="439"/>
      <c r="F27" s="438"/>
      <c r="G27" s="439"/>
      <c r="H27" s="387"/>
    </row>
    <row r="28" spans="1:8" ht="15" customHeight="1" thickBot="1">
      <c r="A28" s="440"/>
      <c r="B28" s="441"/>
      <c r="C28" s="442"/>
      <c r="D28" s="443"/>
      <c r="E28" s="443"/>
      <c r="F28" s="442"/>
      <c r="G28" s="443"/>
      <c r="H28" s="387"/>
    </row>
    <row r="29" spans="1:8" ht="45.75" customHeight="1" thickBot="1" thickTop="1">
      <c r="A29" s="397" t="s">
        <v>0</v>
      </c>
      <c r="B29" s="398" t="s">
        <v>512</v>
      </c>
      <c r="C29" s="399" t="s">
        <v>499</v>
      </c>
      <c r="D29" s="398" t="s">
        <v>500</v>
      </c>
      <c r="E29" s="398" t="s">
        <v>501</v>
      </c>
      <c r="F29" s="400" t="s">
        <v>416</v>
      </c>
      <c r="G29" s="398" t="s">
        <v>417</v>
      </c>
      <c r="H29" s="387"/>
    </row>
    <row r="30" spans="1:7" ht="15" customHeight="1" thickTop="1">
      <c r="A30" s="401" t="s">
        <v>92</v>
      </c>
      <c r="B30" s="402" t="s">
        <v>93</v>
      </c>
      <c r="C30" s="444" t="s">
        <v>94</v>
      </c>
      <c r="D30" s="444" t="s">
        <v>95</v>
      </c>
      <c r="E30" s="444" t="s">
        <v>94</v>
      </c>
      <c r="F30" s="445" t="s">
        <v>95</v>
      </c>
      <c r="G30" s="444" t="s">
        <v>96</v>
      </c>
    </row>
    <row r="31" spans="1:7" ht="15" customHeight="1">
      <c r="A31" s="405" t="s">
        <v>50</v>
      </c>
      <c r="B31" s="406" t="s">
        <v>51</v>
      </c>
      <c r="C31" s="446">
        <f>SUM(C32:C33)</f>
        <v>46610245</v>
      </c>
      <c r="D31" s="446">
        <f>SUM(D32:D33)</f>
        <v>47746274</v>
      </c>
      <c r="E31" s="447">
        <f>SUM(E32:E33)</f>
        <v>56933600</v>
      </c>
      <c r="F31" s="448">
        <f>SUM(F32:F33)</f>
        <v>2803646</v>
      </c>
      <c r="G31" s="446">
        <f>SUM(G32:G33)</f>
        <v>59737246</v>
      </c>
    </row>
    <row r="32" spans="1:7" ht="15" customHeight="1">
      <c r="A32" s="417" t="s">
        <v>52</v>
      </c>
      <c r="B32" s="418" t="s">
        <v>53</v>
      </c>
      <c r="C32" s="449">
        <v>46560245</v>
      </c>
      <c r="D32" s="450">
        <v>47741858</v>
      </c>
      <c r="E32" s="451">
        <v>56883600</v>
      </c>
      <c r="F32" s="452">
        <v>980000</v>
      </c>
      <c r="G32" s="450">
        <f>E32+F32</f>
        <v>57863600</v>
      </c>
    </row>
    <row r="33" spans="1:7" ht="15" customHeight="1">
      <c r="A33" s="417" t="s">
        <v>59</v>
      </c>
      <c r="B33" s="418" t="s">
        <v>60</v>
      </c>
      <c r="C33" s="449">
        <v>50000</v>
      </c>
      <c r="D33" s="450">
        <v>4416</v>
      </c>
      <c r="E33" s="450">
        <v>50000</v>
      </c>
      <c r="F33" s="452">
        <v>1823646</v>
      </c>
      <c r="G33" s="450">
        <f>E33+F33</f>
        <v>1873646</v>
      </c>
    </row>
    <row r="34" spans="1:7" ht="30.75" customHeight="1">
      <c r="A34" s="405" t="s">
        <v>64</v>
      </c>
      <c r="B34" s="453" t="s">
        <v>160</v>
      </c>
      <c r="C34" s="454">
        <v>10838079</v>
      </c>
      <c r="D34" s="455">
        <v>10716052</v>
      </c>
      <c r="E34" s="455">
        <v>11858308</v>
      </c>
      <c r="F34" s="456">
        <v>566196</v>
      </c>
      <c r="G34" s="455">
        <f>E34+F34</f>
        <v>12424504</v>
      </c>
    </row>
    <row r="35" spans="1:7" ht="15" customHeight="1">
      <c r="A35" s="405" t="s">
        <v>65</v>
      </c>
      <c r="B35" s="406" t="s">
        <v>66</v>
      </c>
      <c r="C35" s="446">
        <f>SUM(C36:C40)</f>
        <v>31920000</v>
      </c>
      <c r="D35" s="455">
        <f>SUM(D36:D40)</f>
        <v>29393152</v>
      </c>
      <c r="E35" s="455">
        <f>SUM(E36:E40)</f>
        <v>34520000</v>
      </c>
      <c r="F35" s="448">
        <f>SUM(F36:F40)</f>
        <v>428286</v>
      </c>
      <c r="G35" s="455">
        <f>SUM(G36:G40)</f>
        <v>34948286</v>
      </c>
    </row>
    <row r="36" spans="1:7" ht="15" customHeight="1">
      <c r="A36" s="417" t="s">
        <v>67</v>
      </c>
      <c r="B36" s="418" t="s">
        <v>68</v>
      </c>
      <c r="C36" s="449">
        <v>18790000</v>
      </c>
      <c r="D36" s="451">
        <v>18211785</v>
      </c>
      <c r="E36" s="451">
        <v>19480000</v>
      </c>
      <c r="F36" s="452">
        <v>304522</v>
      </c>
      <c r="G36" s="451">
        <f>E36+F36</f>
        <v>19784522</v>
      </c>
    </row>
    <row r="37" spans="1:7" ht="15" customHeight="1">
      <c r="A37" s="417" t="s">
        <v>69</v>
      </c>
      <c r="B37" s="418" t="s">
        <v>70</v>
      </c>
      <c r="C37" s="449">
        <v>1360000</v>
      </c>
      <c r="D37" s="451">
        <v>1167083</v>
      </c>
      <c r="E37" s="451">
        <v>1250000</v>
      </c>
      <c r="F37" s="452">
        <v>0</v>
      </c>
      <c r="G37" s="451">
        <f>E37+F37</f>
        <v>1250000</v>
      </c>
    </row>
    <row r="38" spans="1:7" ht="15" customHeight="1">
      <c r="A38" s="417" t="s">
        <v>71</v>
      </c>
      <c r="B38" s="418" t="s">
        <v>72</v>
      </c>
      <c r="C38" s="449">
        <v>5390000</v>
      </c>
      <c r="D38" s="451">
        <v>5302314</v>
      </c>
      <c r="E38" s="451">
        <v>6290000</v>
      </c>
      <c r="F38" s="452">
        <v>23659</v>
      </c>
      <c r="G38" s="451">
        <f>E38+F38</f>
        <v>6313659</v>
      </c>
    </row>
    <row r="39" spans="1:7" ht="15" customHeight="1">
      <c r="A39" s="417" t="s">
        <v>74</v>
      </c>
      <c r="B39" s="418" t="s">
        <v>75</v>
      </c>
      <c r="C39" s="449">
        <v>600000</v>
      </c>
      <c r="D39" s="451">
        <v>547444</v>
      </c>
      <c r="E39" s="451">
        <v>600000</v>
      </c>
      <c r="F39" s="452">
        <v>0</v>
      </c>
      <c r="G39" s="451">
        <f>E39+F39</f>
        <v>600000</v>
      </c>
    </row>
    <row r="40" spans="1:7" ht="15" customHeight="1">
      <c r="A40" s="417" t="s">
        <v>76</v>
      </c>
      <c r="B40" s="418" t="s">
        <v>77</v>
      </c>
      <c r="C40" s="449">
        <v>5780000</v>
      </c>
      <c r="D40" s="451">
        <v>4164526</v>
      </c>
      <c r="E40" s="451">
        <v>6900000</v>
      </c>
      <c r="F40" s="452">
        <v>100105</v>
      </c>
      <c r="G40" s="451">
        <f>E40+F40</f>
        <v>7000105</v>
      </c>
    </row>
    <row r="41" spans="1:7" ht="15" customHeight="1">
      <c r="A41" s="457" t="s">
        <v>81</v>
      </c>
      <c r="B41" s="458" t="s">
        <v>125</v>
      </c>
      <c r="C41" s="459">
        <f>SUM(C42:C43)</f>
        <v>1346200</v>
      </c>
      <c r="D41" s="459">
        <f>SUM(D42:D43)</f>
        <v>969802</v>
      </c>
      <c r="E41" s="459">
        <f>E42</f>
        <v>0</v>
      </c>
      <c r="F41" s="459">
        <f>F42</f>
        <v>75066</v>
      </c>
      <c r="G41" s="459">
        <f>G42</f>
        <v>75066</v>
      </c>
    </row>
    <row r="42" spans="1:7" ht="15" customHeight="1">
      <c r="A42" s="417" t="s">
        <v>324</v>
      </c>
      <c r="B42" s="418" t="s">
        <v>513</v>
      </c>
      <c r="C42" s="449">
        <v>860000</v>
      </c>
      <c r="D42" s="451">
        <v>207500</v>
      </c>
      <c r="E42" s="451">
        <v>0</v>
      </c>
      <c r="F42" s="452">
        <v>75066</v>
      </c>
      <c r="G42" s="451">
        <f>F42</f>
        <v>75066</v>
      </c>
    </row>
    <row r="43" spans="1:7" ht="15" customHeight="1">
      <c r="A43" s="457" t="s">
        <v>514</v>
      </c>
      <c r="B43" s="458" t="s">
        <v>83</v>
      </c>
      <c r="C43" s="459">
        <f>SUM(C44:C45)</f>
        <v>486200</v>
      </c>
      <c r="D43" s="459">
        <f>SUM(D44:D45)</f>
        <v>762302</v>
      </c>
      <c r="E43" s="459">
        <f>SUM(E44:E45)</f>
        <v>254000</v>
      </c>
      <c r="F43" s="460">
        <f>SUM(F44:F45)</f>
        <v>0</v>
      </c>
      <c r="G43" s="459">
        <f>SUM(G44:G45)</f>
        <v>254000</v>
      </c>
    </row>
    <row r="44" spans="1:7" ht="15" customHeight="1">
      <c r="A44" s="417" t="s">
        <v>169</v>
      </c>
      <c r="B44" s="418" t="s">
        <v>515</v>
      </c>
      <c r="C44" s="449">
        <v>200000</v>
      </c>
      <c r="D44" s="451">
        <v>572951</v>
      </c>
      <c r="E44" s="451">
        <v>200000</v>
      </c>
      <c r="F44" s="452">
        <v>0</v>
      </c>
      <c r="G44" s="451">
        <f>E44+F44</f>
        <v>200000</v>
      </c>
    </row>
    <row r="45" spans="1:7" ht="15" customHeight="1">
      <c r="A45" s="417" t="s">
        <v>170</v>
      </c>
      <c r="B45" s="418" t="s">
        <v>516</v>
      </c>
      <c r="C45" s="449">
        <v>286200</v>
      </c>
      <c r="D45" s="451">
        <v>189351</v>
      </c>
      <c r="E45" s="451">
        <v>54000</v>
      </c>
      <c r="F45" s="452">
        <v>0</v>
      </c>
      <c r="G45" s="451">
        <f>E45+F45</f>
        <v>54000</v>
      </c>
    </row>
    <row r="46" spans="1:7" ht="15" customHeight="1" thickBot="1">
      <c r="A46" s="432" t="s">
        <v>517</v>
      </c>
      <c r="B46" s="433" t="s">
        <v>91</v>
      </c>
      <c r="C46" s="461">
        <f>C31+C34+C35+C43</f>
        <v>89854524</v>
      </c>
      <c r="D46" s="462">
        <f>D31++D43+D34+D35</f>
        <v>88617780</v>
      </c>
      <c r="E46" s="462">
        <f>E31+E34+E35+E43+E41</f>
        <v>103565908</v>
      </c>
      <c r="F46" s="462">
        <f>F31+F34+F35+F43+F41</f>
        <v>3873194</v>
      </c>
      <c r="G46" s="462">
        <f>G31+G34+G35+G43+G41</f>
        <v>107439102</v>
      </c>
    </row>
    <row r="47" spans="1:8" ht="16.5" thickTop="1">
      <c r="A47" s="437"/>
      <c r="B47" s="437"/>
      <c r="C47" s="437"/>
      <c r="D47" s="463"/>
      <c r="E47" s="463"/>
      <c r="F47" s="437"/>
      <c r="G47" s="463"/>
      <c r="H47" s="464"/>
    </row>
    <row r="48" spans="1:8" ht="16.5" thickBot="1">
      <c r="A48" s="389"/>
      <c r="B48" s="465"/>
      <c r="C48" s="465"/>
      <c r="D48" s="465"/>
      <c r="F48" s="464"/>
      <c r="G48" s="387"/>
      <c r="H48" s="387"/>
    </row>
    <row r="49" spans="1:8" ht="15" thickBot="1">
      <c r="A49" s="466" t="s">
        <v>518</v>
      </c>
      <c r="B49" s="467"/>
      <c r="C49" s="468"/>
      <c r="D49" s="468"/>
      <c r="E49" s="469">
        <v>18</v>
      </c>
      <c r="G49" s="387"/>
      <c r="H49" s="387"/>
    </row>
    <row r="50" spans="1:5" s="386" customFormat="1" ht="15" thickBot="1">
      <c r="A50" s="466" t="s">
        <v>519</v>
      </c>
      <c r="B50" s="467"/>
      <c r="C50" s="468"/>
      <c r="D50" s="468"/>
      <c r="E50" s="469">
        <v>0</v>
      </c>
    </row>
  </sheetData>
  <sheetProtection/>
  <mergeCells count="5">
    <mergeCell ref="A2:G3"/>
    <mergeCell ref="A4:G4"/>
    <mergeCell ref="A6:B6"/>
    <mergeCell ref="A7:B7"/>
    <mergeCell ref="D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">
      <selection activeCell="A7" sqref="A7:B7"/>
    </sheetView>
  </sheetViews>
  <sheetFormatPr defaultColWidth="9.140625" defaultRowHeight="12.75"/>
  <cols>
    <col min="1" max="1" width="9.140625" style="386" customWidth="1"/>
    <col min="2" max="2" width="42.7109375" style="386" customWidth="1"/>
    <col min="3" max="4" width="16.7109375" style="386" hidden="1" customWidth="1"/>
    <col min="5" max="5" width="17.7109375" style="386" customWidth="1"/>
    <col min="6" max="6" width="15.8515625" style="386" hidden="1" customWidth="1"/>
    <col min="7" max="7" width="16.7109375" style="386" hidden="1" customWidth="1"/>
    <col min="8" max="8" width="15.8515625" style="386" hidden="1" customWidth="1"/>
    <col min="9" max="9" width="16.7109375" style="386" customWidth="1"/>
    <col min="10" max="10" width="15.8515625" style="386" customWidth="1"/>
    <col min="11" max="11" width="16.7109375" style="386" customWidth="1"/>
    <col min="12" max="12" width="17.57421875" style="386" customWidth="1"/>
    <col min="13" max="16384" width="9.140625" style="387" customWidth="1"/>
  </cols>
  <sheetData>
    <row r="1" spans="1:10" ht="12.75">
      <c r="A1" s="384"/>
      <c r="B1" s="385"/>
      <c r="C1" s="385"/>
      <c r="F1" s="385"/>
      <c r="H1" s="385"/>
      <c r="J1" s="385"/>
    </row>
    <row r="2" spans="1:12" s="390" customFormat="1" ht="20.25" customHeight="1">
      <c r="A2" s="608" t="s">
        <v>496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389"/>
    </row>
    <row r="3" spans="1:12" s="390" customFormat="1" ht="20.25" customHeight="1">
      <c r="A3" s="608"/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389"/>
    </row>
    <row r="4" spans="1:12" s="390" customFormat="1" ht="20.25">
      <c r="A4" s="608" t="s">
        <v>332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389"/>
    </row>
    <row r="5" spans="1:12" s="390" customFormat="1" ht="20.25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9"/>
    </row>
    <row r="6" spans="1:11" ht="20.25" customHeight="1">
      <c r="A6" s="600" t="s">
        <v>626</v>
      </c>
      <c r="B6" s="600"/>
      <c r="C6" s="391"/>
      <c r="D6" s="392"/>
      <c r="E6" s="393"/>
      <c r="F6" s="391"/>
      <c r="G6" s="392"/>
      <c r="H6" s="391"/>
      <c r="I6" s="392"/>
      <c r="J6" s="391"/>
      <c r="K6" s="392"/>
    </row>
    <row r="7" spans="1:12" ht="21" thickBot="1">
      <c r="A7" s="599" t="s">
        <v>497</v>
      </c>
      <c r="B7" s="599"/>
      <c r="C7" s="394"/>
      <c r="D7" s="609"/>
      <c r="E7" s="609"/>
      <c r="F7" s="394"/>
      <c r="G7" s="395"/>
      <c r="H7" s="394"/>
      <c r="I7" s="395"/>
      <c r="J7" s="394"/>
      <c r="K7" s="395" t="s">
        <v>319</v>
      </c>
      <c r="L7" s="396"/>
    </row>
    <row r="8" spans="1:12" ht="45" customHeight="1" thickBot="1" thickTop="1">
      <c r="A8" s="397" t="s">
        <v>0</v>
      </c>
      <c r="B8" s="398" t="s">
        <v>498</v>
      </c>
      <c r="C8" s="399" t="s">
        <v>499</v>
      </c>
      <c r="D8" s="398" t="s">
        <v>500</v>
      </c>
      <c r="E8" s="398" t="s">
        <v>501</v>
      </c>
      <c r="F8" s="400" t="s">
        <v>416</v>
      </c>
      <c r="G8" s="398" t="s">
        <v>417</v>
      </c>
      <c r="H8" s="400" t="s">
        <v>539</v>
      </c>
      <c r="I8" s="398" t="s">
        <v>540</v>
      </c>
      <c r="J8" s="400" t="s">
        <v>604</v>
      </c>
      <c r="K8" s="398" t="s">
        <v>605</v>
      </c>
      <c r="L8" s="387"/>
    </row>
    <row r="9" spans="1:12" ht="15" customHeight="1" thickTop="1">
      <c r="A9" s="401" t="s">
        <v>92</v>
      </c>
      <c r="B9" s="402" t="s">
        <v>93</v>
      </c>
      <c r="C9" s="402" t="s">
        <v>94</v>
      </c>
      <c r="D9" s="402" t="s">
        <v>95</v>
      </c>
      <c r="E9" s="403" t="s">
        <v>94</v>
      </c>
      <c r="F9" s="404" t="s">
        <v>95</v>
      </c>
      <c r="G9" s="402" t="s">
        <v>95</v>
      </c>
      <c r="H9" s="404" t="s">
        <v>96</v>
      </c>
      <c r="I9" s="402" t="s">
        <v>95</v>
      </c>
      <c r="J9" s="404" t="s">
        <v>96</v>
      </c>
      <c r="K9" s="402" t="s">
        <v>304</v>
      </c>
      <c r="L9" s="387"/>
    </row>
    <row r="10" spans="1:11" ht="15" customHeight="1">
      <c r="A10" s="405" t="s">
        <v>2</v>
      </c>
      <c r="B10" s="406" t="s">
        <v>502</v>
      </c>
      <c r="C10" s="407">
        <f aca="true" t="shared" si="0" ref="C10:K10">C11</f>
        <v>4420695</v>
      </c>
      <c r="D10" s="407">
        <f t="shared" si="0"/>
        <v>6405455</v>
      </c>
      <c r="E10" s="408">
        <f t="shared" si="0"/>
        <v>12066452</v>
      </c>
      <c r="F10" s="409">
        <f t="shared" si="0"/>
        <v>3873194</v>
      </c>
      <c r="G10" s="407">
        <f t="shared" si="0"/>
        <v>15939646</v>
      </c>
      <c r="H10" s="409">
        <f t="shared" si="0"/>
        <v>0</v>
      </c>
      <c r="I10" s="407">
        <f t="shared" si="0"/>
        <v>15939646</v>
      </c>
      <c r="J10" s="409">
        <f t="shared" si="0"/>
        <v>-148504</v>
      </c>
      <c r="K10" s="407">
        <f t="shared" si="0"/>
        <v>15791142</v>
      </c>
    </row>
    <row r="11" spans="1:11" ht="15" customHeight="1">
      <c r="A11" s="410" t="s">
        <v>10</v>
      </c>
      <c r="B11" s="411" t="s">
        <v>503</v>
      </c>
      <c r="C11" s="412">
        <v>4420695</v>
      </c>
      <c r="D11" s="412">
        <v>6405455</v>
      </c>
      <c r="E11" s="413">
        <v>12066452</v>
      </c>
      <c r="F11" s="414">
        <v>3873194</v>
      </c>
      <c r="G11" s="412">
        <f>E11+F11</f>
        <v>15939646</v>
      </c>
      <c r="H11" s="414">
        <v>0</v>
      </c>
      <c r="I11" s="412">
        <f>G11+H11</f>
        <v>15939646</v>
      </c>
      <c r="J11" s="414">
        <v>-148504</v>
      </c>
      <c r="K11" s="412">
        <f>I11+J11</f>
        <v>15791142</v>
      </c>
    </row>
    <row r="12" spans="1:11" ht="15" customHeight="1">
      <c r="A12" s="405" t="s">
        <v>25</v>
      </c>
      <c r="B12" s="406" t="s">
        <v>26</v>
      </c>
      <c r="C12" s="415">
        <f aca="true" t="shared" si="1" ref="C12:H12">SUM(C13:C17)</f>
        <v>17868500</v>
      </c>
      <c r="D12" s="415">
        <f t="shared" si="1"/>
        <v>16155550</v>
      </c>
      <c r="E12" s="408">
        <f t="shared" si="1"/>
        <v>16023000</v>
      </c>
      <c r="F12" s="416">
        <f t="shared" si="1"/>
        <v>0</v>
      </c>
      <c r="G12" s="415">
        <f t="shared" si="1"/>
        <v>16023000</v>
      </c>
      <c r="H12" s="416">
        <f t="shared" si="1"/>
        <v>0</v>
      </c>
      <c r="I12" s="415">
        <f>SUM(I13:I18)</f>
        <v>16023000</v>
      </c>
      <c r="J12" s="415">
        <f>SUM(J13:J18)</f>
        <v>3479527</v>
      </c>
      <c r="K12" s="415">
        <f>SUM(K13:K18)</f>
        <v>19502527</v>
      </c>
    </row>
    <row r="13" spans="1:11" ht="15" customHeight="1">
      <c r="A13" s="417" t="s">
        <v>27</v>
      </c>
      <c r="B13" s="418" t="s">
        <v>126</v>
      </c>
      <c r="C13" s="419">
        <v>8300000</v>
      </c>
      <c r="D13" s="412">
        <v>7278483</v>
      </c>
      <c r="E13" s="413">
        <v>7100000</v>
      </c>
      <c r="F13" s="420">
        <v>0</v>
      </c>
      <c r="G13" s="412">
        <f aca="true" t="shared" si="2" ref="G13:G18">E13+F13</f>
        <v>7100000</v>
      </c>
      <c r="H13" s="420">
        <v>0</v>
      </c>
      <c r="I13" s="412">
        <f>G13+H13</f>
        <v>7100000</v>
      </c>
      <c r="J13" s="420">
        <v>1632942</v>
      </c>
      <c r="K13" s="412">
        <f aca="true" t="shared" si="3" ref="K13:K18">I13+J13</f>
        <v>8732942</v>
      </c>
    </row>
    <row r="14" spans="1:11" ht="15" customHeight="1">
      <c r="A14" s="417" t="s">
        <v>504</v>
      </c>
      <c r="B14" s="418" t="s">
        <v>238</v>
      </c>
      <c r="C14" s="419">
        <v>20000</v>
      </c>
      <c r="D14" s="412">
        <v>96985</v>
      </c>
      <c r="E14" s="413">
        <v>20000</v>
      </c>
      <c r="F14" s="420">
        <v>0</v>
      </c>
      <c r="G14" s="412">
        <f t="shared" si="2"/>
        <v>20000</v>
      </c>
      <c r="H14" s="420">
        <v>0</v>
      </c>
      <c r="I14" s="412">
        <f>G14+H14</f>
        <v>20000</v>
      </c>
      <c r="J14" s="420">
        <v>-1772</v>
      </c>
      <c r="K14" s="412">
        <f t="shared" si="3"/>
        <v>18228</v>
      </c>
    </row>
    <row r="15" spans="1:11" ht="15" customHeight="1">
      <c r="A15" s="417" t="s">
        <v>30</v>
      </c>
      <c r="B15" s="418" t="s">
        <v>505</v>
      </c>
      <c r="C15" s="419">
        <v>5750000</v>
      </c>
      <c r="D15" s="412">
        <v>5402896</v>
      </c>
      <c r="E15" s="413">
        <v>5500000</v>
      </c>
      <c r="F15" s="420">
        <v>0</v>
      </c>
      <c r="G15" s="412">
        <f t="shared" si="2"/>
        <v>5500000</v>
      </c>
      <c r="H15" s="420">
        <v>0</v>
      </c>
      <c r="I15" s="412">
        <f>G15+H15</f>
        <v>5500000</v>
      </c>
      <c r="J15" s="420">
        <v>1105696</v>
      </c>
      <c r="K15" s="412">
        <f t="shared" si="3"/>
        <v>6605696</v>
      </c>
    </row>
    <row r="16" spans="1:11" ht="15" customHeight="1">
      <c r="A16" s="417" t="s">
        <v>32</v>
      </c>
      <c r="B16" s="418" t="s">
        <v>506</v>
      </c>
      <c r="C16" s="419">
        <v>3793500</v>
      </c>
      <c r="D16" s="412">
        <v>3377015</v>
      </c>
      <c r="E16" s="413">
        <v>3402000</v>
      </c>
      <c r="F16" s="420">
        <v>0</v>
      </c>
      <c r="G16" s="412">
        <f t="shared" si="2"/>
        <v>3402000</v>
      </c>
      <c r="H16" s="420">
        <v>0</v>
      </c>
      <c r="I16" s="412">
        <f>G16+H16</f>
        <v>3402000</v>
      </c>
      <c r="J16" s="420">
        <v>739468</v>
      </c>
      <c r="K16" s="412">
        <f t="shared" si="3"/>
        <v>4141468</v>
      </c>
    </row>
    <row r="17" spans="1:11" ht="15" customHeight="1">
      <c r="A17" s="417" t="s">
        <v>34</v>
      </c>
      <c r="B17" s="418" t="s">
        <v>35</v>
      </c>
      <c r="C17" s="412">
        <v>5000</v>
      </c>
      <c r="D17" s="412">
        <v>171</v>
      </c>
      <c r="E17" s="413">
        <v>1000</v>
      </c>
      <c r="F17" s="414">
        <v>0</v>
      </c>
      <c r="G17" s="412">
        <f t="shared" si="2"/>
        <v>1000</v>
      </c>
      <c r="H17" s="414">
        <v>0</v>
      </c>
      <c r="I17" s="412">
        <f>G17+H17</f>
        <v>1000</v>
      </c>
      <c r="J17" s="414">
        <v>-984</v>
      </c>
      <c r="K17" s="412">
        <f t="shared" si="3"/>
        <v>16</v>
      </c>
    </row>
    <row r="18" spans="1:11" ht="15" customHeight="1">
      <c r="A18" s="417" t="s">
        <v>352</v>
      </c>
      <c r="B18" s="418" t="s">
        <v>37</v>
      </c>
      <c r="C18" s="412">
        <v>5000</v>
      </c>
      <c r="D18" s="412">
        <v>171</v>
      </c>
      <c r="E18" s="413">
        <v>0</v>
      </c>
      <c r="F18" s="414">
        <v>0</v>
      </c>
      <c r="G18" s="412">
        <f t="shared" si="2"/>
        <v>0</v>
      </c>
      <c r="H18" s="414">
        <v>0</v>
      </c>
      <c r="I18" s="412">
        <v>0</v>
      </c>
      <c r="J18" s="414">
        <v>4177</v>
      </c>
      <c r="K18" s="412">
        <f t="shared" si="3"/>
        <v>4177</v>
      </c>
    </row>
    <row r="19" spans="1:11" ht="15" customHeight="1">
      <c r="A19" s="405" t="s">
        <v>38</v>
      </c>
      <c r="B19" s="406" t="s">
        <v>39</v>
      </c>
      <c r="C19" s="407">
        <f aca="true" t="shared" si="4" ref="C19:K19">C20</f>
        <v>15000</v>
      </c>
      <c r="D19" s="407">
        <f t="shared" si="4"/>
        <v>11000</v>
      </c>
      <c r="E19" s="408">
        <f t="shared" si="4"/>
        <v>15000</v>
      </c>
      <c r="F19" s="409">
        <f t="shared" si="4"/>
        <v>0</v>
      </c>
      <c r="G19" s="407">
        <f t="shared" si="4"/>
        <v>15000</v>
      </c>
      <c r="H19" s="409">
        <f t="shared" si="4"/>
        <v>0</v>
      </c>
      <c r="I19" s="407">
        <f t="shared" si="4"/>
        <v>15000</v>
      </c>
      <c r="J19" s="409">
        <f t="shared" si="4"/>
        <v>-15000</v>
      </c>
      <c r="K19" s="407">
        <f t="shared" si="4"/>
        <v>0</v>
      </c>
    </row>
    <row r="20" spans="1:11" ht="15" customHeight="1">
      <c r="A20" s="410" t="s">
        <v>507</v>
      </c>
      <c r="B20" s="411" t="s">
        <v>508</v>
      </c>
      <c r="C20" s="412">
        <v>15000</v>
      </c>
      <c r="D20" s="412">
        <v>11000</v>
      </c>
      <c r="E20" s="413">
        <v>15000</v>
      </c>
      <c r="F20" s="414">
        <v>0</v>
      </c>
      <c r="G20" s="412">
        <f>E20</f>
        <v>15000</v>
      </c>
      <c r="H20" s="414">
        <v>0</v>
      </c>
      <c r="I20" s="412">
        <f>G20</f>
        <v>15000</v>
      </c>
      <c r="J20" s="414">
        <v>-15000</v>
      </c>
      <c r="K20" s="412">
        <f>I20+J20</f>
        <v>0</v>
      </c>
    </row>
    <row r="21" spans="1:11" ht="15" customHeight="1">
      <c r="A21" s="421" t="s">
        <v>509</v>
      </c>
      <c r="B21" s="422" t="s">
        <v>44</v>
      </c>
      <c r="C21" s="423">
        <f aca="true" t="shared" si="5" ref="C21:I21">C10+C12+C19</f>
        <v>22304195</v>
      </c>
      <c r="D21" s="423">
        <f t="shared" si="5"/>
        <v>22572005</v>
      </c>
      <c r="E21" s="424">
        <f t="shared" si="5"/>
        <v>28104452</v>
      </c>
      <c r="F21" s="425">
        <f t="shared" si="5"/>
        <v>3873194</v>
      </c>
      <c r="G21" s="423">
        <f t="shared" si="5"/>
        <v>31977646</v>
      </c>
      <c r="H21" s="425">
        <f t="shared" si="5"/>
        <v>0</v>
      </c>
      <c r="I21" s="423">
        <f t="shared" si="5"/>
        <v>31977646</v>
      </c>
      <c r="J21" s="425">
        <f>J10+J12+J19</f>
        <v>3316023</v>
      </c>
      <c r="K21" s="423">
        <f>K10+K12+K19</f>
        <v>35293669</v>
      </c>
    </row>
    <row r="22" spans="1:11" ht="15" customHeight="1">
      <c r="A22" s="421"/>
      <c r="B22" s="422"/>
      <c r="C22" s="423"/>
      <c r="D22" s="426"/>
      <c r="E22" s="427"/>
      <c r="F22" s="425"/>
      <c r="G22" s="426"/>
      <c r="H22" s="425"/>
      <c r="I22" s="426"/>
      <c r="J22" s="425"/>
      <c r="K22" s="426"/>
    </row>
    <row r="23" spans="1:11" ht="15" customHeight="1">
      <c r="A23" s="405" t="s">
        <v>45</v>
      </c>
      <c r="B23" s="406" t="s">
        <v>46</v>
      </c>
      <c r="C23" s="415">
        <f aca="true" t="shared" si="6" ref="C23:I23">SUM(C24:C25)</f>
        <v>68410329</v>
      </c>
      <c r="D23" s="428">
        <f t="shared" si="6"/>
        <v>68414754</v>
      </c>
      <c r="E23" s="429">
        <f t="shared" si="6"/>
        <v>75461456</v>
      </c>
      <c r="F23" s="416">
        <f t="shared" si="6"/>
        <v>0</v>
      </c>
      <c r="G23" s="428">
        <f t="shared" si="6"/>
        <v>75461456</v>
      </c>
      <c r="H23" s="416">
        <f t="shared" si="6"/>
        <v>-1300682</v>
      </c>
      <c r="I23" s="428">
        <f t="shared" si="6"/>
        <v>74160774</v>
      </c>
      <c r="J23" s="416">
        <f>SUM(J24:J25)</f>
        <v>-2584533</v>
      </c>
      <c r="K23" s="428">
        <f>SUM(K24:K25)</f>
        <v>71576241</v>
      </c>
    </row>
    <row r="24" spans="1:11" ht="15" customHeight="1">
      <c r="A24" s="417" t="s">
        <v>47</v>
      </c>
      <c r="B24" s="418" t="s">
        <v>48</v>
      </c>
      <c r="C24" s="419">
        <v>1495685</v>
      </c>
      <c r="D24" s="412">
        <v>1495685</v>
      </c>
      <c r="E24" s="413">
        <v>2161479</v>
      </c>
      <c r="F24" s="420">
        <v>0</v>
      </c>
      <c r="G24" s="412">
        <f>E24+F24</f>
        <v>2161479</v>
      </c>
      <c r="H24" s="420">
        <v>0</v>
      </c>
      <c r="I24" s="412">
        <f>G24+H24</f>
        <v>2161479</v>
      </c>
      <c r="J24" s="420">
        <v>0</v>
      </c>
      <c r="K24" s="412">
        <f>I24+J24</f>
        <v>2161479</v>
      </c>
    </row>
    <row r="25" spans="1:11" ht="15" customHeight="1">
      <c r="A25" s="410" t="s">
        <v>510</v>
      </c>
      <c r="B25" s="411" t="s">
        <v>420</v>
      </c>
      <c r="C25" s="430">
        <v>66914644</v>
      </c>
      <c r="D25" s="412">
        <v>66919069</v>
      </c>
      <c r="E25" s="413">
        <v>73299977</v>
      </c>
      <c r="F25" s="431">
        <v>0</v>
      </c>
      <c r="G25" s="412">
        <f>E25+F25</f>
        <v>73299977</v>
      </c>
      <c r="H25" s="431">
        <v>-1300682</v>
      </c>
      <c r="I25" s="412">
        <f>G25+H25</f>
        <v>71999295</v>
      </c>
      <c r="J25" s="431">
        <v>-2584533</v>
      </c>
      <c r="K25" s="412">
        <f>I25+J25</f>
        <v>69414762</v>
      </c>
    </row>
    <row r="26" spans="1:11" ht="15" customHeight="1">
      <c r="A26" s="410"/>
      <c r="B26" s="411"/>
      <c r="C26" s="430"/>
      <c r="D26" s="412"/>
      <c r="E26" s="413"/>
      <c r="F26" s="431"/>
      <c r="G26" s="412"/>
      <c r="H26" s="431"/>
      <c r="I26" s="412"/>
      <c r="J26" s="431"/>
      <c r="K26" s="412"/>
    </row>
    <row r="27" spans="1:11" ht="15" customHeight="1" thickBot="1">
      <c r="A27" s="432" t="s">
        <v>511</v>
      </c>
      <c r="B27" s="433" t="s">
        <v>49</v>
      </c>
      <c r="C27" s="434">
        <f>C23+C21</f>
        <v>90714524</v>
      </c>
      <c r="D27" s="435">
        <f>D21+D23</f>
        <v>90986759</v>
      </c>
      <c r="E27" s="435">
        <f>E21+E23</f>
        <v>103565908</v>
      </c>
      <c r="F27" s="436">
        <f>F23+F21</f>
        <v>3873194</v>
      </c>
      <c r="G27" s="435">
        <f>G21+G23</f>
        <v>107439102</v>
      </c>
      <c r="H27" s="436">
        <f>H23+H21</f>
        <v>-1300682</v>
      </c>
      <c r="I27" s="435">
        <f>I21+I23</f>
        <v>106138420</v>
      </c>
      <c r="J27" s="436">
        <f>J23+J21</f>
        <v>731490</v>
      </c>
      <c r="K27" s="435">
        <f>K21+K23</f>
        <v>106869910</v>
      </c>
    </row>
    <row r="28" spans="1:12" ht="15" customHeight="1" thickTop="1">
      <c r="A28" s="437"/>
      <c r="B28" s="437"/>
      <c r="C28" s="438"/>
      <c r="D28" s="439"/>
      <c r="E28" s="439"/>
      <c r="F28" s="438"/>
      <c r="G28" s="439"/>
      <c r="H28" s="438"/>
      <c r="I28" s="439"/>
      <c r="J28" s="438"/>
      <c r="K28" s="439"/>
      <c r="L28" s="387"/>
    </row>
    <row r="29" spans="1:12" ht="15" customHeight="1" thickBot="1">
      <c r="A29" s="440"/>
      <c r="B29" s="441"/>
      <c r="C29" s="442"/>
      <c r="D29" s="443"/>
      <c r="E29" s="443"/>
      <c r="F29" s="442"/>
      <c r="G29" s="443"/>
      <c r="H29" s="442"/>
      <c r="I29" s="443"/>
      <c r="J29" s="442"/>
      <c r="K29" s="443"/>
      <c r="L29" s="387"/>
    </row>
    <row r="30" spans="1:12" ht="45.75" customHeight="1" thickBot="1" thickTop="1">
      <c r="A30" s="397" t="s">
        <v>0</v>
      </c>
      <c r="B30" s="398" t="s">
        <v>512</v>
      </c>
      <c r="C30" s="399" t="s">
        <v>499</v>
      </c>
      <c r="D30" s="398" t="s">
        <v>500</v>
      </c>
      <c r="E30" s="398" t="s">
        <v>501</v>
      </c>
      <c r="F30" s="400" t="s">
        <v>416</v>
      </c>
      <c r="G30" s="398" t="s">
        <v>417</v>
      </c>
      <c r="H30" s="400" t="s">
        <v>539</v>
      </c>
      <c r="I30" s="398" t="s">
        <v>540</v>
      </c>
      <c r="J30" s="400" t="s">
        <v>604</v>
      </c>
      <c r="K30" s="398" t="s">
        <v>605</v>
      </c>
      <c r="L30" s="387"/>
    </row>
    <row r="31" spans="1:11" ht="15" customHeight="1" thickTop="1">
      <c r="A31" s="401" t="s">
        <v>92</v>
      </c>
      <c r="B31" s="402" t="s">
        <v>93</v>
      </c>
      <c r="C31" s="444" t="s">
        <v>94</v>
      </c>
      <c r="D31" s="444" t="s">
        <v>95</v>
      </c>
      <c r="E31" s="444" t="s">
        <v>94</v>
      </c>
      <c r="F31" s="445" t="s">
        <v>95</v>
      </c>
      <c r="G31" s="444" t="s">
        <v>95</v>
      </c>
      <c r="H31" s="445" t="s">
        <v>96</v>
      </c>
      <c r="I31" s="444" t="s">
        <v>95</v>
      </c>
      <c r="J31" s="445" t="s">
        <v>96</v>
      </c>
      <c r="K31" s="444" t="s">
        <v>304</v>
      </c>
    </row>
    <row r="32" spans="1:11" ht="15" customHeight="1">
      <c r="A32" s="405" t="s">
        <v>50</v>
      </c>
      <c r="B32" s="406" t="s">
        <v>51</v>
      </c>
      <c r="C32" s="446">
        <f aca="true" t="shared" si="7" ref="C32:I32">SUM(C33:C34)</f>
        <v>46610245</v>
      </c>
      <c r="D32" s="446">
        <f t="shared" si="7"/>
        <v>47746274</v>
      </c>
      <c r="E32" s="447">
        <f t="shared" si="7"/>
        <v>56933600</v>
      </c>
      <c r="F32" s="448">
        <f t="shared" si="7"/>
        <v>2803646</v>
      </c>
      <c r="G32" s="446">
        <f t="shared" si="7"/>
        <v>59737246</v>
      </c>
      <c r="H32" s="448">
        <f t="shared" si="7"/>
        <v>0</v>
      </c>
      <c r="I32" s="446">
        <f t="shared" si="7"/>
        <v>59737246</v>
      </c>
      <c r="J32" s="448">
        <f>SUM(J33:J34)</f>
        <v>-515000</v>
      </c>
      <c r="K32" s="446">
        <f>SUM(K33:K34)</f>
        <v>59222246</v>
      </c>
    </row>
    <row r="33" spans="1:11" ht="15" customHeight="1">
      <c r="A33" s="417" t="s">
        <v>52</v>
      </c>
      <c r="B33" s="418" t="s">
        <v>53</v>
      </c>
      <c r="C33" s="449">
        <v>46560245</v>
      </c>
      <c r="D33" s="450">
        <v>47741858</v>
      </c>
      <c r="E33" s="451">
        <v>56883600</v>
      </c>
      <c r="F33" s="452">
        <v>980000</v>
      </c>
      <c r="G33" s="450">
        <f>E33+F33</f>
        <v>57863600</v>
      </c>
      <c r="H33" s="452">
        <v>-260000</v>
      </c>
      <c r="I33" s="450">
        <f>G33+H33</f>
        <v>57603600</v>
      </c>
      <c r="J33" s="452">
        <v>-465000</v>
      </c>
      <c r="K33" s="450">
        <f>I33+J33</f>
        <v>57138600</v>
      </c>
    </row>
    <row r="34" spans="1:11" ht="15" customHeight="1">
      <c r="A34" s="417" t="s">
        <v>59</v>
      </c>
      <c r="B34" s="418" t="s">
        <v>60</v>
      </c>
      <c r="C34" s="449">
        <v>50000</v>
      </c>
      <c r="D34" s="450">
        <v>4416</v>
      </c>
      <c r="E34" s="450">
        <v>50000</v>
      </c>
      <c r="F34" s="452">
        <v>1823646</v>
      </c>
      <c r="G34" s="450">
        <f>E34+F34</f>
        <v>1873646</v>
      </c>
      <c r="H34" s="452">
        <v>260000</v>
      </c>
      <c r="I34" s="450">
        <f>G34+H34</f>
        <v>2133646</v>
      </c>
      <c r="J34" s="452">
        <v>-50000</v>
      </c>
      <c r="K34" s="450">
        <f>I34+J34</f>
        <v>2083646</v>
      </c>
    </row>
    <row r="35" spans="1:11" ht="30.75" customHeight="1">
      <c r="A35" s="405" t="s">
        <v>64</v>
      </c>
      <c r="B35" s="453" t="s">
        <v>160</v>
      </c>
      <c r="C35" s="454">
        <v>10838079</v>
      </c>
      <c r="D35" s="455">
        <v>10716052</v>
      </c>
      <c r="E35" s="455">
        <v>11858308</v>
      </c>
      <c r="F35" s="456">
        <v>566196</v>
      </c>
      <c r="G35" s="455">
        <f>E35+F35</f>
        <v>12424504</v>
      </c>
      <c r="H35" s="456">
        <v>-258682</v>
      </c>
      <c r="I35" s="455">
        <f>G35+H35</f>
        <v>12165822</v>
      </c>
      <c r="J35" s="456">
        <v>-465000</v>
      </c>
      <c r="K35" s="455">
        <f>I35+J35</f>
        <v>11700822</v>
      </c>
    </row>
    <row r="36" spans="1:11" ht="15" customHeight="1">
      <c r="A36" s="405" t="s">
        <v>65</v>
      </c>
      <c r="B36" s="406" t="s">
        <v>66</v>
      </c>
      <c r="C36" s="446">
        <f aca="true" t="shared" si="8" ref="C36:I36">SUM(C37:C41)</f>
        <v>31920000</v>
      </c>
      <c r="D36" s="455">
        <f t="shared" si="8"/>
        <v>29393152</v>
      </c>
      <c r="E36" s="455">
        <f t="shared" si="8"/>
        <v>34520000</v>
      </c>
      <c r="F36" s="448">
        <f t="shared" si="8"/>
        <v>428286</v>
      </c>
      <c r="G36" s="455">
        <f t="shared" si="8"/>
        <v>34948286</v>
      </c>
      <c r="H36" s="448">
        <f t="shared" si="8"/>
        <v>-1042000</v>
      </c>
      <c r="I36" s="455">
        <f t="shared" si="8"/>
        <v>33906286</v>
      </c>
      <c r="J36" s="448">
        <f>SUM(J37:J41)</f>
        <v>1881490</v>
      </c>
      <c r="K36" s="455">
        <f>SUM(K37:K41)</f>
        <v>35787776</v>
      </c>
    </row>
    <row r="37" spans="1:11" ht="15" customHeight="1">
      <c r="A37" s="417" t="s">
        <v>67</v>
      </c>
      <c r="B37" s="418" t="s">
        <v>68</v>
      </c>
      <c r="C37" s="449">
        <v>18790000</v>
      </c>
      <c r="D37" s="451">
        <v>18211785</v>
      </c>
      <c r="E37" s="451">
        <v>19480000</v>
      </c>
      <c r="F37" s="452">
        <v>304522</v>
      </c>
      <c r="G37" s="451">
        <f>E37+F37</f>
        <v>19784522</v>
      </c>
      <c r="H37" s="452">
        <v>0</v>
      </c>
      <c r="I37" s="451">
        <f>G37+H37</f>
        <v>19784522</v>
      </c>
      <c r="J37" s="452">
        <v>1490000</v>
      </c>
      <c r="K37" s="451">
        <f>I37+J37</f>
        <v>21274522</v>
      </c>
    </row>
    <row r="38" spans="1:11" ht="15" customHeight="1">
      <c r="A38" s="417" t="s">
        <v>69</v>
      </c>
      <c r="B38" s="418" t="s">
        <v>70</v>
      </c>
      <c r="C38" s="449">
        <v>1360000</v>
      </c>
      <c r="D38" s="451">
        <v>1167083</v>
      </c>
      <c r="E38" s="451">
        <v>1250000</v>
      </c>
      <c r="F38" s="452">
        <v>0</v>
      </c>
      <c r="G38" s="451">
        <f>E38+F38</f>
        <v>1250000</v>
      </c>
      <c r="H38" s="452">
        <v>-100000</v>
      </c>
      <c r="I38" s="451">
        <f>G38+H38</f>
        <v>1150000</v>
      </c>
      <c r="J38" s="452">
        <v>-90000</v>
      </c>
      <c r="K38" s="451">
        <f>I38+J38</f>
        <v>1060000</v>
      </c>
    </row>
    <row r="39" spans="1:11" ht="15" customHeight="1">
      <c r="A39" s="417" t="s">
        <v>71</v>
      </c>
      <c r="B39" s="418" t="s">
        <v>72</v>
      </c>
      <c r="C39" s="449">
        <v>5390000</v>
      </c>
      <c r="D39" s="451">
        <v>5302314</v>
      </c>
      <c r="E39" s="451">
        <v>6290000</v>
      </c>
      <c r="F39" s="452">
        <v>23659</v>
      </c>
      <c r="G39" s="451">
        <f>E39+F39</f>
        <v>6313659</v>
      </c>
      <c r="H39" s="452">
        <v>-600000</v>
      </c>
      <c r="I39" s="451">
        <f>G39+H39</f>
        <v>5713659</v>
      </c>
      <c r="J39" s="452">
        <v>50000</v>
      </c>
      <c r="K39" s="451">
        <f>I39+J39</f>
        <v>5763659</v>
      </c>
    </row>
    <row r="40" spans="1:11" ht="15" customHeight="1">
      <c r="A40" s="417" t="s">
        <v>74</v>
      </c>
      <c r="B40" s="418" t="s">
        <v>75</v>
      </c>
      <c r="C40" s="449">
        <v>600000</v>
      </c>
      <c r="D40" s="451">
        <v>547444</v>
      </c>
      <c r="E40" s="451">
        <v>600000</v>
      </c>
      <c r="F40" s="452">
        <v>0</v>
      </c>
      <c r="G40" s="451">
        <f>E40+F40</f>
        <v>600000</v>
      </c>
      <c r="H40" s="452">
        <v>0</v>
      </c>
      <c r="I40" s="451">
        <f>G40+H40</f>
        <v>600000</v>
      </c>
      <c r="J40" s="452">
        <v>46251</v>
      </c>
      <c r="K40" s="451">
        <f>I40+J40</f>
        <v>646251</v>
      </c>
    </row>
    <row r="41" spans="1:11" ht="15" customHeight="1">
      <c r="A41" s="417" t="s">
        <v>76</v>
      </c>
      <c r="B41" s="418" t="s">
        <v>77</v>
      </c>
      <c r="C41" s="449">
        <v>5780000</v>
      </c>
      <c r="D41" s="451">
        <v>4164526</v>
      </c>
      <c r="E41" s="451">
        <v>6900000</v>
      </c>
      <c r="F41" s="452">
        <v>100105</v>
      </c>
      <c r="G41" s="451">
        <f>E41+F41</f>
        <v>7000105</v>
      </c>
      <c r="H41" s="452">
        <v>-342000</v>
      </c>
      <c r="I41" s="451">
        <f>G41+H41</f>
        <v>6658105</v>
      </c>
      <c r="J41" s="452">
        <v>385239</v>
      </c>
      <c r="K41" s="451">
        <f>I41+J41</f>
        <v>7043344</v>
      </c>
    </row>
    <row r="42" spans="1:11" ht="15" customHeight="1">
      <c r="A42" s="457" t="s">
        <v>81</v>
      </c>
      <c r="B42" s="458" t="s">
        <v>125</v>
      </c>
      <c r="C42" s="459">
        <f>SUM(C43:C44)</f>
        <v>1346200</v>
      </c>
      <c r="D42" s="459">
        <f>SUM(D43:D44)</f>
        <v>969802</v>
      </c>
      <c r="E42" s="459">
        <f aca="true" t="shared" si="9" ref="E42:K42">E43</f>
        <v>0</v>
      </c>
      <c r="F42" s="459">
        <f t="shared" si="9"/>
        <v>75066</v>
      </c>
      <c r="G42" s="459">
        <f t="shared" si="9"/>
        <v>75066</v>
      </c>
      <c r="H42" s="459">
        <f t="shared" si="9"/>
        <v>0</v>
      </c>
      <c r="I42" s="459">
        <f t="shared" si="9"/>
        <v>75066</v>
      </c>
      <c r="J42" s="459">
        <f t="shared" si="9"/>
        <v>0</v>
      </c>
      <c r="K42" s="459">
        <f t="shared" si="9"/>
        <v>75066</v>
      </c>
    </row>
    <row r="43" spans="1:11" ht="15" customHeight="1">
      <c r="A43" s="417" t="s">
        <v>324</v>
      </c>
      <c r="B43" s="418" t="s">
        <v>513</v>
      </c>
      <c r="C43" s="449">
        <v>860000</v>
      </c>
      <c r="D43" s="451">
        <v>207500</v>
      </c>
      <c r="E43" s="451">
        <v>0</v>
      </c>
      <c r="F43" s="452">
        <v>75066</v>
      </c>
      <c r="G43" s="451">
        <f>F43</f>
        <v>75066</v>
      </c>
      <c r="H43" s="452">
        <v>0</v>
      </c>
      <c r="I43" s="451">
        <f>G43</f>
        <v>75066</v>
      </c>
      <c r="J43" s="452">
        <v>0</v>
      </c>
      <c r="K43" s="451">
        <f>I43</f>
        <v>75066</v>
      </c>
    </row>
    <row r="44" spans="1:11" ht="15" customHeight="1">
      <c r="A44" s="457" t="s">
        <v>514</v>
      </c>
      <c r="B44" s="458" t="s">
        <v>83</v>
      </c>
      <c r="C44" s="459">
        <f aca="true" t="shared" si="10" ref="C44:I44">SUM(C45:C46)</f>
        <v>486200</v>
      </c>
      <c r="D44" s="459">
        <f t="shared" si="10"/>
        <v>762302</v>
      </c>
      <c r="E44" s="459">
        <f t="shared" si="10"/>
        <v>254000</v>
      </c>
      <c r="F44" s="460">
        <f t="shared" si="10"/>
        <v>0</v>
      </c>
      <c r="G44" s="459">
        <f t="shared" si="10"/>
        <v>254000</v>
      </c>
      <c r="H44" s="460">
        <f t="shared" si="10"/>
        <v>0</v>
      </c>
      <c r="I44" s="459">
        <f t="shared" si="10"/>
        <v>254000</v>
      </c>
      <c r="J44" s="460">
        <f>SUM(J45:J46)</f>
        <v>-170000</v>
      </c>
      <c r="K44" s="459">
        <f>SUM(K45:K46)</f>
        <v>84000</v>
      </c>
    </row>
    <row r="45" spans="1:11" ht="15" customHeight="1">
      <c r="A45" s="417" t="s">
        <v>169</v>
      </c>
      <c r="B45" s="418" t="s">
        <v>515</v>
      </c>
      <c r="C45" s="449">
        <v>200000</v>
      </c>
      <c r="D45" s="451">
        <v>572951</v>
      </c>
      <c r="E45" s="451">
        <v>200000</v>
      </c>
      <c r="F45" s="452">
        <v>0</v>
      </c>
      <c r="G45" s="451">
        <f>E45+F45</f>
        <v>200000</v>
      </c>
      <c r="H45" s="452">
        <v>0</v>
      </c>
      <c r="I45" s="451">
        <f>G45+H45</f>
        <v>200000</v>
      </c>
      <c r="J45" s="452">
        <v>-135000</v>
      </c>
      <c r="K45" s="451">
        <f>I45+J45</f>
        <v>65000</v>
      </c>
    </row>
    <row r="46" spans="1:11" ht="15" customHeight="1">
      <c r="A46" s="417" t="s">
        <v>170</v>
      </c>
      <c r="B46" s="418" t="s">
        <v>516</v>
      </c>
      <c r="C46" s="449">
        <v>286200</v>
      </c>
      <c r="D46" s="451">
        <v>189351</v>
      </c>
      <c r="E46" s="451">
        <v>54000</v>
      </c>
      <c r="F46" s="452">
        <v>0</v>
      </c>
      <c r="G46" s="451">
        <f>E46+F46</f>
        <v>54000</v>
      </c>
      <c r="H46" s="452">
        <v>0</v>
      </c>
      <c r="I46" s="451">
        <f>G46+H46</f>
        <v>54000</v>
      </c>
      <c r="J46" s="452">
        <v>-35000</v>
      </c>
      <c r="K46" s="451">
        <f>I46+J46</f>
        <v>19000</v>
      </c>
    </row>
    <row r="47" spans="1:11" ht="15" customHeight="1" thickBot="1">
      <c r="A47" s="432" t="s">
        <v>517</v>
      </c>
      <c r="B47" s="433" t="s">
        <v>91</v>
      </c>
      <c r="C47" s="461">
        <f>C32+C35+C36+C44</f>
        <v>89854524</v>
      </c>
      <c r="D47" s="462">
        <f>D32++D44+D35+D36</f>
        <v>88617780</v>
      </c>
      <c r="E47" s="462">
        <f aca="true" t="shared" si="11" ref="E47:K47">E32+E35+E36+E44+E42</f>
        <v>103565908</v>
      </c>
      <c r="F47" s="462">
        <f t="shared" si="11"/>
        <v>3873194</v>
      </c>
      <c r="G47" s="462">
        <f t="shared" si="11"/>
        <v>107439102</v>
      </c>
      <c r="H47" s="462">
        <f t="shared" si="11"/>
        <v>-1300682</v>
      </c>
      <c r="I47" s="462">
        <f t="shared" si="11"/>
        <v>106138420</v>
      </c>
      <c r="J47" s="462">
        <f t="shared" si="11"/>
        <v>731490</v>
      </c>
      <c r="K47" s="462">
        <f t="shared" si="11"/>
        <v>106869910</v>
      </c>
    </row>
    <row r="48" spans="1:12" ht="16.5" thickTop="1">
      <c r="A48" s="437"/>
      <c r="B48" s="437"/>
      <c r="C48" s="437"/>
      <c r="D48" s="463"/>
      <c r="E48" s="463"/>
      <c r="F48" s="437"/>
      <c r="G48" s="463"/>
      <c r="H48" s="437"/>
      <c r="I48" s="463"/>
      <c r="J48" s="437"/>
      <c r="K48" s="463"/>
      <c r="L48" s="464"/>
    </row>
    <row r="49" spans="1:12" ht="16.5" thickBot="1">
      <c r="A49" s="389"/>
      <c r="B49" s="465"/>
      <c r="C49" s="465"/>
      <c r="D49" s="465"/>
      <c r="F49" s="464"/>
      <c r="G49" s="387"/>
      <c r="H49" s="464"/>
      <c r="I49" s="387"/>
      <c r="J49" s="464"/>
      <c r="K49" s="387"/>
      <c r="L49" s="387"/>
    </row>
    <row r="50" spans="1:12" ht="15" thickBot="1">
      <c r="A50" s="466" t="s">
        <v>518</v>
      </c>
      <c r="B50" s="467"/>
      <c r="C50" s="468"/>
      <c r="D50" s="468"/>
      <c r="E50" s="469">
        <v>18</v>
      </c>
      <c r="G50" s="387"/>
      <c r="I50" s="387"/>
      <c r="K50" s="387"/>
      <c r="L50" s="387"/>
    </row>
    <row r="51" spans="1:5" s="386" customFormat="1" ht="15" thickBot="1">
      <c r="A51" s="466" t="s">
        <v>519</v>
      </c>
      <c r="B51" s="467"/>
      <c r="C51" s="468"/>
      <c r="D51" s="468"/>
      <c r="E51" s="469">
        <v>0</v>
      </c>
    </row>
  </sheetData>
  <sheetProtection/>
  <mergeCells count="5">
    <mergeCell ref="A6:B6"/>
    <mergeCell ref="A7:B7"/>
    <mergeCell ref="D7:E7"/>
    <mergeCell ref="A2:K3"/>
    <mergeCell ref="A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4"/>
  <sheetViews>
    <sheetView zoomScalePageLayoutView="0" workbookViewId="0" topLeftCell="C1">
      <selection activeCell="C6" sqref="C6:D6"/>
    </sheetView>
  </sheetViews>
  <sheetFormatPr defaultColWidth="8.00390625" defaultRowHeight="12.75"/>
  <cols>
    <col min="1" max="1" width="9.8515625" style="3" hidden="1" customWidth="1"/>
    <col min="2" max="2" width="3.28125" style="3" hidden="1" customWidth="1"/>
    <col min="3" max="3" width="52.7109375" style="3" customWidth="1"/>
    <col min="4" max="4" width="13.57421875" style="3" customWidth="1"/>
    <col min="5" max="13" width="13.57421875" style="3" hidden="1" customWidth="1"/>
    <col min="14" max="16" width="13.57421875" style="3" customWidth="1"/>
    <col min="17" max="17" width="45.421875" style="3" customWidth="1"/>
    <col min="18" max="18" width="12.7109375" style="3" customWidth="1"/>
    <col min="19" max="27" width="13.57421875" style="3" hidden="1" customWidth="1"/>
    <col min="28" max="30" width="13.57421875" style="3" customWidth="1"/>
    <col min="31" max="31" width="8.7109375" style="3" bestFit="1" customWidth="1"/>
    <col min="32" max="32" width="8.00390625" style="3" customWidth="1"/>
    <col min="33" max="33" width="9.57421875" style="3" bestFit="1" customWidth="1"/>
    <col min="34" max="16384" width="8.00390625" style="3" customWidth="1"/>
  </cols>
  <sheetData>
    <row r="1" spans="3:30" ht="30" customHeight="1">
      <c r="C1" s="610" t="s">
        <v>182</v>
      </c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0"/>
      <c r="Z1" s="610"/>
      <c r="AA1" s="610"/>
      <c r="AB1" s="610"/>
      <c r="AC1" s="610"/>
      <c r="AD1" s="610"/>
    </row>
    <row r="2" spans="3:30" ht="30" customHeight="1">
      <c r="C2" s="610" t="s">
        <v>384</v>
      </c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610"/>
      <c r="Z2" s="610"/>
      <c r="AA2" s="610"/>
      <c r="AB2" s="610"/>
      <c r="AC2" s="610"/>
      <c r="AD2" s="610"/>
    </row>
    <row r="3" spans="3:30" ht="17.25" customHeight="1">
      <c r="C3" s="610" t="s">
        <v>332</v>
      </c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</row>
    <row r="4" spans="3:30" ht="17.25" customHeight="1"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3:30" ht="17.25" customHeight="1">
      <c r="C5" s="600" t="s">
        <v>627</v>
      </c>
      <c r="D5" s="600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201"/>
      <c r="S5" s="38"/>
      <c r="T5" s="201"/>
      <c r="U5" s="38"/>
      <c r="V5" s="201"/>
      <c r="W5" s="38"/>
      <c r="X5" s="201"/>
      <c r="Y5" s="38"/>
      <c r="Z5" s="201"/>
      <c r="AA5" s="38"/>
      <c r="AB5" s="201"/>
      <c r="AC5" s="38"/>
      <c r="AD5" s="201"/>
    </row>
    <row r="6" spans="3:30" ht="19.5" customHeight="1" thickBot="1">
      <c r="C6" s="599" t="s">
        <v>460</v>
      </c>
      <c r="D6" s="599"/>
      <c r="Q6" s="4"/>
      <c r="R6" s="39"/>
      <c r="T6" s="39"/>
      <c r="V6" s="39"/>
      <c r="X6" s="39"/>
      <c r="Z6" s="39"/>
      <c r="AB6" s="39"/>
      <c r="AD6" s="39" t="s">
        <v>325</v>
      </c>
    </row>
    <row r="7" spans="1:30" ht="42" customHeight="1">
      <c r="A7" s="5" t="s">
        <v>99</v>
      </c>
      <c r="B7" s="6" t="s">
        <v>100</v>
      </c>
      <c r="C7" s="6" t="s">
        <v>330</v>
      </c>
      <c r="D7" s="6" t="s">
        <v>353</v>
      </c>
      <c r="E7" s="6" t="s">
        <v>405</v>
      </c>
      <c r="F7" s="6" t="s">
        <v>406</v>
      </c>
      <c r="G7" s="6" t="s">
        <v>416</v>
      </c>
      <c r="H7" s="6" t="s">
        <v>417</v>
      </c>
      <c r="I7" s="6" t="s">
        <v>476</v>
      </c>
      <c r="J7" s="6" t="s">
        <v>471</v>
      </c>
      <c r="K7" s="6" t="s">
        <v>524</v>
      </c>
      <c r="L7" s="6" t="s">
        <v>521</v>
      </c>
      <c r="M7" s="6" t="s">
        <v>539</v>
      </c>
      <c r="N7" s="6" t="s">
        <v>594</v>
      </c>
      <c r="O7" s="6" t="s">
        <v>539</v>
      </c>
      <c r="P7" s="6" t="s">
        <v>594</v>
      </c>
      <c r="Q7" s="214" t="s">
        <v>329</v>
      </c>
      <c r="R7" s="6" t="s">
        <v>353</v>
      </c>
      <c r="S7" s="6" t="s">
        <v>405</v>
      </c>
      <c r="T7" s="6" t="s">
        <v>406</v>
      </c>
      <c r="U7" s="6" t="s">
        <v>416</v>
      </c>
      <c r="V7" s="6" t="s">
        <v>417</v>
      </c>
      <c r="W7" s="6" t="s">
        <v>476</v>
      </c>
      <c r="X7" s="6" t="s">
        <v>471</v>
      </c>
      <c r="Y7" s="6" t="s">
        <v>524</v>
      </c>
      <c r="Z7" s="6" t="s">
        <v>521</v>
      </c>
      <c r="AA7" s="6" t="s">
        <v>539</v>
      </c>
      <c r="AB7" s="6" t="s">
        <v>540</v>
      </c>
      <c r="AC7" s="6" t="s">
        <v>539</v>
      </c>
      <c r="AD7" s="6" t="s">
        <v>540</v>
      </c>
    </row>
    <row r="8" spans="1:30" s="62" customFormat="1" ht="10.5">
      <c r="A8" s="59">
        <v>1</v>
      </c>
      <c r="B8" s="60">
        <v>2</v>
      </c>
      <c r="C8" s="60" t="s">
        <v>92</v>
      </c>
      <c r="D8" s="60" t="s">
        <v>93</v>
      </c>
      <c r="E8" s="60" t="s">
        <v>94</v>
      </c>
      <c r="F8" s="60" t="s">
        <v>95</v>
      </c>
      <c r="G8" s="60" t="s">
        <v>94</v>
      </c>
      <c r="H8" s="60" t="s">
        <v>94</v>
      </c>
      <c r="I8" s="60" t="s">
        <v>95</v>
      </c>
      <c r="J8" s="60" t="s">
        <v>94</v>
      </c>
      <c r="K8" s="60" t="s">
        <v>95</v>
      </c>
      <c r="L8" s="60" t="s">
        <v>94</v>
      </c>
      <c r="M8" s="60" t="s">
        <v>95</v>
      </c>
      <c r="N8" s="60" t="s">
        <v>94</v>
      </c>
      <c r="O8" s="60" t="s">
        <v>95</v>
      </c>
      <c r="P8" s="60" t="s">
        <v>96</v>
      </c>
      <c r="Q8" s="61" t="s">
        <v>304</v>
      </c>
      <c r="R8" s="60" t="s">
        <v>308</v>
      </c>
      <c r="S8" s="60" t="s">
        <v>308</v>
      </c>
      <c r="T8" s="60" t="s">
        <v>412</v>
      </c>
      <c r="U8" s="60" t="s">
        <v>308</v>
      </c>
      <c r="V8" s="60" t="s">
        <v>412</v>
      </c>
      <c r="W8" s="60" t="s">
        <v>463</v>
      </c>
      <c r="X8" s="60" t="s">
        <v>412</v>
      </c>
      <c r="Y8" s="60" t="s">
        <v>463</v>
      </c>
      <c r="Z8" s="60" t="s">
        <v>412</v>
      </c>
      <c r="AA8" s="60" t="s">
        <v>463</v>
      </c>
      <c r="AB8" s="60" t="s">
        <v>412</v>
      </c>
      <c r="AC8" s="60" t="s">
        <v>463</v>
      </c>
      <c r="AD8" s="60" t="s">
        <v>467</v>
      </c>
    </row>
    <row r="9" spans="1:30" ht="14.25" customHeight="1">
      <c r="A9" s="7" t="s">
        <v>101</v>
      </c>
      <c r="B9" s="8" t="s">
        <v>102</v>
      </c>
      <c r="C9" s="9" t="s">
        <v>327</v>
      </c>
      <c r="D9" s="252">
        <v>2000000</v>
      </c>
      <c r="E9" s="252">
        <v>0</v>
      </c>
      <c r="F9" s="252">
        <v>2000000</v>
      </c>
      <c r="G9" s="252">
        <v>0</v>
      </c>
      <c r="H9" s="252">
        <f>F9+G9</f>
        <v>2000000</v>
      </c>
      <c r="I9" s="252">
        <v>0</v>
      </c>
      <c r="J9" s="252">
        <f>H9+I9</f>
        <v>2000000</v>
      </c>
      <c r="K9" s="252">
        <v>0</v>
      </c>
      <c r="L9" s="252">
        <f>J9+K9</f>
        <v>2000000</v>
      </c>
      <c r="M9" s="252">
        <v>0</v>
      </c>
      <c r="N9" s="252">
        <f>L9+M9</f>
        <v>2000000</v>
      </c>
      <c r="O9" s="252">
        <v>73435</v>
      </c>
      <c r="P9" s="252">
        <f>N9+O9</f>
        <v>2073435</v>
      </c>
      <c r="Q9" s="9" t="s">
        <v>386</v>
      </c>
      <c r="R9" s="40">
        <v>88071346</v>
      </c>
      <c r="S9" s="252">
        <v>0</v>
      </c>
      <c r="T9" s="252">
        <f>R9+S9</f>
        <v>88071346</v>
      </c>
      <c r="U9" s="252">
        <v>0</v>
      </c>
      <c r="V9" s="252">
        <f>R9+U9</f>
        <v>88071346</v>
      </c>
      <c r="W9" s="252">
        <v>0</v>
      </c>
      <c r="X9" s="252">
        <f>T9+W9</f>
        <v>88071346</v>
      </c>
      <c r="Y9" s="252">
        <v>0</v>
      </c>
      <c r="Z9" s="252">
        <f>X9+Y9</f>
        <v>88071346</v>
      </c>
      <c r="AA9" s="252">
        <v>0</v>
      </c>
      <c r="AB9" s="252">
        <f>Z9+AA9</f>
        <v>88071346</v>
      </c>
      <c r="AC9" s="252">
        <v>0</v>
      </c>
      <c r="AD9" s="252">
        <f>AB9+AC9</f>
        <v>88071346</v>
      </c>
    </row>
    <row r="10" spans="1:30" ht="15" customHeight="1">
      <c r="A10" s="7" t="s">
        <v>101</v>
      </c>
      <c r="B10" s="8" t="s">
        <v>102</v>
      </c>
      <c r="C10" s="9" t="s">
        <v>376</v>
      </c>
      <c r="D10" s="252">
        <v>55000000</v>
      </c>
      <c r="E10" s="252">
        <v>0</v>
      </c>
      <c r="F10" s="252">
        <v>55000000</v>
      </c>
      <c r="G10" s="252">
        <v>0</v>
      </c>
      <c r="H10" s="252">
        <f aca="true" t="shared" si="0" ref="H10:H29">F10+G10</f>
        <v>55000000</v>
      </c>
      <c r="I10" s="252">
        <v>0</v>
      </c>
      <c r="J10" s="252">
        <f aca="true" t="shared" si="1" ref="J10:J30">H10+I10</f>
        <v>55000000</v>
      </c>
      <c r="K10" s="252">
        <v>0</v>
      </c>
      <c r="L10" s="252">
        <f aca="true" t="shared" si="2" ref="L10:L34">J10+K10</f>
        <v>55000000</v>
      </c>
      <c r="M10" s="252">
        <v>0</v>
      </c>
      <c r="N10" s="252">
        <f aca="true" t="shared" si="3" ref="N10:N38">L10+M10</f>
        <v>55000000</v>
      </c>
      <c r="O10" s="252">
        <v>-55000000</v>
      </c>
      <c r="P10" s="252">
        <f aca="true" t="shared" si="4" ref="P10:P40">N10+O10</f>
        <v>0</v>
      </c>
      <c r="Q10" s="9" t="s">
        <v>385</v>
      </c>
      <c r="R10" s="42">
        <v>3810000</v>
      </c>
      <c r="S10" s="253">
        <v>0</v>
      </c>
      <c r="T10" s="252">
        <f aca="true" t="shared" si="5" ref="T10:T15">R10+S10</f>
        <v>3810000</v>
      </c>
      <c r="U10" s="253">
        <v>0</v>
      </c>
      <c r="V10" s="252">
        <f aca="true" t="shared" si="6" ref="V10:V15">R10+U10</f>
        <v>3810000</v>
      </c>
      <c r="W10" s="253">
        <v>0</v>
      </c>
      <c r="X10" s="252">
        <f aca="true" t="shared" si="7" ref="X10:X15">T10+W10</f>
        <v>3810000</v>
      </c>
      <c r="Y10" s="253">
        <v>0</v>
      </c>
      <c r="Z10" s="252">
        <f aca="true" t="shared" si="8" ref="Z10:Z15">X10+Y10</f>
        <v>3810000</v>
      </c>
      <c r="AA10" s="253">
        <v>0</v>
      </c>
      <c r="AB10" s="252">
        <f aca="true" t="shared" si="9" ref="AB10:AB15">Z10+AA10</f>
        <v>3810000</v>
      </c>
      <c r="AC10" s="253">
        <v>0</v>
      </c>
      <c r="AD10" s="252">
        <f aca="true" t="shared" si="10" ref="AD10:AD16">AB10+AC10</f>
        <v>3810000</v>
      </c>
    </row>
    <row r="11" spans="1:30" ht="12.75">
      <c r="A11" s="7" t="s">
        <v>103</v>
      </c>
      <c r="B11" s="8" t="s">
        <v>104</v>
      </c>
      <c r="C11" s="9" t="s">
        <v>377</v>
      </c>
      <c r="D11" s="252">
        <v>15000000</v>
      </c>
      <c r="E11" s="252">
        <v>0</v>
      </c>
      <c r="F11" s="252">
        <v>15000000</v>
      </c>
      <c r="G11" s="252">
        <v>-3717000</v>
      </c>
      <c r="H11" s="252">
        <f t="shared" si="0"/>
        <v>11283000</v>
      </c>
      <c r="I11" s="252">
        <v>-1710000</v>
      </c>
      <c r="J11" s="252">
        <f t="shared" si="1"/>
        <v>9573000</v>
      </c>
      <c r="K11" s="252">
        <f>-551833-7000000</f>
        <v>-7551833</v>
      </c>
      <c r="L11" s="252">
        <f t="shared" si="2"/>
        <v>2021167</v>
      </c>
      <c r="M11" s="252">
        <v>-2021167</v>
      </c>
      <c r="N11" s="252">
        <f t="shared" si="3"/>
        <v>0</v>
      </c>
      <c r="O11" s="252">
        <v>0</v>
      </c>
      <c r="P11" s="252">
        <f t="shared" si="4"/>
        <v>0</v>
      </c>
      <c r="Q11" s="9" t="s">
        <v>387</v>
      </c>
      <c r="R11" s="42">
        <v>49000000</v>
      </c>
      <c r="S11" s="42">
        <v>0</v>
      </c>
      <c r="T11" s="252">
        <f t="shared" si="5"/>
        <v>49000000</v>
      </c>
      <c r="U11" s="42">
        <v>0</v>
      </c>
      <c r="V11" s="252">
        <f t="shared" si="6"/>
        <v>49000000</v>
      </c>
      <c r="W11" s="42">
        <v>0</v>
      </c>
      <c r="X11" s="252">
        <f t="shared" si="7"/>
        <v>49000000</v>
      </c>
      <c r="Y11" s="42">
        <v>0</v>
      </c>
      <c r="Z11" s="252">
        <f t="shared" si="8"/>
        <v>49000000</v>
      </c>
      <c r="AA11" s="42">
        <v>0</v>
      </c>
      <c r="AB11" s="252">
        <f t="shared" si="9"/>
        <v>49000000</v>
      </c>
      <c r="AC11" s="42">
        <v>-49000000</v>
      </c>
      <c r="AD11" s="252">
        <f t="shared" si="10"/>
        <v>0</v>
      </c>
    </row>
    <row r="12" spans="1:30" ht="15" customHeight="1">
      <c r="A12" s="7" t="s">
        <v>106</v>
      </c>
      <c r="B12" s="8" t="s">
        <v>107</v>
      </c>
      <c r="C12" s="9" t="s">
        <v>373</v>
      </c>
      <c r="D12" s="252">
        <v>800000</v>
      </c>
      <c r="E12" s="252">
        <v>0</v>
      </c>
      <c r="F12" s="252">
        <v>800000</v>
      </c>
      <c r="G12" s="252">
        <v>0</v>
      </c>
      <c r="H12" s="252">
        <f t="shared" si="0"/>
        <v>800000</v>
      </c>
      <c r="I12" s="252">
        <v>0</v>
      </c>
      <c r="J12" s="252">
        <f t="shared" si="1"/>
        <v>800000</v>
      </c>
      <c r="K12" s="252">
        <v>0</v>
      </c>
      <c r="L12" s="252">
        <f t="shared" si="2"/>
        <v>800000</v>
      </c>
      <c r="M12" s="252">
        <v>0</v>
      </c>
      <c r="N12" s="252">
        <f t="shared" si="3"/>
        <v>800000</v>
      </c>
      <c r="O12" s="252">
        <v>0</v>
      </c>
      <c r="P12" s="252">
        <f t="shared" si="4"/>
        <v>800000</v>
      </c>
      <c r="Q12" s="9" t="s">
        <v>388</v>
      </c>
      <c r="R12" s="42">
        <v>15381682</v>
      </c>
      <c r="S12" s="42">
        <v>0</v>
      </c>
      <c r="T12" s="252">
        <f t="shared" si="5"/>
        <v>15381682</v>
      </c>
      <c r="U12" s="42">
        <v>0</v>
      </c>
      <c r="V12" s="252">
        <f t="shared" si="6"/>
        <v>15381682</v>
      </c>
      <c r="W12" s="42">
        <v>0</v>
      </c>
      <c r="X12" s="252">
        <f t="shared" si="7"/>
        <v>15381682</v>
      </c>
      <c r="Y12" s="42">
        <v>0</v>
      </c>
      <c r="Z12" s="252">
        <f t="shared" si="8"/>
        <v>15381682</v>
      </c>
      <c r="AA12" s="42">
        <v>0</v>
      </c>
      <c r="AB12" s="252">
        <f t="shared" si="9"/>
        <v>15381682</v>
      </c>
      <c r="AC12" s="42">
        <v>-15381682</v>
      </c>
      <c r="AD12" s="252">
        <f t="shared" si="10"/>
        <v>0</v>
      </c>
    </row>
    <row r="13" spans="1:30" ht="12.75" customHeight="1">
      <c r="A13" s="7"/>
      <c r="B13" s="8"/>
      <c r="C13" s="9" t="s">
        <v>378</v>
      </c>
      <c r="D13" s="252">
        <v>200000</v>
      </c>
      <c r="E13" s="252">
        <v>0</v>
      </c>
      <c r="F13" s="252">
        <v>200000</v>
      </c>
      <c r="G13" s="252">
        <v>0</v>
      </c>
      <c r="H13" s="252">
        <f t="shared" si="0"/>
        <v>200000</v>
      </c>
      <c r="I13" s="252">
        <v>300000</v>
      </c>
      <c r="J13" s="252">
        <f t="shared" si="1"/>
        <v>500000</v>
      </c>
      <c r="K13" s="252">
        <v>0</v>
      </c>
      <c r="L13" s="252">
        <f t="shared" si="2"/>
        <v>500000</v>
      </c>
      <c r="M13" s="252">
        <v>0</v>
      </c>
      <c r="N13" s="252">
        <f t="shared" si="3"/>
        <v>500000</v>
      </c>
      <c r="O13" s="252">
        <v>0</v>
      </c>
      <c r="P13" s="252">
        <f t="shared" si="4"/>
        <v>500000</v>
      </c>
      <c r="Q13" s="9" t="s">
        <v>389</v>
      </c>
      <c r="R13" s="42">
        <v>11287503</v>
      </c>
      <c r="S13" s="42">
        <v>0</v>
      </c>
      <c r="T13" s="252">
        <f t="shared" si="5"/>
        <v>11287503</v>
      </c>
      <c r="U13" s="42">
        <v>0</v>
      </c>
      <c r="V13" s="252">
        <f t="shared" si="6"/>
        <v>11287503</v>
      </c>
      <c r="W13" s="42">
        <v>0</v>
      </c>
      <c r="X13" s="252">
        <f t="shared" si="7"/>
        <v>11287503</v>
      </c>
      <c r="Y13" s="42">
        <v>0</v>
      </c>
      <c r="Z13" s="252">
        <f t="shared" si="8"/>
        <v>11287503</v>
      </c>
      <c r="AA13" s="42">
        <v>-11287503</v>
      </c>
      <c r="AB13" s="252">
        <v>11287503</v>
      </c>
      <c r="AC13" s="42">
        <v>0</v>
      </c>
      <c r="AD13" s="252">
        <f t="shared" si="10"/>
        <v>11287503</v>
      </c>
    </row>
    <row r="14" spans="1:30" ht="15" customHeight="1">
      <c r="A14" s="7" t="s">
        <v>101</v>
      </c>
      <c r="B14" s="8" t="s">
        <v>105</v>
      </c>
      <c r="C14" s="9" t="s">
        <v>479</v>
      </c>
      <c r="D14" s="252">
        <v>15000000</v>
      </c>
      <c r="E14" s="252">
        <v>0</v>
      </c>
      <c r="F14" s="252">
        <v>15000000</v>
      </c>
      <c r="G14" s="252">
        <v>0</v>
      </c>
      <c r="H14" s="252">
        <f t="shared" si="0"/>
        <v>15000000</v>
      </c>
      <c r="I14" s="252">
        <v>0</v>
      </c>
      <c r="J14" s="252">
        <f t="shared" si="1"/>
        <v>15000000</v>
      </c>
      <c r="K14" s="252">
        <f>5400000-9211049-4500000</f>
        <v>-8311049</v>
      </c>
      <c r="L14" s="252">
        <f t="shared" si="2"/>
        <v>6688951</v>
      </c>
      <c r="M14" s="252">
        <v>0</v>
      </c>
      <c r="N14" s="252">
        <f t="shared" si="3"/>
        <v>6688951</v>
      </c>
      <c r="O14" s="252">
        <v>0</v>
      </c>
      <c r="P14" s="252">
        <f t="shared" si="4"/>
        <v>6688951</v>
      </c>
      <c r="Q14" s="9" t="s">
        <v>390</v>
      </c>
      <c r="R14" s="42">
        <v>10516770</v>
      </c>
      <c r="S14" s="42">
        <v>0</v>
      </c>
      <c r="T14" s="252">
        <f t="shared" si="5"/>
        <v>10516770</v>
      </c>
      <c r="U14" s="42">
        <v>0</v>
      </c>
      <c r="V14" s="252">
        <f t="shared" si="6"/>
        <v>10516770</v>
      </c>
      <c r="W14" s="42">
        <v>0</v>
      </c>
      <c r="X14" s="252">
        <f t="shared" si="7"/>
        <v>10516770</v>
      </c>
      <c r="Y14" s="42">
        <v>0</v>
      </c>
      <c r="Z14" s="252">
        <f t="shared" si="8"/>
        <v>10516770</v>
      </c>
      <c r="AA14" s="42">
        <v>-10516770</v>
      </c>
      <c r="AB14" s="252">
        <v>10516770</v>
      </c>
      <c r="AC14" s="42">
        <v>0</v>
      </c>
      <c r="AD14" s="252">
        <f t="shared" si="10"/>
        <v>10516770</v>
      </c>
    </row>
    <row r="15" spans="1:30" ht="12.75">
      <c r="A15" s="7" t="s">
        <v>106</v>
      </c>
      <c r="B15" s="8" t="s">
        <v>107</v>
      </c>
      <c r="C15" s="9" t="s">
        <v>478</v>
      </c>
      <c r="D15" s="252">
        <v>20000000</v>
      </c>
      <c r="E15" s="252">
        <v>0</v>
      </c>
      <c r="F15" s="252">
        <v>20000000</v>
      </c>
      <c r="G15" s="252">
        <v>0</v>
      </c>
      <c r="H15" s="252">
        <f t="shared" si="0"/>
        <v>20000000</v>
      </c>
      <c r="I15" s="252">
        <v>-19200000</v>
      </c>
      <c r="J15" s="252">
        <f t="shared" si="1"/>
        <v>800000</v>
      </c>
      <c r="K15" s="252">
        <v>0</v>
      </c>
      <c r="L15" s="252">
        <f t="shared" si="2"/>
        <v>800000</v>
      </c>
      <c r="M15" s="252">
        <v>0</v>
      </c>
      <c r="N15" s="252">
        <f t="shared" si="3"/>
        <v>800000</v>
      </c>
      <c r="O15" s="252">
        <v>-800000</v>
      </c>
      <c r="P15" s="252">
        <f t="shared" si="4"/>
        <v>0</v>
      </c>
      <c r="Q15" s="9" t="s">
        <v>414</v>
      </c>
      <c r="R15" s="42">
        <v>0</v>
      </c>
      <c r="S15" s="40">
        <v>3706875</v>
      </c>
      <c r="T15" s="252">
        <f t="shared" si="5"/>
        <v>3706875</v>
      </c>
      <c r="U15" s="40">
        <v>0</v>
      </c>
      <c r="V15" s="252">
        <f t="shared" si="6"/>
        <v>0</v>
      </c>
      <c r="W15" s="40">
        <v>0</v>
      </c>
      <c r="X15" s="252">
        <f t="shared" si="7"/>
        <v>3706875</v>
      </c>
      <c r="Y15" s="40">
        <v>0</v>
      </c>
      <c r="Z15" s="252">
        <f t="shared" si="8"/>
        <v>3706875</v>
      </c>
      <c r="AA15" s="40">
        <v>-3438875</v>
      </c>
      <c r="AB15" s="252">
        <f t="shared" si="9"/>
        <v>268000</v>
      </c>
      <c r="AC15" s="40">
        <v>0</v>
      </c>
      <c r="AD15" s="252">
        <f t="shared" si="10"/>
        <v>268000</v>
      </c>
    </row>
    <row r="16" spans="1:30" ht="12.75">
      <c r="A16" s="7"/>
      <c r="B16" s="8"/>
      <c r="C16" s="9" t="s">
        <v>620</v>
      </c>
      <c r="D16" s="252">
        <v>0</v>
      </c>
      <c r="E16" s="252"/>
      <c r="F16" s="252"/>
      <c r="G16" s="252"/>
      <c r="H16" s="252"/>
      <c r="I16" s="252"/>
      <c r="J16" s="252"/>
      <c r="K16" s="252"/>
      <c r="L16" s="252"/>
      <c r="M16" s="252"/>
      <c r="N16" s="252">
        <v>0</v>
      </c>
      <c r="O16" s="252">
        <v>1600001</v>
      </c>
      <c r="P16" s="252">
        <f t="shared" si="4"/>
        <v>1600001</v>
      </c>
      <c r="Q16" s="9" t="s">
        <v>622</v>
      </c>
      <c r="R16" s="42">
        <v>0</v>
      </c>
      <c r="S16" s="40"/>
      <c r="T16" s="252"/>
      <c r="U16" s="40"/>
      <c r="V16" s="252"/>
      <c r="W16" s="40"/>
      <c r="X16" s="252"/>
      <c r="Y16" s="40"/>
      <c r="Z16" s="252"/>
      <c r="AA16" s="40"/>
      <c r="AB16" s="252">
        <v>0</v>
      </c>
      <c r="AC16" s="40">
        <v>11000</v>
      </c>
      <c r="AD16" s="252">
        <f t="shared" si="10"/>
        <v>11000</v>
      </c>
    </row>
    <row r="17" spans="1:31" ht="12.75">
      <c r="A17" s="7" t="s">
        <v>109</v>
      </c>
      <c r="B17" s="8" t="s">
        <v>110</v>
      </c>
      <c r="C17" s="9" t="s">
        <v>328</v>
      </c>
      <c r="D17" s="252">
        <v>3810000</v>
      </c>
      <c r="E17" s="252">
        <v>0</v>
      </c>
      <c r="F17" s="252">
        <v>3810000</v>
      </c>
      <c r="G17" s="252">
        <v>0</v>
      </c>
      <c r="H17" s="252">
        <f t="shared" si="0"/>
        <v>3810000</v>
      </c>
      <c r="I17" s="252">
        <v>0</v>
      </c>
      <c r="J17" s="252">
        <f t="shared" si="1"/>
        <v>3810000</v>
      </c>
      <c r="K17" s="252">
        <v>0</v>
      </c>
      <c r="L17" s="252">
        <f t="shared" si="2"/>
        <v>3810000</v>
      </c>
      <c r="M17" s="252">
        <v>0</v>
      </c>
      <c r="N17" s="252">
        <f t="shared" si="3"/>
        <v>3810000</v>
      </c>
      <c r="O17" s="252">
        <v>0</v>
      </c>
      <c r="P17" s="252">
        <f t="shared" si="4"/>
        <v>3810000</v>
      </c>
      <c r="Q17" s="9"/>
      <c r="R17" s="40"/>
      <c r="S17" s="40"/>
      <c r="T17" s="252"/>
      <c r="U17" s="40"/>
      <c r="V17" s="252"/>
      <c r="W17" s="40"/>
      <c r="X17" s="252"/>
      <c r="Y17" s="40"/>
      <c r="Z17" s="252"/>
      <c r="AA17" s="40"/>
      <c r="AB17" s="252"/>
      <c r="AC17" s="40"/>
      <c r="AD17" s="252"/>
      <c r="AE17" s="251"/>
    </row>
    <row r="18" spans="1:33" ht="12.75">
      <c r="A18" s="7" t="s">
        <v>111</v>
      </c>
      <c r="B18" s="8" t="s">
        <v>112</v>
      </c>
      <c r="C18" s="9" t="s">
        <v>379</v>
      </c>
      <c r="D18" s="252">
        <v>500000</v>
      </c>
      <c r="E18" s="252">
        <v>0</v>
      </c>
      <c r="F18" s="252">
        <v>500000</v>
      </c>
      <c r="G18" s="252">
        <v>0</v>
      </c>
      <c r="H18" s="252">
        <f t="shared" si="0"/>
        <v>500000</v>
      </c>
      <c r="I18" s="252">
        <v>0</v>
      </c>
      <c r="J18" s="252">
        <f t="shared" si="1"/>
        <v>500000</v>
      </c>
      <c r="K18" s="252">
        <v>0</v>
      </c>
      <c r="L18" s="252">
        <f t="shared" si="2"/>
        <v>500000</v>
      </c>
      <c r="M18" s="252">
        <v>0</v>
      </c>
      <c r="N18" s="252">
        <f t="shared" si="3"/>
        <v>500000</v>
      </c>
      <c r="O18" s="252">
        <v>0</v>
      </c>
      <c r="P18" s="252">
        <f t="shared" si="4"/>
        <v>500000</v>
      </c>
      <c r="Q18" s="1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G18" s="251"/>
    </row>
    <row r="19" spans="1:33" ht="15" customHeight="1">
      <c r="A19" s="7" t="s">
        <v>101</v>
      </c>
      <c r="B19" s="8" t="s">
        <v>108</v>
      </c>
      <c r="C19" s="9" t="s">
        <v>374</v>
      </c>
      <c r="D19" s="252">
        <v>200000</v>
      </c>
      <c r="E19" s="252">
        <v>0</v>
      </c>
      <c r="F19" s="252">
        <v>200000</v>
      </c>
      <c r="G19" s="252">
        <v>0</v>
      </c>
      <c r="H19" s="252">
        <f t="shared" si="0"/>
        <v>200000</v>
      </c>
      <c r="I19" s="252">
        <v>0</v>
      </c>
      <c r="J19" s="252">
        <f t="shared" si="1"/>
        <v>200000</v>
      </c>
      <c r="K19" s="252">
        <v>0</v>
      </c>
      <c r="L19" s="252">
        <f t="shared" si="2"/>
        <v>200000</v>
      </c>
      <c r="M19" s="252">
        <v>0</v>
      </c>
      <c r="N19" s="252">
        <f t="shared" si="3"/>
        <v>200000</v>
      </c>
      <c r="O19" s="252">
        <v>0</v>
      </c>
      <c r="P19" s="252">
        <f t="shared" si="4"/>
        <v>200000</v>
      </c>
      <c r="Q19" s="11"/>
      <c r="R19" s="40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G19" s="251"/>
    </row>
    <row r="20" spans="1:30" ht="15" customHeight="1">
      <c r="A20" s="211"/>
      <c r="B20" s="212"/>
      <c r="C20" s="9" t="s">
        <v>404</v>
      </c>
      <c r="D20" s="252">
        <v>3400000</v>
      </c>
      <c r="E20" s="252">
        <v>0</v>
      </c>
      <c r="F20" s="252">
        <v>3400000</v>
      </c>
      <c r="G20" s="252">
        <v>0</v>
      </c>
      <c r="H20" s="252">
        <f t="shared" si="0"/>
        <v>3400000</v>
      </c>
      <c r="I20" s="252">
        <v>0</v>
      </c>
      <c r="J20" s="252">
        <f t="shared" si="1"/>
        <v>3400000</v>
      </c>
      <c r="K20" s="252">
        <v>0</v>
      </c>
      <c r="L20" s="252">
        <f t="shared" si="2"/>
        <v>3400000</v>
      </c>
      <c r="M20" s="252">
        <v>0</v>
      </c>
      <c r="N20" s="252">
        <f t="shared" si="3"/>
        <v>3400000</v>
      </c>
      <c r="O20" s="252">
        <v>0</v>
      </c>
      <c r="P20" s="252">
        <f t="shared" si="4"/>
        <v>3400000</v>
      </c>
      <c r="Q20" s="11"/>
      <c r="R20" s="41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</row>
    <row r="21" spans="1:30" ht="15" customHeight="1">
      <c r="A21" s="211"/>
      <c r="B21" s="212"/>
      <c r="C21" s="9" t="s">
        <v>597</v>
      </c>
      <c r="D21" s="252">
        <v>17344097</v>
      </c>
      <c r="E21" s="252">
        <v>0</v>
      </c>
      <c r="F21" s="252">
        <v>17344097</v>
      </c>
      <c r="G21" s="252">
        <v>0</v>
      </c>
      <c r="H21" s="252">
        <f t="shared" si="0"/>
        <v>17344097</v>
      </c>
      <c r="I21" s="252">
        <v>0</v>
      </c>
      <c r="J21" s="252">
        <f t="shared" si="1"/>
        <v>17344097</v>
      </c>
      <c r="K21" s="252">
        <v>0</v>
      </c>
      <c r="L21" s="252">
        <f t="shared" si="2"/>
        <v>17344097</v>
      </c>
      <c r="M21" s="252">
        <v>0</v>
      </c>
      <c r="N21" s="252">
        <f t="shared" si="3"/>
        <v>17344097</v>
      </c>
      <c r="O21" s="252">
        <v>0</v>
      </c>
      <c r="P21" s="252">
        <f t="shared" si="4"/>
        <v>17344097</v>
      </c>
      <c r="Q21" s="11"/>
      <c r="R21" s="41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</row>
    <row r="22" spans="1:30" ht="15" customHeight="1">
      <c r="A22" s="211"/>
      <c r="B22" s="212"/>
      <c r="C22" s="9" t="s">
        <v>380</v>
      </c>
      <c r="D22" s="252">
        <v>11287503</v>
      </c>
      <c r="E22" s="252">
        <v>0</v>
      </c>
      <c r="F22" s="252">
        <v>11287503</v>
      </c>
      <c r="G22" s="252">
        <v>0</v>
      </c>
      <c r="H22" s="252">
        <f t="shared" si="0"/>
        <v>11287503</v>
      </c>
      <c r="I22" s="252">
        <v>0</v>
      </c>
      <c r="J22" s="252">
        <f t="shared" si="1"/>
        <v>11287503</v>
      </c>
      <c r="K22" s="252">
        <v>0</v>
      </c>
      <c r="L22" s="252">
        <f t="shared" si="2"/>
        <v>11287503</v>
      </c>
      <c r="M22" s="252">
        <v>-1641068</v>
      </c>
      <c r="N22" s="252">
        <f t="shared" si="3"/>
        <v>9646435</v>
      </c>
      <c r="O22" s="252">
        <v>-9646435</v>
      </c>
      <c r="P22" s="252">
        <f t="shared" si="4"/>
        <v>0</v>
      </c>
      <c r="Q22" s="11"/>
      <c r="R22" s="41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</row>
    <row r="23" spans="1:30" ht="15" customHeight="1">
      <c r="A23" s="211"/>
      <c r="B23" s="212"/>
      <c r="C23" s="9" t="s">
        <v>381</v>
      </c>
      <c r="D23" s="252">
        <v>10516770</v>
      </c>
      <c r="E23" s="252">
        <v>0</v>
      </c>
      <c r="F23" s="252">
        <v>10516770</v>
      </c>
      <c r="G23" s="252">
        <v>0</v>
      </c>
      <c r="H23" s="252">
        <f t="shared" si="0"/>
        <v>10516770</v>
      </c>
      <c r="I23" s="252">
        <v>0</v>
      </c>
      <c r="J23" s="252">
        <f t="shared" si="1"/>
        <v>10516770</v>
      </c>
      <c r="K23" s="252">
        <v>-778620</v>
      </c>
      <c r="L23" s="252">
        <f t="shared" si="2"/>
        <v>9738150</v>
      </c>
      <c r="M23" s="252">
        <v>-3168140</v>
      </c>
      <c r="N23" s="252">
        <f t="shared" si="3"/>
        <v>6570010</v>
      </c>
      <c r="O23" s="252">
        <v>-6570010</v>
      </c>
      <c r="P23" s="252">
        <f t="shared" si="4"/>
        <v>0</v>
      </c>
      <c r="Q23" s="11"/>
      <c r="R23" s="41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</row>
    <row r="24" spans="1:30" ht="15" customHeight="1">
      <c r="A24" s="211"/>
      <c r="B24" s="212"/>
      <c r="C24" s="9" t="s">
        <v>534</v>
      </c>
      <c r="D24" s="252">
        <v>0</v>
      </c>
      <c r="E24" s="252"/>
      <c r="F24" s="252"/>
      <c r="G24" s="252"/>
      <c r="H24" s="252"/>
      <c r="I24" s="252"/>
      <c r="J24" s="252">
        <v>0</v>
      </c>
      <c r="K24" s="252">
        <v>209680</v>
      </c>
      <c r="L24" s="252">
        <f t="shared" si="2"/>
        <v>209680</v>
      </c>
      <c r="M24" s="252">
        <v>150000</v>
      </c>
      <c r="N24" s="252">
        <f t="shared" si="3"/>
        <v>359680</v>
      </c>
      <c r="O24" s="252">
        <v>0</v>
      </c>
      <c r="P24" s="252">
        <f t="shared" si="4"/>
        <v>359680</v>
      </c>
      <c r="Q24" s="11"/>
      <c r="R24" s="41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</row>
    <row r="25" spans="1:30" ht="15" customHeight="1">
      <c r="A25" s="211"/>
      <c r="B25" s="212"/>
      <c r="C25" s="9" t="s">
        <v>382</v>
      </c>
      <c r="D25" s="252">
        <v>9965020</v>
      </c>
      <c r="E25" s="252">
        <v>0</v>
      </c>
      <c r="F25" s="252">
        <v>9965020</v>
      </c>
      <c r="G25" s="252">
        <v>0</v>
      </c>
      <c r="H25" s="252">
        <f t="shared" si="0"/>
        <v>9965020</v>
      </c>
      <c r="I25" s="252">
        <v>0</v>
      </c>
      <c r="J25" s="252">
        <f t="shared" si="1"/>
        <v>9965020</v>
      </c>
      <c r="K25" s="252">
        <v>0</v>
      </c>
      <c r="L25" s="252">
        <f t="shared" si="2"/>
        <v>9965020</v>
      </c>
      <c r="M25" s="252">
        <v>0</v>
      </c>
      <c r="N25" s="252">
        <f t="shared" si="3"/>
        <v>9965020</v>
      </c>
      <c r="O25" s="252">
        <v>-9965020</v>
      </c>
      <c r="P25" s="252">
        <f t="shared" si="4"/>
        <v>0</v>
      </c>
      <c r="Q25" s="11"/>
      <c r="R25" s="41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</row>
    <row r="26" spans="1:30" ht="15" customHeight="1">
      <c r="A26" s="211"/>
      <c r="B26" s="212"/>
      <c r="C26" s="9" t="s">
        <v>383</v>
      </c>
      <c r="D26" s="252">
        <v>21110301</v>
      </c>
      <c r="E26" s="252">
        <v>0</v>
      </c>
      <c r="F26" s="252">
        <v>21110301</v>
      </c>
      <c r="G26" s="252">
        <v>0</v>
      </c>
      <c r="H26" s="252">
        <f t="shared" si="0"/>
        <v>21110301</v>
      </c>
      <c r="I26" s="252">
        <v>-21110301</v>
      </c>
      <c r="J26" s="252">
        <f t="shared" si="1"/>
        <v>0</v>
      </c>
      <c r="K26" s="252">
        <v>0</v>
      </c>
      <c r="L26" s="252">
        <f t="shared" si="2"/>
        <v>0</v>
      </c>
      <c r="M26" s="252">
        <v>0</v>
      </c>
      <c r="N26" s="252">
        <f t="shared" si="3"/>
        <v>0</v>
      </c>
      <c r="O26" s="252">
        <v>0</v>
      </c>
      <c r="P26" s="252">
        <f t="shared" si="4"/>
        <v>0</v>
      </c>
      <c r="Q26" s="11"/>
      <c r="R26" s="41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</row>
    <row r="27" spans="1:30" ht="15" customHeight="1">
      <c r="A27" s="211"/>
      <c r="B27" s="212"/>
      <c r="C27" s="9" t="s">
        <v>403</v>
      </c>
      <c r="D27" s="252">
        <v>5000000</v>
      </c>
      <c r="E27" s="252">
        <v>-500000</v>
      </c>
      <c r="F27" s="252">
        <v>4500000</v>
      </c>
      <c r="G27" s="252">
        <v>0</v>
      </c>
      <c r="H27" s="252">
        <f t="shared" si="0"/>
        <v>4500000</v>
      </c>
      <c r="I27" s="252">
        <v>0</v>
      </c>
      <c r="J27" s="252">
        <f t="shared" si="1"/>
        <v>4500000</v>
      </c>
      <c r="K27" s="252">
        <v>0</v>
      </c>
      <c r="L27" s="252">
        <f t="shared" si="2"/>
        <v>4500000</v>
      </c>
      <c r="M27" s="252">
        <v>0</v>
      </c>
      <c r="N27" s="252">
        <f t="shared" si="3"/>
        <v>4500000</v>
      </c>
      <c r="O27" s="252">
        <v>-4500000</v>
      </c>
      <c r="P27" s="252">
        <f t="shared" si="4"/>
        <v>0</v>
      </c>
      <c r="Q27" s="11"/>
      <c r="R27" s="41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</row>
    <row r="28" spans="1:30" ht="21.75" customHeight="1">
      <c r="A28" s="211"/>
      <c r="B28" s="212"/>
      <c r="C28" s="9" t="s">
        <v>375</v>
      </c>
      <c r="D28" s="252">
        <v>550000</v>
      </c>
      <c r="E28" s="252">
        <v>0</v>
      </c>
      <c r="F28" s="252">
        <v>550000</v>
      </c>
      <c r="G28" s="252">
        <v>0</v>
      </c>
      <c r="H28" s="252">
        <f t="shared" si="0"/>
        <v>550000</v>
      </c>
      <c r="I28" s="252">
        <v>260000</v>
      </c>
      <c r="J28" s="252">
        <f t="shared" si="1"/>
        <v>810000</v>
      </c>
      <c r="K28" s="252">
        <v>0</v>
      </c>
      <c r="L28" s="252">
        <f t="shared" si="2"/>
        <v>810000</v>
      </c>
      <c r="M28" s="252">
        <v>0</v>
      </c>
      <c r="N28" s="252">
        <f t="shared" si="3"/>
        <v>810000</v>
      </c>
      <c r="O28" s="252">
        <v>0</v>
      </c>
      <c r="P28" s="252">
        <f t="shared" si="4"/>
        <v>810000</v>
      </c>
      <c r="Q28" s="11"/>
      <c r="R28" s="41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</row>
    <row r="29" spans="1:30" ht="27" customHeight="1">
      <c r="A29" s="211"/>
      <c r="B29" s="212"/>
      <c r="C29" s="9" t="s">
        <v>413</v>
      </c>
      <c r="D29" s="252">
        <v>0</v>
      </c>
      <c r="E29" s="252">
        <v>4206875</v>
      </c>
      <c r="F29" s="252">
        <f>E29</f>
        <v>4206875</v>
      </c>
      <c r="G29" s="252">
        <v>0</v>
      </c>
      <c r="H29" s="252">
        <f t="shared" si="0"/>
        <v>4206875</v>
      </c>
      <c r="I29" s="252">
        <v>0</v>
      </c>
      <c r="J29" s="252">
        <f t="shared" si="1"/>
        <v>4206875</v>
      </c>
      <c r="K29" s="252">
        <v>0</v>
      </c>
      <c r="L29" s="252">
        <f t="shared" si="2"/>
        <v>4206875</v>
      </c>
      <c r="M29" s="252">
        <v>-3365500</v>
      </c>
      <c r="N29" s="252">
        <f t="shared" si="3"/>
        <v>841375</v>
      </c>
      <c r="O29" s="252">
        <v>0</v>
      </c>
      <c r="P29" s="252">
        <f t="shared" si="4"/>
        <v>841375</v>
      </c>
      <c r="Q29" s="11"/>
      <c r="R29" s="41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</row>
    <row r="30" spans="1:30" ht="27" customHeight="1">
      <c r="A30" s="211"/>
      <c r="B30" s="212"/>
      <c r="C30" s="9" t="s">
        <v>477</v>
      </c>
      <c r="D30" s="252">
        <v>0</v>
      </c>
      <c r="E30" s="252"/>
      <c r="F30" s="252"/>
      <c r="G30" s="252"/>
      <c r="H30" s="252">
        <v>0</v>
      </c>
      <c r="I30" s="252">
        <v>37910301</v>
      </c>
      <c r="J30" s="252">
        <f t="shared" si="1"/>
        <v>37910301</v>
      </c>
      <c r="K30" s="252">
        <v>0</v>
      </c>
      <c r="L30" s="252">
        <f t="shared" si="2"/>
        <v>37910301</v>
      </c>
      <c r="M30" s="252">
        <v>0</v>
      </c>
      <c r="N30" s="252">
        <f t="shared" si="3"/>
        <v>37910301</v>
      </c>
      <c r="O30" s="252">
        <v>0</v>
      </c>
      <c r="P30" s="252">
        <f t="shared" si="4"/>
        <v>37910301</v>
      </c>
      <c r="Q30" s="11"/>
      <c r="R30" s="41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</row>
    <row r="31" spans="1:30" ht="15" customHeight="1">
      <c r="A31" s="211"/>
      <c r="B31" s="212"/>
      <c r="C31" s="9" t="s">
        <v>530</v>
      </c>
      <c r="D31" s="213"/>
      <c r="E31" s="213"/>
      <c r="F31" s="213"/>
      <c r="G31" s="213"/>
      <c r="H31" s="213"/>
      <c r="I31" s="213"/>
      <c r="J31" s="213">
        <v>0</v>
      </c>
      <c r="K31" s="213">
        <v>411050</v>
      </c>
      <c r="L31" s="252">
        <f t="shared" si="2"/>
        <v>411050</v>
      </c>
      <c r="M31" s="213">
        <v>0</v>
      </c>
      <c r="N31" s="252">
        <f t="shared" si="3"/>
        <v>411050</v>
      </c>
      <c r="O31" s="213">
        <v>0</v>
      </c>
      <c r="P31" s="252">
        <f t="shared" si="4"/>
        <v>411050</v>
      </c>
      <c r="Q31" s="11"/>
      <c r="R31" s="41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</row>
    <row r="32" spans="1:30" ht="15" customHeight="1">
      <c r="A32" s="211"/>
      <c r="B32" s="212"/>
      <c r="C32" s="9" t="s">
        <v>619</v>
      </c>
      <c r="D32" s="213">
        <v>0</v>
      </c>
      <c r="E32" s="213"/>
      <c r="F32" s="213"/>
      <c r="G32" s="213"/>
      <c r="H32" s="213"/>
      <c r="I32" s="213"/>
      <c r="J32" s="213"/>
      <c r="K32" s="213"/>
      <c r="L32" s="252"/>
      <c r="M32" s="213"/>
      <c r="N32" s="252">
        <v>0</v>
      </c>
      <c r="O32" s="213">
        <v>480000</v>
      </c>
      <c r="P32" s="252">
        <f t="shared" si="4"/>
        <v>480000</v>
      </c>
      <c r="Q32" s="11"/>
      <c r="R32" s="41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</row>
    <row r="33" spans="1:30" ht="16.5" customHeight="1">
      <c r="A33" s="211"/>
      <c r="B33" s="212"/>
      <c r="C33" s="9" t="s">
        <v>494</v>
      </c>
      <c r="D33" s="253">
        <v>0</v>
      </c>
      <c r="E33" s="253"/>
      <c r="F33" s="253"/>
      <c r="G33" s="253"/>
      <c r="H33" s="253">
        <v>0</v>
      </c>
      <c r="I33" s="253">
        <v>350000</v>
      </c>
      <c r="J33" s="253">
        <f>H33+I33</f>
        <v>350000</v>
      </c>
      <c r="K33" s="253">
        <v>0</v>
      </c>
      <c r="L33" s="252">
        <f>J33+K33</f>
        <v>350000</v>
      </c>
      <c r="M33" s="253">
        <v>0</v>
      </c>
      <c r="N33" s="252">
        <f>L33+M33</f>
        <v>350000</v>
      </c>
      <c r="O33" s="253">
        <v>0</v>
      </c>
      <c r="P33" s="252">
        <f t="shared" si="4"/>
        <v>350000</v>
      </c>
      <c r="Q33" s="11"/>
      <c r="R33" s="41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</row>
    <row r="34" spans="1:30" ht="15" customHeight="1">
      <c r="A34" s="211"/>
      <c r="B34" s="212"/>
      <c r="C34" s="477" t="s">
        <v>531</v>
      </c>
      <c r="D34" s="213">
        <v>0</v>
      </c>
      <c r="E34" s="213"/>
      <c r="F34" s="213"/>
      <c r="G34" s="213"/>
      <c r="H34" s="213"/>
      <c r="I34" s="213"/>
      <c r="J34" s="213">
        <v>0</v>
      </c>
      <c r="K34" s="213">
        <f>6000000</f>
        <v>6000000</v>
      </c>
      <c r="L34" s="252">
        <f t="shared" si="2"/>
        <v>6000000</v>
      </c>
      <c r="M34" s="213">
        <v>380000</v>
      </c>
      <c r="N34" s="252">
        <f t="shared" si="3"/>
        <v>6380000</v>
      </c>
      <c r="O34" s="213">
        <v>0</v>
      </c>
      <c r="P34" s="252">
        <f t="shared" si="4"/>
        <v>6380000</v>
      </c>
      <c r="Q34" s="11"/>
      <c r="R34" s="41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</row>
    <row r="35" spans="1:30" ht="15" customHeight="1">
      <c r="A35" s="211"/>
      <c r="B35" s="212"/>
      <c r="C35" s="477" t="s">
        <v>595</v>
      </c>
      <c r="D35" s="213">
        <v>0</v>
      </c>
      <c r="E35" s="213"/>
      <c r="F35" s="213"/>
      <c r="G35" s="213"/>
      <c r="H35" s="213"/>
      <c r="I35" s="213"/>
      <c r="J35" s="213">
        <v>0</v>
      </c>
      <c r="K35" s="213">
        <f>6000000</f>
        <v>6000000</v>
      </c>
      <c r="L35" s="252">
        <v>0</v>
      </c>
      <c r="M35" s="213">
        <v>1400000</v>
      </c>
      <c r="N35" s="252">
        <f t="shared" si="3"/>
        <v>1400000</v>
      </c>
      <c r="O35" s="213">
        <v>0</v>
      </c>
      <c r="P35" s="252">
        <f t="shared" si="4"/>
        <v>1400000</v>
      </c>
      <c r="Q35" s="11"/>
      <c r="R35" s="41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</row>
    <row r="36" spans="1:30" ht="15" customHeight="1">
      <c r="A36" s="211"/>
      <c r="B36" s="212"/>
      <c r="C36" s="477" t="s">
        <v>596</v>
      </c>
      <c r="D36" s="213">
        <v>0</v>
      </c>
      <c r="E36" s="213"/>
      <c r="F36" s="213"/>
      <c r="G36" s="213"/>
      <c r="H36" s="213"/>
      <c r="I36" s="213"/>
      <c r="J36" s="213"/>
      <c r="K36" s="213"/>
      <c r="L36" s="253">
        <v>0</v>
      </c>
      <c r="M36" s="213">
        <v>8510000</v>
      </c>
      <c r="N36" s="252">
        <f t="shared" si="3"/>
        <v>8510000</v>
      </c>
      <c r="O36" s="213">
        <v>0</v>
      </c>
      <c r="P36" s="252">
        <f t="shared" si="4"/>
        <v>8510000</v>
      </c>
      <c r="Q36" s="11"/>
      <c r="R36" s="41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</row>
    <row r="37" spans="1:30" ht="15" customHeight="1">
      <c r="A37" s="211"/>
      <c r="B37" s="212"/>
      <c r="C37" s="477" t="s">
        <v>598</v>
      </c>
      <c r="D37" s="213">
        <v>0</v>
      </c>
      <c r="E37" s="213"/>
      <c r="F37" s="213"/>
      <c r="G37" s="213"/>
      <c r="H37" s="213"/>
      <c r="I37" s="213"/>
      <c r="J37" s="213"/>
      <c r="K37" s="213"/>
      <c r="L37" s="253">
        <v>0</v>
      </c>
      <c r="M37" s="213">
        <v>311150</v>
      </c>
      <c r="N37" s="252">
        <f t="shared" si="3"/>
        <v>311150</v>
      </c>
      <c r="O37" s="213">
        <v>0</v>
      </c>
      <c r="P37" s="252">
        <f t="shared" si="4"/>
        <v>311150</v>
      </c>
      <c r="Q37" s="11"/>
      <c r="R37" s="41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</row>
    <row r="38" spans="1:30" ht="16.5" customHeight="1">
      <c r="A38" s="211"/>
      <c r="B38" s="212"/>
      <c r="C38" s="477" t="s">
        <v>599</v>
      </c>
      <c r="D38" s="213">
        <v>0</v>
      </c>
      <c r="E38" s="213"/>
      <c r="F38" s="213"/>
      <c r="G38" s="213"/>
      <c r="H38" s="213"/>
      <c r="I38" s="213"/>
      <c r="J38" s="213"/>
      <c r="K38" s="213"/>
      <c r="L38" s="253">
        <v>0</v>
      </c>
      <c r="M38" s="213">
        <v>300000</v>
      </c>
      <c r="N38" s="252">
        <f t="shared" si="3"/>
        <v>300000</v>
      </c>
      <c r="O38" s="213">
        <v>0</v>
      </c>
      <c r="P38" s="252">
        <f t="shared" si="4"/>
        <v>300000</v>
      </c>
      <c r="Q38" s="11"/>
      <c r="R38" s="41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</row>
    <row r="39" spans="1:30" ht="16.5" customHeight="1">
      <c r="A39" s="211"/>
      <c r="B39" s="212"/>
      <c r="C39" s="477" t="s">
        <v>621</v>
      </c>
      <c r="D39" s="213">
        <v>0</v>
      </c>
      <c r="E39" s="213"/>
      <c r="F39" s="213"/>
      <c r="G39" s="213"/>
      <c r="H39" s="213"/>
      <c r="I39" s="213"/>
      <c r="J39" s="213"/>
      <c r="K39" s="213"/>
      <c r="L39" s="253"/>
      <c r="M39" s="213"/>
      <c r="N39" s="252">
        <v>0</v>
      </c>
      <c r="O39" s="213">
        <v>167044</v>
      </c>
      <c r="P39" s="252">
        <f t="shared" si="4"/>
        <v>167044</v>
      </c>
      <c r="Q39" s="11"/>
      <c r="R39" s="41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</row>
    <row r="40" spans="1:30" ht="24.75" customHeight="1">
      <c r="A40" s="211"/>
      <c r="B40" s="212"/>
      <c r="C40" s="477" t="s">
        <v>618</v>
      </c>
      <c r="D40" s="213">
        <v>0</v>
      </c>
      <c r="E40" s="213"/>
      <c r="F40" s="213"/>
      <c r="G40" s="213"/>
      <c r="H40" s="213"/>
      <c r="I40" s="213"/>
      <c r="J40" s="213"/>
      <c r="K40" s="213"/>
      <c r="L40" s="253">
        <v>0</v>
      </c>
      <c r="M40" s="213">
        <v>300000</v>
      </c>
      <c r="N40" s="252">
        <v>0</v>
      </c>
      <c r="O40" s="213">
        <v>693484</v>
      </c>
      <c r="P40" s="252">
        <f t="shared" si="4"/>
        <v>693484</v>
      </c>
      <c r="Q40" s="11"/>
      <c r="R40" s="41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</row>
    <row r="41" spans="1:30" s="560" customFormat="1" ht="15.75" thickBot="1">
      <c r="A41" s="555"/>
      <c r="B41" s="556"/>
      <c r="C41" s="557"/>
      <c r="D41" s="558">
        <f>SUM(D9:D40)</f>
        <v>191683691</v>
      </c>
      <c r="E41" s="558">
        <f aca="true" t="shared" si="11" ref="E41:P41">SUM(E9:E40)</f>
        <v>3706875</v>
      </c>
      <c r="F41" s="558">
        <f t="shared" si="11"/>
        <v>195390566</v>
      </c>
      <c r="G41" s="558">
        <f t="shared" si="11"/>
        <v>-3717000</v>
      </c>
      <c r="H41" s="558">
        <f t="shared" si="11"/>
        <v>191673566</v>
      </c>
      <c r="I41" s="558">
        <f t="shared" si="11"/>
        <v>-3200000</v>
      </c>
      <c r="J41" s="558">
        <f t="shared" si="11"/>
        <v>188473566</v>
      </c>
      <c r="K41" s="558">
        <f t="shared" si="11"/>
        <v>-4020772</v>
      </c>
      <c r="L41" s="558">
        <f t="shared" si="11"/>
        <v>178452794</v>
      </c>
      <c r="M41" s="558">
        <f t="shared" si="11"/>
        <v>1155275</v>
      </c>
      <c r="N41" s="558">
        <f t="shared" si="11"/>
        <v>179308069</v>
      </c>
      <c r="O41" s="558">
        <f t="shared" si="11"/>
        <v>-83467501</v>
      </c>
      <c r="P41" s="558">
        <f t="shared" si="11"/>
        <v>95840568</v>
      </c>
      <c r="Q41" s="559"/>
      <c r="R41" s="558">
        <f>SUM(R9:R19)</f>
        <v>178067301</v>
      </c>
      <c r="S41" s="558">
        <f aca="true" t="shared" si="12" ref="S41:AB41">SUM(S9:S28)</f>
        <v>3706875</v>
      </c>
      <c r="T41" s="558">
        <f t="shared" si="12"/>
        <v>181774176</v>
      </c>
      <c r="U41" s="558">
        <f t="shared" si="12"/>
        <v>0</v>
      </c>
      <c r="V41" s="558">
        <f t="shared" si="12"/>
        <v>178067301</v>
      </c>
      <c r="W41" s="558">
        <f t="shared" si="12"/>
        <v>0</v>
      </c>
      <c r="X41" s="558">
        <f t="shared" si="12"/>
        <v>181774176</v>
      </c>
      <c r="Y41" s="558">
        <f t="shared" si="12"/>
        <v>0</v>
      </c>
      <c r="Z41" s="558">
        <f t="shared" si="12"/>
        <v>181774176</v>
      </c>
      <c r="AA41" s="558">
        <f t="shared" si="12"/>
        <v>-25243148</v>
      </c>
      <c r="AB41" s="558">
        <f t="shared" si="12"/>
        <v>178335301</v>
      </c>
      <c r="AC41" s="558">
        <f>SUM(AC9:AC28)</f>
        <v>-64370682</v>
      </c>
      <c r="AD41" s="558">
        <f>SUM(AD9:AD28)</f>
        <v>113964619</v>
      </c>
    </row>
    <row r="42" spans="1:2" ht="12.75">
      <c r="A42" s="12"/>
      <c r="B42" s="13"/>
    </row>
    <row r="43" spans="1:2" ht="12.75">
      <c r="A43" s="12"/>
      <c r="B43" s="13"/>
    </row>
    <row r="44" spans="1:2" ht="13.5" thickBot="1">
      <c r="A44" s="14" t="s">
        <v>113</v>
      </c>
      <c r="B44" s="15"/>
    </row>
  </sheetData>
  <sheetProtection/>
  <mergeCells count="5">
    <mergeCell ref="C5:D5"/>
    <mergeCell ref="C6:D6"/>
    <mergeCell ref="C1:AD1"/>
    <mergeCell ref="C2:AD2"/>
    <mergeCell ref="C3:AD3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68" r:id="rId1"/>
  <headerFooter alignWithMargins="0">
    <oddHeader>&amp;C&amp;"Times New Roman CE,Félkövér"&amp;12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zoomScale="110" zoomScaleNormal="110" zoomScaleSheetLayoutView="100" zoomScalePageLayoutView="0" workbookViewId="0" topLeftCell="A1">
      <selection activeCell="A3" sqref="A3:B3"/>
    </sheetView>
  </sheetViews>
  <sheetFormatPr defaultColWidth="8.00390625" defaultRowHeight="12.75"/>
  <cols>
    <col min="1" max="1" width="5.8515625" style="63" customWidth="1"/>
    <col min="2" max="2" width="47.28125" style="65" customWidth="1"/>
    <col min="3" max="3" width="14.00390625" style="63" customWidth="1"/>
    <col min="4" max="10" width="13.28125" style="63" hidden="1" customWidth="1"/>
    <col min="11" max="11" width="13.7109375" style="63" customWidth="1"/>
    <col min="12" max="12" width="13.28125" style="63" customWidth="1"/>
    <col min="13" max="13" width="13.00390625" style="63" customWidth="1"/>
    <col min="14" max="14" width="47.28125" style="63" customWidth="1"/>
    <col min="15" max="15" width="13.28125" style="63" customWidth="1"/>
    <col min="16" max="16" width="12.7109375" style="63" hidden="1" customWidth="1"/>
    <col min="17" max="17" width="13.7109375" style="63" hidden="1" customWidth="1"/>
    <col min="18" max="18" width="12.7109375" style="63" hidden="1" customWidth="1"/>
    <col min="19" max="19" width="13.7109375" style="63" hidden="1" customWidth="1"/>
    <col min="20" max="20" width="12.7109375" style="63" hidden="1" customWidth="1"/>
    <col min="21" max="21" width="13.00390625" style="63" hidden="1" customWidth="1"/>
    <col min="22" max="22" width="12.140625" style="63" hidden="1" customWidth="1"/>
    <col min="23" max="23" width="13.140625" style="63" customWidth="1"/>
    <col min="24" max="24" width="12.140625" style="63" customWidth="1"/>
    <col min="25" max="25" width="13.00390625" style="63" customWidth="1"/>
    <col min="26" max="26" width="4.140625" style="63" customWidth="1"/>
    <col min="27" max="16384" width="8.00390625" style="63" customWidth="1"/>
  </cols>
  <sheetData>
    <row r="1" spans="1:26" ht="39.75" customHeight="1">
      <c r="A1" s="615" t="s">
        <v>426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1"/>
    </row>
    <row r="2" spans="1:26" ht="19.5" customHeight="1">
      <c r="A2" s="600" t="s">
        <v>628</v>
      </c>
      <c r="B2" s="600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202"/>
      <c r="P2" s="64"/>
      <c r="Q2" s="64"/>
      <c r="R2" s="64"/>
      <c r="S2" s="64"/>
      <c r="T2" s="64"/>
      <c r="U2" s="64"/>
      <c r="V2" s="64"/>
      <c r="W2" s="64"/>
      <c r="X2" s="64"/>
      <c r="Y2" s="64"/>
      <c r="Z2" s="611"/>
    </row>
    <row r="3" spans="1:26" ht="15.75" thickBot="1">
      <c r="A3" s="599" t="s">
        <v>462</v>
      </c>
      <c r="B3" s="599"/>
      <c r="O3" s="203"/>
      <c r="Q3" s="203" t="s">
        <v>319</v>
      </c>
      <c r="S3" s="203"/>
      <c r="U3" s="203"/>
      <c r="W3" s="203"/>
      <c r="Y3" s="203" t="s">
        <v>319</v>
      </c>
      <c r="Z3" s="611"/>
    </row>
    <row r="4" spans="1:26" ht="18" customHeight="1" thickBot="1">
      <c r="A4" s="612" t="s">
        <v>192</v>
      </c>
      <c r="B4" s="66" t="s">
        <v>97</v>
      </c>
      <c r="C4" s="67"/>
      <c r="D4" s="67"/>
      <c r="E4" s="338"/>
      <c r="F4" s="67"/>
      <c r="G4" s="338"/>
      <c r="H4" s="67"/>
      <c r="I4" s="338"/>
      <c r="J4" s="67"/>
      <c r="K4" s="338"/>
      <c r="L4" s="67"/>
      <c r="M4" s="338"/>
      <c r="N4" s="66" t="s">
        <v>98</v>
      </c>
      <c r="O4" s="68"/>
      <c r="P4" s="67"/>
      <c r="Q4" s="338"/>
      <c r="R4" s="67"/>
      <c r="S4" s="338"/>
      <c r="T4" s="67"/>
      <c r="U4" s="338"/>
      <c r="V4" s="67"/>
      <c r="W4" s="338"/>
      <c r="X4" s="67"/>
      <c r="Y4" s="338"/>
      <c r="Z4" s="611"/>
    </row>
    <row r="5" spans="1:26" s="71" customFormat="1" ht="35.25" customHeight="1" thickBot="1">
      <c r="A5" s="613"/>
      <c r="B5" s="306" t="s">
        <v>193</v>
      </c>
      <c r="C5" s="306" t="s">
        <v>361</v>
      </c>
      <c r="D5" s="306" t="s">
        <v>416</v>
      </c>
      <c r="E5" s="69" t="s">
        <v>417</v>
      </c>
      <c r="F5" s="341" t="s">
        <v>476</v>
      </c>
      <c r="G5" s="306" t="s">
        <v>471</v>
      </c>
      <c r="H5" s="341" t="s">
        <v>524</v>
      </c>
      <c r="I5" s="306" t="s">
        <v>521</v>
      </c>
      <c r="J5" s="341" t="s">
        <v>539</v>
      </c>
      <c r="K5" s="306" t="s">
        <v>540</v>
      </c>
      <c r="L5" s="341" t="s">
        <v>604</v>
      </c>
      <c r="M5" s="306" t="s">
        <v>605</v>
      </c>
      <c r="N5" s="306" t="s">
        <v>193</v>
      </c>
      <c r="O5" s="341" t="str">
        <f>+C5</f>
        <v>2018. évi előirányzat</v>
      </c>
      <c r="P5" s="70" t="s">
        <v>416</v>
      </c>
      <c r="Q5" s="341" t="s">
        <v>417</v>
      </c>
      <c r="R5" s="70" t="s">
        <v>476</v>
      </c>
      <c r="S5" s="341" t="s">
        <v>471</v>
      </c>
      <c r="T5" s="341" t="s">
        <v>524</v>
      </c>
      <c r="U5" s="306" t="s">
        <v>521</v>
      </c>
      <c r="V5" s="341" t="s">
        <v>539</v>
      </c>
      <c r="W5" s="306" t="s">
        <v>540</v>
      </c>
      <c r="X5" s="341" t="s">
        <v>604</v>
      </c>
      <c r="Y5" s="306" t="s">
        <v>605</v>
      </c>
      <c r="Z5" s="611"/>
    </row>
    <row r="6" spans="1:26" s="328" customFormat="1" ht="12" customHeight="1" thickBot="1">
      <c r="A6" s="72" t="s">
        <v>92</v>
      </c>
      <c r="B6" s="344" t="s">
        <v>93</v>
      </c>
      <c r="C6" s="345" t="s">
        <v>94</v>
      </c>
      <c r="D6" s="345" t="s">
        <v>95</v>
      </c>
      <c r="E6" s="345" t="s">
        <v>95</v>
      </c>
      <c r="F6" s="350" t="s">
        <v>96</v>
      </c>
      <c r="G6" s="346" t="s">
        <v>95</v>
      </c>
      <c r="H6" s="350" t="s">
        <v>96</v>
      </c>
      <c r="I6" s="346" t="s">
        <v>95</v>
      </c>
      <c r="J6" s="350" t="s">
        <v>96</v>
      </c>
      <c r="K6" s="346" t="s">
        <v>95</v>
      </c>
      <c r="L6" s="350" t="s">
        <v>96</v>
      </c>
      <c r="M6" s="346" t="s">
        <v>304</v>
      </c>
      <c r="N6" s="73" t="s">
        <v>308</v>
      </c>
      <c r="O6" s="327" t="s">
        <v>412</v>
      </c>
      <c r="P6" s="74" t="s">
        <v>463</v>
      </c>
      <c r="Q6" s="342" t="s">
        <v>463</v>
      </c>
      <c r="R6" s="74" t="s">
        <v>467</v>
      </c>
      <c r="S6" s="342" t="s">
        <v>463</v>
      </c>
      <c r="T6" s="74" t="s">
        <v>467</v>
      </c>
      <c r="U6" s="342" t="s">
        <v>463</v>
      </c>
      <c r="V6" s="74" t="s">
        <v>467</v>
      </c>
      <c r="W6" s="342" t="s">
        <v>463</v>
      </c>
      <c r="X6" s="74" t="s">
        <v>467</v>
      </c>
      <c r="Y6" s="342" t="s">
        <v>468</v>
      </c>
      <c r="Z6" s="611"/>
    </row>
    <row r="7" spans="1:26" ht="12.75" customHeight="1">
      <c r="A7" s="75" t="s">
        <v>114</v>
      </c>
      <c r="B7" s="76" t="s">
        <v>427</v>
      </c>
      <c r="C7" s="77">
        <v>123425683</v>
      </c>
      <c r="D7" s="77"/>
      <c r="E7" s="77">
        <f aca="true" t="shared" si="0" ref="E7:E12">C7</f>
        <v>123425683</v>
      </c>
      <c r="F7" s="351"/>
      <c r="G7" s="329">
        <f aca="true" t="shared" si="1" ref="G7:G12">E7</f>
        <v>123425683</v>
      </c>
      <c r="H7" s="351">
        <v>2494167</v>
      </c>
      <c r="I7" s="329">
        <f>G7+H7</f>
        <v>125919850</v>
      </c>
      <c r="J7" s="351">
        <v>1280160</v>
      </c>
      <c r="K7" s="329">
        <f>I7+J7</f>
        <v>127200010</v>
      </c>
      <c r="L7" s="351">
        <v>3957214</v>
      </c>
      <c r="M7" s="329">
        <f>K7+L7</f>
        <v>131157224</v>
      </c>
      <c r="N7" s="76" t="s">
        <v>51</v>
      </c>
      <c r="O7" s="77">
        <v>47206036</v>
      </c>
      <c r="P7" s="77">
        <v>47206036</v>
      </c>
      <c r="Q7" s="77">
        <f>O7+P7</f>
        <v>94412072</v>
      </c>
      <c r="R7" s="77">
        <v>810990</v>
      </c>
      <c r="S7" s="77">
        <f>P7+R7</f>
        <v>48017026</v>
      </c>
      <c r="T7" s="77">
        <v>0</v>
      </c>
      <c r="U7" s="77">
        <f>S7+T7</f>
        <v>48017026</v>
      </c>
      <c r="V7" s="77">
        <v>3630000</v>
      </c>
      <c r="W7" s="77">
        <f>U7+V7</f>
        <v>51647026</v>
      </c>
      <c r="X7" s="77">
        <v>3015000</v>
      </c>
      <c r="Y7" s="77">
        <f>W7+X7</f>
        <v>54662026</v>
      </c>
      <c r="Z7" s="611"/>
    </row>
    <row r="8" spans="1:26" ht="12.75" customHeight="1">
      <c r="A8" s="78" t="s">
        <v>115</v>
      </c>
      <c r="B8" s="79" t="s">
        <v>428</v>
      </c>
      <c r="C8" s="80">
        <v>37548864</v>
      </c>
      <c r="D8" s="80"/>
      <c r="E8" s="80">
        <f t="shared" si="0"/>
        <v>37548864</v>
      </c>
      <c r="F8" s="339"/>
      <c r="G8" s="81">
        <f t="shared" si="1"/>
        <v>37548864</v>
      </c>
      <c r="H8" s="339"/>
      <c r="I8" s="81">
        <f>G8</f>
        <v>37548864</v>
      </c>
      <c r="J8" s="339">
        <v>23604273</v>
      </c>
      <c r="K8" s="329">
        <f aca="true" t="shared" si="2" ref="K8:K13">I8+J8</f>
        <v>61153137</v>
      </c>
      <c r="L8" s="339">
        <v>-5337989</v>
      </c>
      <c r="M8" s="329">
        <f aca="true" t="shared" si="3" ref="M8:M13">K8+L8</f>
        <v>55815148</v>
      </c>
      <c r="N8" s="79" t="s">
        <v>429</v>
      </c>
      <c r="O8" s="80">
        <v>11598180</v>
      </c>
      <c r="P8" s="80">
        <v>11598180</v>
      </c>
      <c r="Q8" s="80">
        <f>O8+P8</f>
        <v>23196360</v>
      </c>
      <c r="R8" s="80">
        <v>142329</v>
      </c>
      <c r="S8" s="77">
        <f>P8+R8</f>
        <v>11740509</v>
      </c>
      <c r="T8" s="80">
        <v>0</v>
      </c>
      <c r="U8" s="77">
        <f>S8+T8</f>
        <v>11740509</v>
      </c>
      <c r="V8" s="80">
        <v>150000</v>
      </c>
      <c r="W8" s="77">
        <f>U8+V8</f>
        <v>11890509</v>
      </c>
      <c r="X8" s="80">
        <v>-10083</v>
      </c>
      <c r="Y8" s="77">
        <f>W8+X8</f>
        <v>11880426</v>
      </c>
      <c r="Z8" s="611"/>
    </row>
    <row r="9" spans="1:26" ht="12.75" customHeight="1">
      <c r="A9" s="78" t="s">
        <v>116</v>
      </c>
      <c r="B9" s="79" t="s">
        <v>430</v>
      </c>
      <c r="C9" s="80">
        <v>0</v>
      </c>
      <c r="D9" s="80"/>
      <c r="E9" s="80">
        <f t="shared" si="0"/>
        <v>0</v>
      </c>
      <c r="F9" s="339"/>
      <c r="G9" s="81">
        <f t="shared" si="1"/>
        <v>0</v>
      </c>
      <c r="H9" s="339"/>
      <c r="I9" s="81">
        <f>G9</f>
        <v>0</v>
      </c>
      <c r="J9" s="339"/>
      <c r="K9" s="329">
        <f t="shared" si="2"/>
        <v>0</v>
      </c>
      <c r="L9" s="339"/>
      <c r="M9" s="329">
        <f t="shared" si="3"/>
        <v>0</v>
      </c>
      <c r="N9" s="79" t="s">
        <v>431</v>
      </c>
      <c r="O9" s="80">
        <v>42555558</v>
      </c>
      <c r="P9" s="80">
        <v>42555558</v>
      </c>
      <c r="Q9" s="80">
        <f>O9+P9</f>
        <v>85111116</v>
      </c>
      <c r="R9" s="80">
        <v>-953319</v>
      </c>
      <c r="S9" s="77">
        <f>P9+R9</f>
        <v>41602239</v>
      </c>
      <c r="T9" s="80">
        <v>9468939</v>
      </c>
      <c r="U9" s="77">
        <f>S9+T9</f>
        <v>51071178</v>
      </c>
      <c r="V9" s="80">
        <v>7029208</v>
      </c>
      <c r="W9" s="77">
        <f>U9+V9</f>
        <v>58100386</v>
      </c>
      <c r="X9" s="80">
        <v>35731498</v>
      </c>
      <c r="Y9" s="77">
        <f>W9+X9</f>
        <v>93831884</v>
      </c>
      <c r="Z9" s="611"/>
    </row>
    <row r="10" spans="1:26" ht="12.75" customHeight="1">
      <c r="A10" s="78" t="s">
        <v>117</v>
      </c>
      <c r="B10" s="79" t="s">
        <v>15</v>
      </c>
      <c r="C10" s="80">
        <v>82450000</v>
      </c>
      <c r="D10" s="80"/>
      <c r="E10" s="80">
        <f t="shared" si="0"/>
        <v>82450000</v>
      </c>
      <c r="F10" s="339"/>
      <c r="G10" s="81">
        <f t="shared" si="1"/>
        <v>82450000</v>
      </c>
      <c r="H10" s="339"/>
      <c r="I10" s="81">
        <f>G10</f>
        <v>82450000</v>
      </c>
      <c r="J10" s="339">
        <v>11614949</v>
      </c>
      <c r="K10" s="329">
        <f t="shared" si="2"/>
        <v>94064949</v>
      </c>
      <c r="L10" s="339">
        <v>10759036</v>
      </c>
      <c r="M10" s="329">
        <f t="shared" si="3"/>
        <v>104823985</v>
      </c>
      <c r="N10" s="79" t="s">
        <v>80</v>
      </c>
      <c r="O10" s="80">
        <v>6315000</v>
      </c>
      <c r="P10" s="80">
        <v>6315000</v>
      </c>
      <c r="Q10" s="80">
        <f>O10+P10</f>
        <v>12630000</v>
      </c>
      <c r="R10" s="80"/>
      <c r="S10" s="77">
        <f>P10+R10</f>
        <v>6315000</v>
      </c>
      <c r="T10" s="80"/>
      <c r="U10" s="77">
        <f>S10+T10</f>
        <v>6315000</v>
      </c>
      <c r="V10" s="80">
        <v>1371600</v>
      </c>
      <c r="W10" s="77">
        <f>U10+V10</f>
        <v>7686600</v>
      </c>
      <c r="X10" s="80">
        <v>-1695450</v>
      </c>
      <c r="Y10" s="77">
        <f>W10+X10</f>
        <v>5991150</v>
      </c>
      <c r="Z10" s="611"/>
    </row>
    <row r="11" spans="1:26" ht="12.75" customHeight="1">
      <c r="A11" s="78" t="s">
        <v>118</v>
      </c>
      <c r="B11" s="82" t="s">
        <v>26</v>
      </c>
      <c r="C11" s="80">
        <v>11883000</v>
      </c>
      <c r="D11" s="80"/>
      <c r="E11" s="80">
        <f t="shared" si="0"/>
        <v>11883000</v>
      </c>
      <c r="F11" s="339"/>
      <c r="G11" s="81">
        <f t="shared" si="1"/>
        <v>11883000</v>
      </c>
      <c r="H11" s="339"/>
      <c r="I11" s="81">
        <f>G11</f>
        <v>11883000</v>
      </c>
      <c r="J11" s="339">
        <v>678700</v>
      </c>
      <c r="K11" s="329">
        <f t="shared" si="2"/>
        <v>12561700</v>
      </c>
      <c r="L11" s="339">
        <v>1686285</v>
      </c>
      <c r="M11" s="329">
        <f t="shared" si="3"/>
        <v>14247985</v>
      </c>
      <c r="N11" s="79" t="s">
        <v>125</v>
      </c>
      <c r="O11" s="80">
        <v>52680225</v>
      </c>
      <c r="P11" s="80">
        <v>56397225</v>
      </c>
      <c r="Q11" s="80">
        <f>O11+P11</f>
        <v>109077450</v>
      </c>
      <c r="R11" s="80">
        <v>3200000</v>
      </c>
      <c r="S11" s="77">
        <f>P11+R11</f>
        <v>59597225</v>
      </c>
      <c r="T11" s="80"/>
      <c r="U11" s="77">
        <f>S11+T11</f>
        <v>59597225</v>
      </c>
      <c r="V11" s="80">
        <v>0</v>
      </c>
      <c r="W11" s="77">
        <f>U11+V11</f>
        <v>59597225</v>
      </c>
      <c r="X11" s="80">
        <v>130000</v>
      </c>
      <c r="Y11" s="77">
        <f>W11+X11</f>
        <v>59727225</v>
      </c>
      <c r="Z11" s="611"/>
    </row>
    <row r="12" spans="1:26" ht="12.75" customHeight="1">
      <c r="A12" s="78" t="s">
        <v>119</v>
      </c>
      <c r="B12" s="79" t="s">
        <v>41</v>
      </c>
      <c r="C12" s="80">
        <v>50000</v>
      </c>
      <c r="D12" s="80"/>
      <c r="E12" s="80">
        <f t="shared" si="0"/>
        <v>50000</v>
      </c>
      <c r="F12" s="339"/>
      <c r="G12" s="81">
        <f t="shared" si="1"/>
        <v>50000</v>
      </c>
      <c r="H12" s="339"/>
      <c r="I12" s="81">
        <f>G12</f>
        <v>50000</v>
      </c>
      <c r="J12" s="339"/>
      <c r="K12" s="329">
        <f t="shared" si="2"/>
        <v>50000</v>
      </c>
      <c r="L12" s="339">
        <v>-40000</v>
      </c>
      <c r="M12" s="329">
        <f t="shared" si="3"/>
        <v>10000</v>
      </c>
      <c r="N12" s="79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611"/>
    </row>
    <row r="13" spans="1:26" ht="12.75" customHeight="1">
      <c r="A13" s="78" t="s">
        <v>120</v>
      </c>
      <c r="B13" s="79" t="s">
        <v>432</v>
      </c>
      <c r="C13" s="80"/>
      <c r="D13" s="80"/>
      <c r="E13" s="80"/>
      <c r="F13" s="339"/>
      <c r="G13" s="81"/>
      <c r="H13" s="339"/>
      <c r="I13" s="81"/>
      <c r="J13" s="339"/>
      <c r="K13" s="329">
        <f t="shared" si="2"/>
        <v>0</v>
      </c>
      <c r="L13" s="339"/>
      <c r="M13" s="329">
        <f t="shared" si="3"/>
        <v>0</v>
      </c>
      <c r="N13" s="84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611"/>
    </row>
    <row r="14" spans="1:26" ht="12.75" customHeight="1" thickBot="1">
      <c r="A14" s="78" t="s">
        <v>121</v>
      </c>
      <c r="B14" s="84"/>
      <c r="C14" s="80"/>
      <c r="D14" s="80"/>
      <c r="E14" s="80"/>
      <c r="F14" s="339"/>
      <c r="G14" s="339"/>
      <c r="H14" s="339"/>
      <c r="I14" s="339"/>
      <c r="J14" s="339"/>
      <c r="K14" s="339"/>
      <c r="L14" s="339"/>
      <c r="M14" s="339"/>
      <c r="N14" s="84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611"/>
    </row>
    <row r="15" spans="1:26" ht="15.75" customHeight="1" thickBot="1">
      <c r="A15" s="330" t="s">
        <v>122</v>
      </c>
      <c r="B15" s="86" t="s">
        <v>433</v>
      </c>
      <c r="C15" s="87">
        <f aca="true" t="shared" si="4" ref="C15:I15">SUM(C7:C14)</f>
        <v>255357547</v>
      </c>
      <c r="D15" s="87">
        <f t="shared" si="4"/>
        <v>0</v>
      </c>
      <c r="E15" s="87">
        <f t="shared" si="4"/>
        <v>255357547</v>
      </c>
      <c r="F15" s="348">
        <f t="shared" si="4"/>
        <v>0</v>
      </c>
      <c r="G15" s="87">
        <f t="shared" si="4"/>
        <v>255357547</v>
      </c>
      <c r="H15" s="348">
        <f t="shared" si="4"/>
        <v>2494167</v>
      </c>
      <c r="I15" s="87">
        <f t="shared" si="4"/>
        <v>257851714</v>
      </c>
      <c r="J15" s="348">
        <f>SUM(J7:J14)</f>
        <v>37178082</v>
      </c>
      <c r="K15" s="87">
        <f>SUM(K7:K14)</f>
        <v>295029796</v>
      </c>
      <c r="L15" s="87">
        <f>SUM(L7:L14)</f>
        <v>11024546</v>
      </c>
      <c r="M15" s="87">
        <f>SUM(M7:M14)</f>
        <v>306054342</v>
      </c>
      <c r="N15" s="86" t="s">
        <v>434</v>
      </c>
      <c r="O15" s="331">
        <f>SUM(O7:O14)</f>
        <v>160354999</v>
      </c>
      <c r="P15" s="331">
        <v>164071999</v>
      </c>
      <c r="Q15" s="331">
        <f aca="true" t="shared" si="5" ref="Q15:Y15">SUM(Q7:Q14)</f>
        <v>324426998</v>
      </c>
      <c r="R15" s="331">
        <f t="shared" si="5"/>
        <v>3200000</v>
      </c>
      <c r="S15" s="331">
        <f t="shared" si="5"/>
        <v>167271999</v>
      </c>
      <c r="T15" s="331">
        <f t="shared" si="5"/>
        <v>9468939</v>
      </c>
      <c r="U15" s="331">
        <f t="shared" si="5"/>
        <v>176740938</v>
      </c>
      <c r="V15" s="331">
        <f t="shared" si="5"/>
        <v>12180808</v>
      </c>
      <c r="W15" s="331">
        <f t="shared" si="5"/>
        <v>188921746</v>
      </c>
      <c r="X15" s="331">
        <f t="shared" si="5"/>
        <v>37170965</v>
      </c>
      <c r="Y15" s="331">
        <f t="shared" si="5"/>
        <v>226092711</v>
      </c>
      <c r="Z15" s="611"/>
    </row>
    <row r="16" spans="1:26" ht="12.75" customHeight="1">
      <c r="A16" s="78" t="s">
        <v>195</v>
      </c>
      <c r="B16" s="332" t="s">
        <v>435</v>
      </c>
      <c r="C16" s="318">
        <f>+C17+C18+C19+C20</f>
        <v>0</v>
      </c>
      <c r="D16" s="318">
        <f>+D17+D18+D19+D20</f>
        <v>0</v>
      </c>
      <c r="E16" s="318"/>
      <c r="F16" s="352">
        <f>+F17+F18+F19+F20</f>
        <v>0</v>
      </c>
      <c r="G16" s="319"/>
      <c r="H16" s="352">
        <f>+H17+H18+H19+H20</f>
        <v>0</v>
      </c>
      <c r="I16" s="319"/>
      <c r="J16" s="352">
        <f>+J17+J18+J19+J20</f>
        <v>0</v>
      </c>
      <c r="K16" s="319"/>
      <c r="L16" s="352">
        <f>+L17+L18+L19+L20</f>
        <v>4488745</v>
      </c>
      <c r="M16" s="352">
        <f>+M17+M18+M19+M20</f>
        <v>4488745</v>
      </c>
      <c r="N16" s="333" t="s">
        <v>200</v>
      </c>
      <c r="O16" s="340"/>
      <c r="P16" s="318"/>
      <c r="Q16" s="319"/>
      <c r="R16" s="318">
        <f>+R17+R18+R19+R20</f>
        <v>0</v>
      </c>
      <c r="S16" s="319"/>
      <c r="T16" s="318">
        <f>+T17+T18+T19+T20</f>
        <v>0</v>
      </c>
      <c r="U16" s="319"/>
      <c r="V16" s="318">
        <f>+V17+V18+V19+V20</f>
        <v>0</v>
      </c>
      <c r="W16" s="319"/>
      <c r="X16" s="318">
        <f>+X17+X18+X19+X20</f>
        <v>0</v>
      </c>
      <c r="Y16" s="319"/>
      <c r="Z16" s="611"/>
    </row>
    <row r="17" spans="1:26" ht="12.75" customHeight="1">
      <c r="A17" s="78" t="s">
        <v>196</v>
      </c>
      <c r="B17" s="333" t="s">
        <v>436</v>
      </c>
      <c r="C17" s="88">
        <v>0</v>
      </c>
      <c r="D17" s="88">
        <v>0</v>
      </c>
      <c r="E17" s="88"/>
      <c r="F17" s="353">
        <v>0</v>
      </c>
      <c r="G17" s="89"/>
      <c r="H17" s="353">
        <v>0</v>
      </c>
      <c r="I17" s="89"/>
      <c r="J17" s="353">
        <v>0</v>
      </c>
      <c r="K17" s="89"/>
      <c r="L17" s="353">
        <v>0</v>
      </c>
      <c r="M17" s="89"/>
      <c r="N17" s="333" t="s">
        <v>437</v>
      </c>
      <c r="O17" s="88"/>
      <c r="P17" s="88"/>
      <c r="Q17" s="89"/>
      <c r="R17" s="88">
        <v>0</v>
      </c>
      <c r="S17" s="89"/>
      <c r="T17" s="88">
        <v>0</v>
      </c>
      <c r="U17" s="89"/>
      <c r="V17" s="88">
        <v>0</v>
      </c>
      <c r="W17" s="89"/>
      <c r="X17" s="88">
        <v>0</v>
      </c>
      <c r="Y17" s="89"/>
      <c r="Z17" s="611"/>
    </row>
    <row r="18" spans="1:26" ht="12.75" customHeight="1">
      <c r="A18" s="78" t="s">
        <v>197</v>
      </c>
      <c r="B18" s="333" t="s">
        <v>438</v>
      </c>
      <c r="C18" s="88"/>
      <c r="D18" s="88"/>
      <c r="E18" s="88"/>
      <c r="F18" s="353"/>
      <c r="G18" s="89"/>
      <c r="H18" s="353"/>
      <c r="I18" s="89"/>
      <c r="J18" s="353"/>
      <c r="K18" s="89"/>
      <c r="L18" s="353"/>
      <c r="M18" s="89"/>
      <c r="N18" s="333" t="s">
        <v>203</v>
      </c>
      <c r="O18" s="88"/>
      <c r="P18" s="88"/>
      <c r="Q18" s="89"/>
      <c r="R18" s="88"/>
      <c r="S18" s="89"/>
      <c r="T18" s="88"/>
      <c r="U18" s="89"/>
      <c r="V18" s="88"/>
      <c r="W18" s="89"/>
      <c r="X18" s="88"/>
      <c r="Y18" s="89"/>
      <c r="Z18" s="611"/>
    </row>
    <row r="19" spans="1:26" ht="12.75" customHeight="1">
      <c r="A19" s="78" t="s">
        <v>198</v>
      </c>
      <c r="B19" s="333" t="s">
        <v>439</v>
      </c>
      <c r="C19" s="88"/>
      <c r="D19" s="88"/>
      <c r="E19" s="88"/>
      <c r="F19" s="353"/>
      <c r="G19" s="89"/>
      <c r="H19" s="353"/>
      <c r="I19" s="89"/>
      <c r="J19" s="353"/>
      <c r="K19" s="89"/>
      <c r="L19" s="353"/>
      <c r="M19" s="89"/>
      <c r="N19" s="333" t="s">
        <v>205</v>
      </c>
      <c r="O19" s="88"/>
      <c r="P19" s="88"/>
      <c r="Q19" s="89"/>
      <c r="R19" s="88"/>
      <c r="S19" s="89"/>
      <c r="T19" s="88"/>
      <c r="U19" s="89"/>
      <c r="V19" s="88"/>
      <c r="W19" s="89"/>
      <c r="X19" s="88"/>
      <c r="Y19" s="89"/>
      <c r="Z19" s="611"/>
    </row>
    <row r="20" spans="1:26" ht="12.75" customHeight="1">
      <c r="A20" s="78" t="s">
        <v>199</v>
      </c>
      <c r="B20" s="333" t="s">
        <v>440</v>
      </c>
      <c r="C20" s="88"/>
      <c r="D20" s="88"/>
      <c r="E20" s="88"/>
      <c r="F20" s="353"/>
      <c r="G20" s="89"/>
      <c r="H20" s="353"/>
      <c r="I20" s="89"/>
      <c r="J20" s="353"/>
      <c r="K20" s="89"/>
      <c r="L20" s="353">
        <v>4488745</v>
      </c>
      <c r="M20" s="89">
        <f>L20</f>
        <v>4488745</v>
      </c>
      <c r="N20" s="332" t="s">
        <v>207</v>
      </c>
      <c r="O20" s="88"/>
      <c r="P20" s="88"/>
      <c r="Q20" s="89"/>
      <c r="R20" s="88"/>
      <c r="S20" s="89"/>
      <c r="T20" s="88"/>
      <c r="U20" s="89"/>
      <c r="V20" s="88"/>
      <c r="W20" s="89"/>
      <c r="X20" s="88"/>
      <c r="Y20" s="89"/>
      <c r="Z20" s="611"/>
    </row>
    <row r="21" spans="1:26" ht="12.75" customHeight="1">
      <c r="A21" s="78" t="s">
        <v>201</v>
      </c>
      <c r="B21" s="333" t="s">
        <v>441</v>
      </c>
      <c r="C21" s="90">
        <f>+C22+C23</f>
        <v>0</v>
      </c>
      <c r="D21" s="90">
        <f>+D22+D23</f>
        <v>0</v>
      </c>
      <c r="E21" s="90"/>
      <c r="F21" s="354">
        <f>+F22+F23</f>
        <v>0</v>
      </c>
      <c r="G21" s="291"/>
      <c r="H21" s="354">
        <f>+H22+H23</f>
        <v>0</v>
      </c>
      <c r="I21" s="291"/>
      <c r="J21" s="354">
        <f>+J22+J23</f>
        <v>0</v>
      </c>
      <c r="K21" s="291"/>
      <c r="L21" s="354">
        <f>+L22+L23</f>
        <v>0</v>
      </c>
      <c r="M21" s="291"/>
      <c r="N21" s="333" t="s">
        <v>442</v>
      </c>
      <c r="O21" s="88"/>
      <c r="P21" s="90"/>
      <c r="Q21" s="291"/>
      <c r="R21" s="90">
        <f>+R22+R23</f>
        <v>0</v>
      </c>
      <c r="S21" s="291"/>
      <c r="T21" s="90">
        <f>+T22+T23</f>
        <v>0</v>
      </c>
      <c r="U21" s="291"/>
      <c r="V21" s="90">
        <f>+V22+V23</f>
        <v>0</v>
      </c>
      <c r="W21" s="291"/>
      <c r="X21" s="90">
        <f>+X22+X23</f>
        <v>0</v>
      </c>
      <c r="Y21" s="291"/>
      <c r="Z21" s="611"/>
    </row>
    <row r="22" spans="1:26" ht="12.75" customHeight="1">
      <c r="A22" s="78" t="s">
        <v>202</v>
      </c>
      <c r="B22" s="334" t="s">
        <v>443</v>
      </c>
      <c r="C22" s="88"/>
      <c r="D22" s="88"/>
      <c r="E22" s="88"/>
      <c r="F22" s="353"/>
      <c r="G22" s="89"/>
      <c r="H22" s="353"/>
      <c r="I22" s="89"/>
      <c r="J22" s="353"/>
      <c r="K22" s="89"/>
      <c r="L22" s="353"/>
      <c r="M22" s="89"/>
      <c r="N22" s="76" t="s">
        <v>444</v>
      </c>
      <c r="O22" s="88"/>
      <c r="P22" s="88"/>
      <c r="Q22" s="89"/>
      <c r="R22" s="88"/>
      <c r="S22" s="89"/>
      <c r="T22" s="88"/>
      <c r="U22" s="89"/>
      <c r="V22" s="88"/>
      <c r="W22" s="89"/>
      <c r="X22" s="88"/>
      <c r="Y22" s="89"/>
      <c r="Z22" s="611"/>
    </row>
    <row r="23" spans="1:26" ht="12.75" customHeight="1">
      <c r="A23" s="78" t="s">
        <v>204</v>
      </c>
      <c r="B23" s="335" t="s">
        <v>445</v>
      </c>
      <c r="C23" s="88"/>
      <c r="D23" s="88"/>
      <c r="E23" s="88"/>
      <c r="F23" s="353"/>
      <c r="G23" s="89"/>
      <c r="H23" s="353"/>
      <c r="I23" s="89"/>
      <c r="J23" s="353"/>
      <c r="K23" s="89"/>
      <c r="L23" s="353"/>
      <c r="M23" s="89"/>
      <c r="N23" s="79" t="s">
        <v>446</v>
      </c>
      <c r="O23" s="88"/>
      <c r="P23" s="88"/>
      <c r="Q23" s="89"/>
      <c r="R23" s="88"/>
      <c r="S23" s="89"/>
      <c r="T23" s="88"/>
      <c r="U23" s="89"/>
      <c r="V23" s="88"/>
      <c r="W23" s="89"/>
      <c r="X23" s="88"/>
      <c r="Y23" s="89"/>
      <c r="Z23" s="611"/>
    </row>
    <row r="24" spans="1:26" ht="12.75" customHeight="1">
      <c r="A24" s="78" t="s">
        <v>206</v>
      </c>
      <c r="B24" s="335" t="s">
        <v>447</v>
      </c>
      <c r="C24" s="88"/>
      <c r="D24" s="88"/>
      <c r="E24" s="88"/>
      <c r="F24" s="353"/>
      <c r="G24" s="89"/>
      <c r="H24" s="353"/>
      <c r="I24" s="89"/>
      <c r="J24" s="353"/>
      <c r="K24" s="89"/>
      <c r="L24" s="353"/>
      <c r="M24" s="89"/>
      <c r="N24" s="79" t="s">
        <v>448</v>
      </c>
      <c r="O24" s="88"/>
      <c r="P24" s="88"/>
      <c r="Q24" s="89"/>
      <c r="R24" s="88"/>
      <c r="S24" s="89"/>
      <c r="T24" s="88"/>
      <c r="U24" s="89"/>
      <c r="V24" s="88"/>
      <c r="W24" s="89"/>
      <c r="X24" s="88"/>
      <c r="Y24" s="89"/>
      <c r="Z24" s="611"/>
    </row>
    <row r="25" spans="1:26" ht="12.75" customHeight="1">
      <c r="A25" s="78" t="s">
        <v>208</v>
      </c>
      <c r="B25" s="335" t="s">
        <v>449</v>
      </c>
      <c r="C25" s="88"/>
      <c r="D25" s="88"/>
      <c r="E25" s="88"/>
      <c r="F25" s="353"/>
      <c r="G25" s="89"/>
      <c r="H25" s="353"/>
      <c r="I25" s="89"/>
      <c r="J25" s="353"/>
      <c r="K25" s="89"/>
      <c r="L25" s="353"/>
      <c r="M25" s="89"/>
      <c r="N25" s="79" t="s">
        <v>244</v>
      </c>
      <c r="O25" s="88">
        <v>4276181</v>
      </c>
      <c r="P25" s="88">
        <v>4276181</v>
      </c>
      <c r="Q25" s="89">
        <f>O25+P25</f>
        <v>8552362</v>
      </c>
      <c r="R25" s="88"/>
      <c r="S25" s="89">
        <f>P25</f>
        <v>4276181</v>
      </c>
      <c r="T25" s="88"/>
      <c r="U25" s="89">
        <f>S25+T25</f>
        <v>4276181</v>
      </c>
      <c r="V25" s="88"/>
      <c r="W25" s="89">
        <f>U25+V25</f>
        <v>4276181</v>
      </c>
      <c r="X25" s="88">
        <v>10083</v>
      </c>
      <c r="Y25" s="89">
        <f>W25+X25</f>
        <v>4286264</v>
      </c>
      <c r="Z25" s="611"/>
    </row>
    <row r="26" spans="1:26" ht="12.75" customHeight="1" thickBot="1">
      <c r="A26" s="78" t="s">
        <v>209</v>
      </c>
      <c r="B26" s="335" t="s">
        <v>449</v>
      </c>
      <c r="C26" s="343"/>
      <c r="D26" s="343"/>
      <c r="E26" s="343"/>
      <c r="F26" s="356"/>
      <c r="G26" s="357"/>
      <c r="H26" s="356"/>
      <c r="I26" s="357"/>
      <c r="J26" s="356"/>
      <c r="K26" s="357"/>
      <c r="L26" s="356"/>
      <c r="M26" s="357"/>
      <c r="N26" s="336" t="s">
        <v>420</v>
      </c>
      <c r="O26" s="343">
        <v>73299977</v>
      </c>
      <c r="P26" s="343">
        <v>73299977</v>
      </c>
      <c r="Q26" s="89">
        <f>O26+P26</f>
        <v>146599954</v>
      </c>
      <c r="R26" s="343"/>
      <c r="S26" s="89">
        <f>P26</f>
        <v>73299977</v>
      </c>
      <c r="T26" s="343">
        <v>3046000</v>
      </c>
      <c r="U26" s="89">
        <f>S26+T26</f>
        <v>76345977</v>
      </c>
      <c r="V26" s="343">
        <v>-1101149</v>
      </c>
      <c r="W26" s="89">
        <f>U26+V26</f>
        <v>75244828</v>
      </c>
      <c r="X26" s="343">
        <v>-2570938</v>
      </c>
      <c r="Y26" s="89">
        <f>W26+X26</f>
        <v>72673890</v>
      </c>
      <c r="Z26" s="611"/>
    </row>
    <row r="27" spans="1:26" ht="22.5" customHeight="1" thickBot="1">
      <c r="A27" s="78" t="s">
        <v>210</v>
      </c>
      <c r="B27" s="337" t="s">
        <v>450</v>
      </c>
      <c r="C27" s="331">
        <f>+C16+C21+C24+C26</f>
        <v>0</v>
      </c>
      <c r="D27" s="307">
        <f>+D16+D21+D24+D26</f>
        <v>0</v>
      </c>
      <c r="E27" s="307"/>
      <c r="F27" s="307">
        <f>+F16+F21+F24+F26</f>
        <v>0</v>
      </c>
      <c r="G27" s="307"/>
      <c r="H27" s="307">
        <f>+H16+H21+H24+H26</f>
        <v>0</v>
      </c>
      <c r="I27" s="307"/>
      <c r="J27" s="307">
        <f>+J16+J21+J24+J26</f>
        <v>0</v>
      </c>
      <c r="K27" s="307"/>
      <c r="L27" s="307">
        <f>+L16+L21+L24+L26</f>
        <v>4488745</v>
      </c>
      <c r="M27" s="307">
        <f>+M16+M21+M24+M26</f>
        <v>4488745</v>
      </c>
      <c r="N27" s="86" t="s">
        <v>451</v>
      </c>
      <c r="O27" s="331">
        <f>SUM(O16:O26)</f>
        <v>77576158</v>
      </c>
      <c r="P27" s="331">
        <v>77576158</v>
      </c>
      <c r="Q27" s="331">
        <f aca="true" t="shared" si="6" ref="Q27:W27">SUM(Q16:Q26)</f>
        <v>155152316</v>
      </c>
      <c r="R27" s="331">
        <f t="shared" si="6"/>
        <v>0</v>
      </c>
      <c r="S27" s="331">
        <f t="shared" si="6"/>
        <v>77576158</v>
      </c>
      <c r="T27" s="331">
        <f t="shared" si="6"/>
        <v>3046000</v>
      </c>
      <c r="U27" s="331">
        <f t="shared" si="6"/>
        <v>80622158</v>
      </c>
      <c r="V27" s="331">
        <f t="shared" si="6"/>
        <v>-1101149</v>
      </c>
      <c r="W27" s="331">
        <f t="shared" si="6"/>
        <v>79521009</v>
      </c>
      <c r="X27" s="331">
        <f>SUM(X16:X26)</f>
        <v>-2560855</v>
      </c>
      <c r="Y27" s="331">
        <f>SUM(Y16:Y26)</f>
        <v>76960154</v>
      </c>
      <c r="Z27" s="611"/>
    </row>
    <row r="28" spans="1:26" ht="13.5" thickBot="1">
      <c r="A28" s="330" t="s">
        <v>211</v>
      </c>
      <c r="B28" s="91" t="s">
        <v>452</v>
      </c>
      <c r="C28" s="92">
        <f>+C15+C27</f>
        <v>255357547</v>
      </c>
      <c r="D28" s="92">
        <f>+D15+D27</f>
        <v>0</v>
      </c>
      <c r="E28" s="355">
        <f>+E15+E27</f>
        <v>255357547</v>
      </c>
      <c r="F28" s="92">
        <v>0</v>
      </c>
      <c r="G28" s="92">
        <f aca="true" t="shared" si="7" ref="G28:M28">+G15+G27</f>
        <v>255357547</v>
      </c>
      <c r="H28" s="92">
        <f t="shared" si="7"/>
        <v>2494167</v>
      </c>
      <c r="I28" s="92">
        <f t="shared" si="7"/>
        <v>257851714</v>
      </c>
      <c r="J28" s="92">
        <f t="shared" si="7"/>
        <v>37178082</v>
      </c>
      <c r="K28" s="92">
        <f t="shared" si="7"/>
        <v>295029796</v>
      </c>
      <c r="L28" s="92">
        <f t="shared" si="7"/>
        <v>15513291</v>
      </c>
      <c r="M28" s="92">
        <f t="shared" si="7"/>
        <v>310543087</v>
      </c>
      <c r="N28" s="91" t="s">
        <v>453</v>
      </c>
      <c r="O28" s="92">
        <f>+O15+O27</f>
        <v>237931157</v>
      </c>
      <c r="P28" s="92">
        <f>P15+P27</f>
        <v>241648157</v>
      </c>
      <c r="Q28" s="92">
        <f>Q15+Q27</f>
        <v>479579314</v>
      </c>
      <c r="R28" s="92">
        <f>R15+R27</f>
        <v>3200000</v>
      </c>
      <c r="S28" s="92">
        <f aca="true" t="shared" si="8" ref="S28:Y28">+S15+S27</f>
        <v>244848157</v>
      </c>
      <c r="T28" s="92">
        <f t="shared" si="8"/>
        <v>12514939</v>
      </c>
      <c r="U28" s="92">
        <f t="shared" si="8"/>
        <v>257363096</v>
      </c>
      <c r="V28" s="92">
        <f t="shared" si="8"/>
        <v>11079659</v>
      </c>
      <c r="W28" s="92">
        <f t="shared" si="8"/>
        <v>268442755</v>
      </c>
      <c r="X28" s="92">
        <f t="shared" si="8"/>
        <v>34610110</v>
      </c>
      <c r="Y28" s="92">
        <f t="shared" si="8"/>
        <v>303052865</v>
      </c>
      <c r="Z28" s="611"/>
    </row>
    <row r="29" spans="1:26" ht="13.5" thickBot="1">
      <c r="A29" s="330" t="s">
        <v>454</v>
      </c>
      <c r="B29" s="91" t="s">
        <v>455</v>
      </c>
      <c r="C29" s="92" t="s">
        <v>466</v>
      </c>
      <c r="D29" s="92"/>
      <c r="E29" s="355" t="s">
        <v>466</v>
      </c>
      <c r="F29" s="92">
        <f>R15-F15</f>
        <v>3200000</v>
      </c>
      <c r="G29" s="92" t="s">
        <v>466</v>
      </c>
      <c r="H29" s="92" t="s">
        <v>466</v>
      </c>
      <c r="I29" s="92" t="s">
        <v>466</v>
      </c>
      <c r="J29" s="92" t="s">
        <v>466</v>
      </c>
      <c r="K29" s="92" t="s">
        <v>466</v>
      </c>
      <c r="L29" s="92" t="s">
        <v>466</v>
      </c>
      <c r="M29" s="92" t="s">
        <v>466</v>
      </c>
      <c r="N29" s="91" t="s">
        <v>456</v>
      </c>
      <c r="O29" s="92">
        <f>IF(C15-O15&gt;0,C15-O15,"-")</f>
        <v>95002548</v>
      </c>
      <c r="P29" s="92">
        <f>E15-P15</f>
        <v>91285548</v>
      </c>
      <c r="Q29" s="92" t="str">
        <f aca="true" t="shared" si="9" ref="Q29:Y29">IF(E15-Q15&gt;0,E15-Q15,"-")</f>
        <v>-</v>
      </c>
      <c r="R29" s="92" t="str">
        <f t="shared" si="9"/>
        <v>-</v>
      </c>
      <c r="S29" s="92">
        <f t="shared" si="9"/>
        <v>88085548</v>
      </c>
      <c r="T29" s="92" t="str">
        <f t="shared" si="9"/>
        <v>-</v>
      </c>
      <c r="U29" s="92">
        <f t="shared" si="9"/>
        <v>81110776</v>
      </c>
      <c r="V29" s="92">
        <f t="shared" si="9"/>
        <v>24997274</v>
      </c>
      <c r="W29" s="92">
        <f t="shared" si="9"/>
        <v>106108050</v>
      </c>
      <c r="X29" s="92" t="str">
        <f t="shared" si="9"/>
        <v>-</v>
      </c>
      <c r="Y29" s="92">
        <f t="shared" si="9"/>
        <v>79961631</v>
      </c>
      <c r="Z29" s="611"/>
    </row>
    <row r="30" spans="1:26" ht="13.5" thickBot="1">
      <c r="A30" s="330" t="s">
        <v>457</v>
      </c>
      <c r="B30" s="91" t="s">
        <v>458</v>
      </c>
      <c r="C30" s="92" t="s">
        <v>466</v>
      </c>
      <c r="D30" s="92"/>
      <c r="E30" s="355" t="s">
        <v>466</v>
      </c>
      <c r="F30" s="92">
        <f>R28-F28</f>
        <v>3200000</v>
      </c>
      <c r="G30" s="92" t="s">
        <v>466</v>
      </c>
      <c r="H30" s="92" t="s">
        <v>466</v>
      </c>
      <c r="I30" s="92" t="s">
        <v>466</v>
      </c>
      <c r="J30" s="92" t="s">
        <v>466</v>
      </c>
      <c r="K30" s="92" t="s">
        <v>466</v>
      </c>
      <c r="L30" s="92" t="s">
        <v>466</v>
      </c>
      <c r="M30" s="92" t="s">
        <v>466</v>
      </c>
      <c r="N30" s="91" t="s">
        <v>459</v>
      </c>
      <c r="O30" s="92">
        <f>IF(C15+C27-O28&gt;0,C15+C27-O28,"-")</f>
        <v>17426390</v>
      </c>
      <c r="P30" s="92">
        <f>E28-P28</f>
        <v>13709390</v>
      </c>
      <c r="Q30" s="92" t="str">
        <f aca="true" t="shared" si="10" ref="Q30:Y30">IF(E15+E27-Q28&gt;0,E15+E27-Q28,"-")</f>
        <v>-</v>
      </c>
      <c r="R30" s="92" t="str">
        <f t="shared" si="10"/>
        <v>-</v>
      </c>
      <c r="S30" s="92">
        <f t="shared" si="10"/>
        <v>10509390</v>
      </c>
      <c r="T30" s="92" t="str">
        <f t="shared" si="10"/>
        <v>-</v>
      </c>
      <c r="U30" s="92">
        <f t="shared" si="10"/>
        <v>488618</v>
      </c>
      <c r="V30" s="92">
        <f t="shared" si="10"/>
        <v>26098423</v>
      </c>
      <c r="W30" s="92">
        <f t="shared" si="10"/>
        <v>26587041</v>
      </c>
      <c r="X30" s="92" t="str">
        <f t="shared" si="10"/>
        <v>-</v>
      </c>
      <c r="Y30" s="92">
        <f t="shared" si="10"/>
        <v>7490222</v>
      </c>
      <c r="Z30" s="611"/>
    </row>
    <row r="31" spans="2:14" ht="18.75">
      <c r="B31" s="614"/>
      <c r="C31" s="614"/>
      <c r="D31" s="614"/>
      <c r="E31" s="614"/>
      <c r="F31" s="614"/>
      <c r="G31" s="614"/>
      <c r="H31" s="614"/>
      <c r="I31" s="614"/>
      <c r="J31" s="614"/>
      <c r="K31" s="614"/>
      <c r="L31" s="614"/>
      <c r="M31" s="614"/>
      <c r="N31" s="614"/>
    </row>
  </sheetData>
  <sheetProtection/>
  <mergeCells count="6">
    <mergeCell ref="Z1:Z30"/>
    <mergeCell ref="A4:A5"/>
    <mergeCell ref="B31:N31"/>
    <mergeCell ref="A2:B2"/>
    <mergeCell ref="A3:B3"/>
    <mergeCell ref="A1:Y1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68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zoomScale="110" zoomScaleNormal="110" zoomScaleSheetLayoutView="115" zoomScalePageLayoutView="0" workbookViewId="0" topLeftCell="A1">
      <selection activeCell="A3" sqref="A3:B3"/>
    </sheetView>
  </sheetViews>
  <sheetFormatPr defaultColWidth="8.00390625" defaultRowHeight="12.75"/>
  <cols>
    <col min="1" max="1" width="5.8515625" style="63" customWidth="1"/>
    <col min="2" max="2" width="40.7109375" style="65" customWidth="1"/>
    <col min="3" max="3" width="13.140625" style="63" customWidth="1"/>
    <col min="4" max="4" width="12.57421875" style="63" hidden="1" customWidth="1"/>
    <col min="5" max="5" width="13.28125" style="63" hidden="1" customWidth="1"/>
    <col min="6" max="6" width="12.57421875" style="63" hidden="1" customWidth="1"/>
    <col min="7" max="7" width="13.28125" style="63" hidden="1" customWidth="1"/>
    <col min="8" max="8" width="12.57421875" style="63" hidden="1" customWidth="1"/>
    <col min="9" max="9" width="14.28125" style="63" hidden="1" customWidth="1"/>
    <col min="10" max="10" width="12.57421875" style="63" hidden="1" customWidth="1"/>
    <col min="11" max="11" width="14.28125" style="63" hidden="1" customWidth="1"/>
    <col min="12" max="12" width="12.57421875" style="63" hidden="1" customWidth="1"/>
    <col min="13" max="13" width="14.00390625" style="63" customWidth="1"/>
    <col min="14" max="14" width="12.57421875" style="63" customWidth="1"/>
    <col min="15" max="15" width="13.57421875" style="63" customWidth="1"/>
    <col min="16" max="16" width="40.57421875" style="63" customWidth="1"/>
    <col min="17" max="17" width="14.421875" style="63" customWidth="1"/>
    <col min="18" max="18" width="12.7109375" style="63" hidden="1" customWidth="1"/>
    <col min="19" max="19" width="13.57421875" style="63" hidden="1" customWidth="1"/>
    <col min="20" max="20" width="12.7109375" style="63" hidden="1" customWidth="1"/>
    <col min="21" max="21" width="13.7109375" style="63" hidden="1" customWidth="1"/>
    <col min="22" max="22" width="12.7109375" style="63" hidden="1" customWidth="1"/>
    <col min="23" max="23" width="13.7109375" style="63" hidden="1" customWidth="1"/>
    <col min="24" max="24" width="12.7109375" style="63" hidden="1" customWidth="1"/>
    <col min="25" max="25" width="13.7109375" style="63" hidden="1" customWidth="1"/>
    <col min="26" max="26" width="12.7109375" style="63" hidden="1" customWidth="1"/>
    <col min="27" max="27" width="13.7109375" style="63" customWidth="1"/>
    <col min="28" max="28" width="12.7109375" style="63" customWidth="1"/>
    <col min="29" max="29" width="13.7109375" style="63" customWidth="1"/>
    <col min="30" max="30" width="4.140625" style="63" customWidth="1"/>
    <col min="31" max="16384" width="8.00390625" style="63" customWidth="1"/>
  </cols>
  <sheetData>
    <row r="1" spans="1:30" ht="38.25" customHeight="1">
      <c r="A1" s="615" t="s">
        <v>212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266"/>
    </row>
    <row r="2" spans="1:30" ht="19.5" customHeight="1">
      <c r="A2" s="600" t="s">
        <v>629</v>
      </c>
      <c r="B2" s="600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347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266"/>
    </row>
    <row r="3" spans="1:30" ht="15.75" thickBot="1">
      <c r="A3" s="599" t="s">
        <v>464</v>
      </c>
      <c r="B3" s="599"/>
      <c r="Q3" s="203"/>
      <c r="S3" s="203"/>
      <c r="U3" s="203"/>
      <c r="W3" s="203"/>
      <c r="Y3" s="203"/>
      <c r="AA3" s="203"/>
      <c r="AC3" s="203" t="s">
        <v>319</v>
      </c>
      <c r="AD3" s="266"/>
    </row>
    <row r="4" spans="1:30" ht="13.5" thickBot="1">
      <c r="A4" s="616" t="s">
        <v>192</v>
      </c>
      <c r="B4" s="66" t="s">
        <v>97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6" t="s">
        <v>98</v>
      </c>
      <c r="Q4" s="326"/>
      <c r="R4" s="70"/>
      <c r="S4" s="326"/>
      <c r="T4" s="70"/>
      <c r="U4" s="326"/>
      <c r="V4" s="70"/>
      <c r="W4" s="326"/>
      <c r="X4" s="70"/>
      <c r="Y4" s="326"/>
      <c r="Z4" s="70"/>
      <c r="AA4" s="326"/>
      <c r="AB4" s="70"/>
      <c r="AC4" s="326"/>
      <c r="AD4" s="266"/>
    </row>
    <row r="5" spans="1:30" s="71" customFormat="1" ht="36.75" thickBot="1">
      <c r="A5" s="617"/>
      <c r="B5" s="69" t="s">
        <v>193</v>
      </c>
      <c r="C5" s="70" t="s">
        <v>361</v>
      </c>
      <c r="D5" s="70" t="s">
        <v>410</v>
      </c>
      <c r="E5" s="70" t="s">
        <v>406</v>
      </c>
      <c r="F5" s="70" t="s">
        <v>422</v>
      </c>
      <c r="G5" s="70" t="s">
        <v>461</v>
      </c>
      <c r="H5" s="70" t="s">
        <v>475</v>
      </c>
      <c r="I5" s="70" t="s">
        <v>471</v>
      </c>
      <c r="J5" s="70" t="s">
        <v>532</v>
      </c>
      <c r="K5" s="70" t="s">
        <v>521</v>
      </c>
      <c r="L5" s="70" t="s">
        <v>545</v>
      </c>
      <c r="M5" s="70" t="s">
        <v>540</v>
      </c>
      <c r="N5" s="70" t="s">
        <v>610</v>
      </c>
      <c r="O5" s="70" t="s">
        <v>605</v>
      </c>
      <c r="P5" s="292" t="s">
        <v>193</v>
      </c>
      <c r="Q5" s="306" t="s">
        <v>361</v>
      </c>
      <c r="R5" s="306" t="s">
        <v>410</v>
      </c>
      <c r="S5" s="306" t="s">
        <v>406</v>
      </c>
      <c r="T5" s="306" t="s">
        <v>465</v>
      </c>
      <c r="U5" s="306" t="s">
        <v>417</v>
      </c>
      <c r="V5" s="306" t="s">
        <v>475</v>
      </c>
      <c r="W5" s="306" t="s">
        <v>471</v>
      </c>
      <c r="X5" s="70" t="s">
        <v>532</v>
      </c>
      <c r="Y5" s="70" t="s">
        <v>521</v>
      </c>
      <c r="Z5" s="70" t="s">
        <v>545</v>
      </c>
      <c r="AA5" s="70" t="s">
        <v>540</v>
      </c>
      <c r="AB5" s="70" t="s">
        <v>610</v>
      </c>
      <c r="AC5" s="70" t="s">
        <v>605</v>
      </c>
      <c r="AD5" s="266"/>
    </row>
    <row r="6" spans="1:30" s="71" customFormat="1" ht="13.5" thickBot="1">
      <c r="A6" s="72" t="s">
        <v>92</v>
      </c>
      <c r="B6" s="73" t="s">
        <v>93</v>
      </c>
      <c r="C6" s="74" t="s">
        <v>94</v>
      </c>
      <c r="D6" s="74" t="s">
        <v>94</v>
      </c>
      <c r="E6" s="74" t="s">
        <v>95</v>
      </c>
      <c r="F6" s="74" t="s">
        <v>96</v>
      </c>
      <c r="G6" s="74" t="s">
        <v>95</v>
      </c>
      <c r="H6" s="74" t="s">
        <v>96</v>
      </c>
      <c r="I6" s="74" t="s">
        <v>95</v>
      </c>
      <c r="J6" s="74" t="s">
        <v>96</v>
      </c>
      <c r="K6" s="74" t="s">
        <v>95</v>
      </c>
      <c r="L6" s="74" t="s">
        <v>96</v>
      </c>
      <c r="M6" s="74" t="s">
        <v>95</v>
      </c>
      <c r="N6" s="74" t="s">
        <v>96</v>
      </c>
      <c r="O6" s="74" t="s">
        <v>304</v>
      </c>
      <c r="P6" s="293" t="s">
        <v>308</v>
      </c>
      <c r="Q6" s="72" t="s">
        <v>412</v>
      </c>
      <c r="R6" s="72" t="s">
        <v>94</v>
      </c>
      <c r="S6" s="72" t="s">
        <v>463</v>
      </c>
      <c r="T6" s="72" t="s">
        <v>467</v>
      </c>
      <c r="U6" s="72" t="s">
        <v>463</v>
      </c>
      <c r="V6" s="72" t="s">
        <v>467</v>
      </c>
      <c r="W6" s="349" t="s">
        <v>463</v>
      </c>
      <c r="X6" s="72" t="s">
        <v>467</v>
      </c>
      <c r="Y6" s="349" t="s">
        <v>463</v>
      </c>
      <c r="Z6" s="72" t="s">
        <v>467</v>
      </c>
      <c r="AA6" s="349" t="s">
        <v>468</v>
      </c>
      <c r="AB6" s="72" t="s">
        <v>467</v>
      </c>
      <c r="AC6" s="349" t="s">
        <v>468</v>
      </c>
      <c r="AD6" s="266"/>
    </row>
    <row r="7" spans="1:30" ht="12.75" customHeight="1">
      <c r="A7" s="75" t="s">
        <v>114</v>
      </c>
      <c r="B7" s="76" t="s">
        <v>213</v>
      </c>
      <c r="C7" s="77">
        <v>86185955</v>
      </c>
      <c r="D7" s="77">
        <v>3706875</v>
      </c>
      <c r="E7" s="77">
        <f>C7+D7</f>
        <v>89892830</v>
      </c>
      <c r="F7" s="77">
        <v>0</v>
      </c>
      <c r="G7" s="77">
        <f>E7+F7</f>
        <v>89892830</v>
      </c>
      <c r="H7" s="77">
        <v>0</v>
      </c>
      <c r="I7" s="77">
        <f>G7+H7</f>
        <v>89892830</v>
      </c>
      <c r="J7" s="77">
        <v>0</v>
      </c>
      <c r="K7" s="77">
        <f>I7+J7</f>
        <v>89892830</v>
      </c>
      <c r="L7" s="77">
        <v>-25243148</v>
      </c>
      <c r="M7" s="77">
        <f>K7+L7</f>
        <v>64649682</v>
      </c>
      <c r="N7" s="77">
        <v>-64381682</v>
      </c>
      <c r="O7" s="77">
        <f aca="true" t="shared" si="0" ref="O7:O12">M7+N7</f>
        <v>268000</v>
      </c>
      <c r="P7" s="294" t="s">
        <v>83</v>
      </c>
      <c r="Q7" s="309">
        <v>38100000</v>
      </c>
      <c r="R7" s="310">
        <v>4206875</v>
      </c>
      <c r="S7" s="311">
        <f>Q7+R7</f>
        <v>42306875</v>
      </c>
      <c r="T7" s="310">
        <v>0</v>
      </c>
      <c r="U7" s="311">
        <f>S7+T7</f>
        <v>42306875</v>
      </c>
      <c r="V7" s="310">
        <v>-18850000</v>
      </c>
      <c r="W7" s="81">
        <f aca="true" t="shared" si="1" ref="W7:W12">U7+V7</f>
        <v>23456875</v>
      </c>
      <c r="X7" s="310">
        <v>-2101369</v>
      </c>
      <c r="Y7" s="81">
        <f aca="true" t="shared" si="2" ref="Y7:Y12">W7+X7</f>
        <v>21355506</v>
      </c>
      <c r="Z7" s="310">
        <v>16219747</v>
      </c>
      <c r="AA7" s="81">
        <f aca="true" t="shared" si="3" ref="AA7:AA12">Y7+Z7</f>
        <v>37575253</v>
      </c>
      <c r="AB7" s="310">
        <v>2213964</v>
      </c>
      <c r="AC7" s="81">
        <f aca="true" t="shared" si="4" ref="AC7:AC12">AA7+AB7</f>
        <v>39789217</v>
      </c>
      <c r="AD7" s="266"/>
    </row>
    <row r="8" spans="1:30" ht="12.75">
      <c r="A8" s="78" t="s">
        <v>115</v>
      </c>
      <c r="B8" s="79" t="s">
        <v>214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77">
        <f t="shared" si="0"/>
        <v>0</v>
      </c>
      <c r="P8" s="295" t="s">
        <v>215</v>
      </c>
      <c r="Q8" s="312">
        <v>35000000</v>
      </c>
      <c r="R8" s="80">
        <v>0</v>
      </c>
      <c r="S8" s="81">
        <v>0</v>
      </c>
      <c r="T8" s="80">
        <v>0</v>
      </c>
      <c r="U8" s="81">
        <v>0</v>
      </c>
      <c r="V8" s="80">
        <v>0</v>
      </c>
      <c r="W8" s="81">
        <f t="shared" si="1"/>
        <v>0</v>
      </c>
      <c r="X8" s="80">
        <v>0</v>
      </c>
      <c r="Y8" s="81">
        <f t="shared" si="2"/>
        <v>0</v>
      </c>
      <c r="Z8" s="80">
        <v>0</v>
      </c>
      <c r="AA8" s="81">
        <f t="shared" si="3"/>
        <v>0</v>
      </c>
      <c r="AB8" s="80">
        <v>0</v>
      </c>
      <c r="AC8" s="81">
        <f t="shared" si="4"/>
        <v>0</v>
      </c>
      <c r="AD8" s="266"/>
    </row>
    <row r="9" spans="1:30" ht="12.75" customHeight="1">
      <c r="A9" s="78" t="s">
        <v>116</v>
      </c>
      <c r="B9" s="79" t="s">
        <v>39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11000</v>
      </c>
      <c r="O9" s="77">
        <f t="shared" si="0"/>
        <v>11000</v>
      </c>
      <c r="P9" s="296" t="s">
        <v>85</v>
      </c>
      <c r="Q9" s="313">
        <v>95154097</v>
      </c>
      <c r="R9" s="80">
        <v>0</v>
      </c>
      <c r="S9" s="81">
        <f>Q9</f>
        <v>95154097</v>
      </c>
      <c r="T9" s="80">
        <v>-3717000</v>
      </c>
      <c r="U9" s="81">
        <f>S9+T9</f>
        <v>91437097</v>
      </c>
      <c r="V9" s="80">
        <v>-1410000</v>
      </c>
      <c r="W9" s="81">
        <f t="shared" si="1"/>
        <v>90027097</v>
      </c>
      <c r="X9" s="80">
        <v>-7551833</v>
      </c>
      <c r="Y9" s="81">
        <f t="shared" si="2"/>
        <v>82475264</v>
      </c>
      <c r="Z9" s="80">
        <v>-10555264</v>
      </c>
      <c r="AA9" s="81">
        <f t="shared" si="3"/>
        <v>71920000</v>
      </c>
      <c r="AB9" s="80">
        <v>-55000000</v>
      </c>
      <c r="AC9" s="81">
        <f t="shared" si="4"/>
        <v>16920000</v>
      </c>
      <c r="AD9" s="266"/>
    </row>
    <row r="10" spans="1:30" ht="12.75" customHeight="1">
      <c r="A10" s="78" t="s">
        <v>117</v>
      </c>
      <c r="B10" s="79" t="s">
        <v>216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77">
        <f t="shared" si="0"/>
        <v>0</v>
      </c>
      <c r="P10" s="295" t="s">
        <v>217</v>
      </c>
      <c r="Q10" s="312">
        <v>72344097</v>
      </c>
      <c r="R10" s="80">
        <v>0</v>
      </c>
      <c r="S10" s="81">
        <v>0</v>
      </c>
      <c r="T10" s="80">
        <v>0</v>
      </c>
      <c r="U10" s="81">
        <v>0</v>
      </c>
      <c r="V10" s="80">
        <v>0</v>
      </c>
      <c r="W10" s="81">
        <f t="shared" si="1"/>
        <v>0</v>
      </c>
      <c r="X10" s="80">
        <v>0</v>
      </c>
      <c r="Y10" s="81">
        <f t="shared" si="2"/>
        <v>0</v>
      </c>
      <c r="Z10" s="80">
        <v>0</v>
      </c>
      <c r="AA10" s="81">
        <f t="shared" si="3"/>
        <v>0</v>
      </c>
      <c r="AB10" s="80">
        <v>0</v>
      </c>
      <c r="AC10" s="81">
        <f t="shared" si="4"/>
        <v>0</v>
      </c>
      <c r="AD10" s="266"/>
    </row>
    <row r="11" spans="1:30" ht="12.75" customHeight="1">
      <c r="A11" s="78" t="s">
        <v>118</v>
      </c>
      <c r="B11" s="79" t="s">
        <v>218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77">
        <f t="shared" si="0"/>
        <v>0</v>
      </c>
      <c r="P11" s="296" t="s">
        <v>219</v>
      </c>
      <c r="Q11" s="313">
        <v>550000</v>
      </c>
      <c r="R11" s="80"/>
      <c r="S11" s="81">
        <f>Q11</f>
        <v>550000</v>
      </c>
      <c r="T11" s="80"/>
      <c r="U11" s="81">
        <f>S11</f>
        <v>550000</v>
      </c>
      <c r="V11" s="80">
        <v>38170301</v>
      </c>
      <c r="W11" s="81">
        <f t="shared" si="1"/>
        <v>38720301</v>
      </c>
      <c r="X11" s="80">
        <v>411050</v>
      </c>
      <c r="Y11" s="81">
        <f t="shared" si="2"/>
        <v>39131351</v>
      </c>
      <c r="Z11" s="80">
        <v>0</v>
      </c>
      <c r="AA11" s="81">
        <f t="shared" si="3"/>
        <v>39131351</v>
      </c>
      <c r="AB11" s="80">
        <v>0</v>
      </c>
      <c r="AC11" s="81">
        <f t="shared" si="4"/>
        <v>39131351</v>
      </c>
      <c r="AD11" s="266"/>
    </row>
    <row r="12" spans="1:30" ht="12.75" customHeight="1">
      <c r="A12" s="78" t="s">
        <v>119</v>
      </c>
      <c r="B12" s="79" t="s">
        <v>220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77">
        <f t="shared" si="0"/>
        <v>0</v>
      </c>
      <c r="P12" s="82" t="s">
        <v>194</v>
      </c>
      <c r="Q12" s="313">
        <v>57879594</v>
      </c>
      <c r="R12" s="80">
        <v>-500000</v>
      </c>
      <c r="S12" s="81">
        <v>57379594</v>
      </c>
      <c r="T12" s="80">
        <v>0</v>
      </c>
      <c r="U12" s="81">
        <f>S12</f>
        <v>57379594</v>
      </c>
      <c r="V12" s="80">
        <v>-21110301</v>
      </c>
      <c r="W12" s="81">
        <f t="shared" si="1"/>
        <v>36269293</v>
      </c>
      <c r="X12" s="80">
        <v>-778620</v>
      </c>
      <c r="Y12" s="81">
        <f t="shared" si="2"/>
        <v>35490673</v>
      </c>
      <c r="Z12" s="80">
        <v>-4809208</v>
      </c>
      <c r="AA12" s="81">
        <f t="shared" si="3"/>
        <v>30681465</v>
      </c>
      <c r="AB12" s="80">
        <v>-30681465</v>
      </c>
      <c r="AC12" s="81">
        <f t="shared" si="4"/>
        <v>0</v>
      </c>
      <c r="AD12" s="266"/>
    </row>
    <row r="13" spans="1:30" ht="13.5" thickBot="1">
      <c r="A13" s="78" t="s">
        <v>120</v>
      </c>
      <c r="B13" s="84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297"/>
      <c r="Q13" s="314"/>
      <c r="R13" s="315"/>
      <c r="S13" s="316"/>
      <c r="T13" s="315"/>
      <c r="U13" s="316"/>
      <c r="V13" s="315"/>
      <c r="W13" s="316"/>
      <c r="X13" s="315"/>
      <c r="Y13" s="316"/>
      <c r="Z13" s="315"/>
      <c r="AA13" s="316"/>
      <c r="AB13" s="315"/>
      <c r="AC13" s="316"/>
      <c r="AD13" s="266"/>
    </row>
    <row r="14" spans="1:30" ht="15.75" customHeight="1" thickBot="1">
      <c r="A14" s="85" t="s">
        <v>121</v>
      </c>
      <c r="B14" s="86" t="s">
        <v>362</v>
      </c>
      <c r="C14" s="87">
        <f aca="true" t="shared" si="5" ref="C14:I14">+C7+C9+C10+C12+C13</f>
        <v>86185955</v>
      </c>
      <c r="D14" s="87">
        <f t="shared" si="5"/>
        <v>3706875</v>
      </c>
      <c r="E14" s="87">
        <f t="shared" si="5"/>
        <v>89892830</v>
      </c>
      <c r="F14" s="87">
        <f t="shared" si="5"/>
        <v>0</v>
      </c>
      <c r="G14" s="87">
        <f t="shared" si="5"/>
        <v>89892830</v>
      </c>
      <c r="H14" s="87">
        <f t="shared" si="5"/>
        <v>0</v>
      </c>
      <c r="I14" s="87">
        <f t="shared" si="5"/>
        <v>89892830</v>
      </c>
      <c r="J14" s="87">
        <f aca="true" t="shared" si="6" ref="J14:O14">+J7+J9+J10+J12+J13</f>
        <v>0</v>
      </c>
      <c r="K14" s="87">
        <f t="shared" si="6"/>
        <v>89892830</v>
      </c>
      <c r="L14" s="87">
        <f t="shared" si="6"/>
        <v>-25243148</v>
      </c>
      <c r="M14" s="87">
        <f t="shared" si="6"/>
        <v>64649682</v>
      </c>
      <c r="N14" s="87">
        <f t="shared" si="6"/>
        <v>-64370682</v>
      </c>
      <c r="O14" s="87">
        <f t="shared" si="6"/>
        <v>279000</v>
      </c>
      <c r="P14" s="298" t="s">
        <v>367</v>
      </c>
      <c r="Q14" s="307">
        <f>+Q7+Q9+Q11+Q12+Q13</f>
        <v>191683691</v>
      </c>
      <c r="R14" s="307">
        <f>+R7+R9+R10+R12+R13</f>
        <v>3706875</v>
      </c>
      <c r="S14" s="307">
        <f aca="true" t="shared" si="7" ref="S14:Y14">+S7+S9+S10+S12+S13+S11</f>
        <v>195390566</v>
      </c>
      <c r="T14" s="307">
        <f t="shared" si="7"/>
        <v>-3717000</v>
      </c>
      <c r="U14" s="307">
        <f t="shared" si="7"/>
        <v>191673566</v>
      </c>
      <c r="V14" s="307">
        <f t="shared" si="7"/>
        <v>-3200000</v>
      </c>
      <c r="W14" s="307">
        <f t="shared" si="7"/>
        <v>188473566</v>
      </c>
      <c r="X14" s="307">
        <f t="shared" si="7"/>
        <v>-10020772</v>
      </c>
      <c r="Y14" s="307">
        <f t="shared" si="7"/>
        <v>178452794</v>
      </c>
      <c r="Z14" s="307">
        <f>+Z7+Z9+Z10+Z12+Z13+Z11</f>
        <v>855275</v>
      </c>
      <c r="AA14" s="307">
        <f>+AA7+AA9+AA10+AA12+AA13+AA11</f>
        <v>179308069</v>
      </c>
      <c r="AB14" s="307">
        <f>+AB7+AB9+AB10+AB12+AB13+AB11</f>
        <v>-83467501</v>
      </c>
      <c r="AC14" s="307">
        <f>+AC7+AC9+AC10+AC12+AC13+AC11</f>
        <v>95840568</v>
      </c>
      <c r="AD14" s="266"/>
    </row>
    <row r="15" spans="1:30" ht="12.75" customHeight="1">
      <c r="A15" s="75" t="s">
        <v>122</v>
      </c>
      <c r="B15" s="93" t="s">
        <v>363</v>
      </c>
      <c r="C15" s="94">
        <f aca="true" t="shared" si="8" ref="C15:I15">+C16+C17+C18+C19+C20</f>
        <v>88071346</v>
      </c>
      <c r="D15" s="94">
        <f t="shared" si="8"/>
        <v>0</v>
      </c>
      <c r="E15" s="94">
        <f t="shared" si="8"/>
        <v>88071346</v>
      </c>
      <c r="F15" s="94">
        <f t="shared" si="8"/>
        <v>0</v>
      </c>
      <c r="G15" s="94">
        <f t="shared" si="8"/>
        <v>88071346</v>
      </c>
      <c r="H15" s="94">
        <f t="shared" si="8"/>
        <v>0</v>
      </c>
      <c r="I15" s="94">
        <f t="shared" si="8"/>
        <v>88071346</v>
      </c>
      <c r="J15" s="94">
        <f aca="true" t="shared" si="9" ref="J15:O15">+J16+J17+J18+J19+J20</f>
        <v>0</v>
      </c>
      <c r="K15" s="94">
        <f t="shared" si="9"/>
        <v>88071346</v>
      </c>
      <c r="L15" s="94">
        <f t="shared" si="9"/>
        <v>0</v>
      </c>
      <c r="M15" s="94">
        <f t="shared" si="9"/>
        <v>88071346</v>
      </c>
      <c r="N15" s="94">
        <f t="shared" si="9"/>
        <v>0</v>
      </c>
      <c r="O15" s="94">
        <f t="shared" si="9"/>
        <v>88071346</v>
      </c>
      <c r="P15" s="299" t="s">
        <v>200</v>
      </c>
      <c r="Q15" s="317"/>
      <c r="R15" s="318">
        <f aca="true" t="shared" si="10" ref="R15:W15">+R16+R17+R18+R19+R20</f>
        <v>0</v>
      </c>
      <c r="S15" s="319">
        <f t="shared" si="10"/>
        <v>0</v>
      </c>
      <c r="T15" s="318">
        <f t="shared" si="10"/>
        <v>0</v>
      </c>
      <c r="U15" s="319">
        <f t="shared" si="10"/>
        <v>0</v>
      </c>
      <c r="V15" s="318">
        <f t="shared" si="10"/>
        <v>0</v>
      </c>
      <c r="W15" s="319">
        <f t="shared" si="10"/>
        <v>0</v>
      </c>
      <c r="X15" s="318">
        <f aca="true" t="shared" si="11" ref="X15:AC15">+X16+X17+X18+X19+X20</f>
        <v>0</v>
      </c>
      <c r="Y15" s="319">
        <f t="shared" si="11"/>
        <v>0</v>
      </c>
      <c r="Z15" s="318">
        <f t="shared" si="11"/>
        <v>0</v>
      </c>
      <c r="AA15" s="319">
        <f t="shared" si="11"/>
        <v>0</v>
      </c>
      <c r="AB15" s="318">
        <f t="shared" si="11"/>
        <v>0</v>
      </c>
      <c r="AC15" s="319">
        <f t="shared" si="11"/>
        <v>0</v>
      </c>
      <c r="AD15" s="266"/>
    </row>
    <row r="16" spans="1:30" ht="12.75" customHeight="1">
      <c r="A16" s="78" t="s">
        <v>195</v>
      </c>
      <c r="B16" s="95" t="s">
        <v>221</v>
      </c>
      <c r="C16" s="88">
        <v>88071346</v>
      </c>
      <c r="D16" s="88">
        <v>0</v>
      </c>
      <c r="E16" s="88">
        <v>88071346</v>
      </c>
      <c r="F16" s="88">
        <v>0</v>
      </c>
      <c r="G16" s="88">
        <v>88071346</v>
      </c>
      <c r="H16" s="88">
        <v>0</v>
      </c>
      <c r="I16" s="88">
        <v>88071346</v>
      </c>
      <c r="J16" s="88">
        <v>0</v>
      </c>
      <c r="K16" s="88">
        <v>88071346</v>
      </c>
      <c r="L16" s="88">
        <v>0</v>
      </c>
      <c r="M16" s="88">
        <v>88071346</v>
      </c>
      <c r="N16" s="88">
        <v>0</v>
      </c>
      <c r="O16" s="88">
        <v>88071346</v>
      </c>
      <c r="P16" s="299" t="s">
        <v>222</v>
      </c>
      <c r="Q16" s="320"/>
      <c r="R16" s="88">
        <v>0</v>
      </c>
      <c r="S16" s="89">
        <v>0</v>
      </c>
      <c r="T16" s="88">
        <v>0</v>
      </c>
      <c r="U16" s="89">
        <v>0</v>
      </c>
      <c r="V16" s="88">
        <v>0</v>
      </c>
      <c r="W16" s="89">
        <v>0</v>
      </c>
      <c r="X16" s="88">
        <v>0</v>
      </c>
      <c r="Y16" s="89">
        <v>0</v>
      </c>
      <c r="Z16" s="88">
        <v>0</v>
      </c>
      <c r="AA16" s="89">
        <v>0</v>
      </c>
      <c r="AB16" s="88">
        <v>0</v>
      </c>
      <c r="AC16" s="89">
        <v>0</v>
      </c>
      <c r="AD16" s="266"/>
    </row>
    <row r="17" spans="1:30" ht="12.75" customHeight="1">
      <c r="A17" s="75" t="s">
        <v>196</v>
      </c>
      <c r="B17" s="95" t="s">
        <v>223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299" t="s">
        <v>203</v>
      </c>
      <c r="Q17" s="320"/>
      <c r="R17" s="88"/>
      <c r="S17" s="89"/>
      <c r="T17" s="88"/>
      <c r="U17" s="89"/>
      <c r="V17" s="88"/>
      <c r="W17" s="89"/>
      <c r="X17" s="88"/>
      <c r="Y17" s="89"/>
      <c r="Z17" s="88"/>
      <c r="AA17" s="89"/>
      <c r="AB17" s="88"/>
      <c r="AC17" s="89"/>
      <c r="AD17" s="266"/>
    </row>
    <row r="18" spans="1:30" ht="12.75" customHeight="1">
      <c r="A18" s="78" t="s">
        <v>197</v>
      </c>
      <c r="B18" s="95" t="s">
        <v>224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299" t="s">
        <v>205</v>
      </c>
      <c r="Q18" s="320"/>
      <c r="R18" s="88"/>
      <c r="S18" s="89"/>
      <c r="T18" s="88"/>
      <c r="U18" s="89"/>
      <c r="V18" s="88"/>
      <c r="W18" s="89"/>
      <c r="X18" s="88"/>
      <c r="Y18" s="89"/>
      <c r="Z18" s="88"/>
      <c r="AA18" s="89"/>
      <c r="AB18" s="88"/>
      <c r="AC18" s="89"/>
      <c r="AD18" s="266"/>
    </row>
    <row r="19" spans="1:30" ht="12.75" customHeight="1">
      <c r="A19" s="75" t="s">
        <v>198</v>
      </c>
      <c r="B19" s="95" t="s">
        <v>225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300" t="s">
        <v>207</v>
      </c>
      <c r="Q19" s="320"/>
      <c r="R19" s="88"/>
      <c r="S19" s="89"/>
      <c r="T19" s="88"/>
      <c r="U19" s="89"/>
      <c r="V19" s="88"/>
      <c r="W19" s="89"/>
      <c r="X19" s="88"/>
      <c r="Y19" s="89"/>
      <c r="Z19" s="88"/>
      <c r="AA19" s="89"/>
      <c r="AB19" s="88"/>
      <c r="AC19" s="89"/>
      <c r="AD19" s="266"/>
    </row>
    <row r="20" spans="1:30" ht="12.75" customHeight="1">
      <c r="A20" s="78" t="s">
        <v>199</v>
      </c>
      <c r="B20" s="96" t="s">
        <v>226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299" t="s">
        <v>227</v>
      </c>
      <c r="Q20" s="320"/>
      <c r="R20" s="88"/>
      <c r="S20" s="89"/>
      <c r="T20" s="88"/>
      <c r="U20" s="89"/>
      <c r="V20" s="88"/>
      <c r="W20" s="89"/>
      <c r="X20" s="88"/>
      <c r="Y20" s="89"/>
      <c r="Z20" s="88"/>
      <c r="AA20" s="89"/>
      <c r="AB20" s="88"/>
      <c r="AC20" s="89"/>
      <c r="AD20" s="266"/>
    </row>
    <row r="21" spans="1:30" ht="12.75" customHeight="1">
      <c r="A21" s="75" t="s">
        <v>201</v>
      </c>
      <c r="B21" s="97" t="s">
        <v>364</v>
      </c>
      <c r="C21" s="90">
        <f aca="true" t="shared" si="12" ref="C21:I21">+C22+C23+C24+C25+C26</f>
        <v>0</v>
      </c>
      <c r="D21" s="90">
        <f t="shared" si="12"/>
        <v>0</v>
      </c>
      <c r="E21" s="90">
        <f t="shared" si="12"/>
        <v>0</v>
      </c>
      <c r="F21" s="90">
        <f t="shared" si="12"/>
        <v>0</v>
      </c>
      <c r="G21" s="90">
        <f t="shared" si="12"/>
        <v>0</v>
      </c>
      <c r="H21" s="90">
        <f t="shared" si="12"/>
        <v>0</v>
      </c>
      <c r="I21" s="90">
        <f t="shared" si="12"/>
        <v>0</v>
      </c>
      <c r="J21" s="90">
        <f aca="true" t="shared" si="13" ref="J21:O21">+J22+J23+J24+J25+J26</f>
        <v>0</v>
      </c>
      <c r="K21" s="90">
        <f t="shared" si="13"/>
        <v>0</v>
      </c>
      <c r="L21" s="90">
        <f t="shared" si="13"/>
        <v>0</v>
      </c>
      <c r="M21" s="90">
        <f t="shared" si="13"/>
        <v>0</v>
      </c>
      <c r="N21" s="90">
        <f t="shared" si="13"/>
        <v>0</v>
      </c>
      <c r="O21" s="90">
        <f t="shared" si="13"/>
        <v>0</v>
      </c>
      <c r="P21" s="301" t="s">
        <v>228</v>
      </c>
      <c r="Q21" s="320"/>
      <c r="R21" s="90">
        <f aca="true" t="shared" si="14" ref="R21:W21">+R22+R23+R24+R25+R26</f>
        <v>0</v>
      </c>
      <c r="S21" s="291">
        <f t="shared" si="14"/>
        <v>0</v>
      </c>
      <c r="T21" s="90">
        <f t="shared" si="14"/>
        <v>0</v>
      </c>
      <c r="U21" s="291">
        <f t="shared" si="14"/>
        <v>0</v>
      </c>
      <c r="V21" s="90">
        <f t="shared" si="14"/>
        <v>0</v>
      </c>
      <c r="W21" s="291">
        <f t="shared" si="14"/>
        <v>0</v>
      </c>
      <c r="X21" s="90">
        <f aca="true" t="shared" si="15" ref="X21:AC21">+X22+X23+X24+X25+X26</f>
        <v>0</v>
      </c>
      <c r="Y21" s="291">
        <f t="shared" si="15"/>
        <v>0</v>
      </c>
      <c r="Z21" s="90">
        <f t="shared" si="15"/>
        <v>0</v>
      </c>
      <c r="AA21" s="291">
        <f t="shared" si="15"/>
        <v>0</v>
      </c>
      <c r="AB21" s="90">
        <f t="shared" si="15"/>
        <v>0</v>
      </c>
      <c r="AC21" s="291">
        <f t="shared" si="15"/>
        <v>0</v>
      </c>
      <c r="AD21" s="266"/>
    </row>
    <row r="22" spans="1:30" ht="12.75" customHeight="1">
      <c r="A22" s="78" t="s">
        <v>202</v>
      </c>
      <c r="B22" s="96" t="s">
        <v>229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301" t="s">
        <v>230</v>
      </c>
      <c r="Q22" s="320"/>
      <c r="R22" s="88"/>
      <c r="S22" s="89"/>
      <c r="T22" s="88"/>
      <c r="U22" s="89"/>
      <c r="V22" s="88"/>
      <c r="W22" s="89"/>
      <c r="X22" s="88"/>
      <c r="Y22" s="89"/>
      <c r="Z22" s="88"/>
      <c r="AA22" s="89"/>
      <c r="AB22" s="88"/>
      <c r="AC22" s="89"/>
      <c r="AD22" s="266"/>
    </row>
    <row r="23" spans="1:30" ht="12.75" customHeight="1">
      <c r="A23" s="75" t="s">
        <v>204</v>
      </c>
      <c r="B23" s="96" t="s">
        <v>231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302"/>
      <c r="Q23" s="320"/>
      <c r="R23" s="88"/>
      <c r="S23" s="89"/>
      <c r="T23" s="88"/>
      <c r="U23" s="89"/>
      <c r="V23" s="88"/>
      <c r="W23" s="89"/>
      <c r="X23" s="88"/>
      <c r="Y23" s="89"/>
      <c r="Z23" s="88"/>
      <c r="AA23" s="89"/>
      <c r="AB23" s="88"/>
      <c r="AC23" s="89"/>
      <c r="AD23" s="266"/>
    </row>
    <row r="24" spans="1:30" ht="12.75" customHeight="1">
      <c r="A24" s="78" t="s">
        <v>206</v>
      </c>
      <c r="B24" s="95" t="s">
        <v>186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303"/>
      <c r="Q24" s="320"/>
      <c r="R24" s="88"/>
      <c r="S24" s="89"/>
      <c r="T24" s="88"/>
      <c r="U24" s="89"/>
      <c r="V24" s="88"/>
      <c r="W24" s="89"/>
      <c r="X24" s="88"/>
      <c r="Y24" s="89"/>
      <c r="Z24" s="88"/>
      <c r="AA24" s="89"/>
      <c r="AB24" s="88"/>
      <c r="AC24" s="89"/>
      <c r="AD24" s="266"/>
    </row>
    <row r="25" spans="1:30" ht="12.75" customHeight="1">
      <c r="A25" s="75" t="s">
        <v>208</v>
      </c>
      <c r="B25" s="98" t="s">
        <v>232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304"/>
      <c r="Q25" s="320"/>
      <c r="R25" s="88"/>
      <c r="S25" s="89"/>
      <c r="T25" s="88"/>
      <c r="U25" s="89"/>
      <c r="V25" s="88"/>
      <c r="W25" s="89"/>
      <c r="X25" s="88"/>
      <c r="Y25" s="89"/>
      <c r="Z25" s="88"/>
      <c r="AA25" s="89"/>
      <c r="AB25" s="88"/>
      <c r="AC25" s="89"/>
      <c r="AD25" s="266"/>
    </row>
    <row r="26" spans="1:30" ht="12.75" customHeight="1" thickBot="1">
      <c r="A26" s="78" t="s">
        <v>209</v>
      </c>
      <c r="B26" s="99" t="s">
        <v>233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303"/>
      <c r="Q26" s="321"/>
      <c r="R26" s="322"/>
      <c r="S26" s="102"/>
      <c r="T26" s="322"/>
      <c r="U26" s="102"/>
      <c r="V26" s="322"/>
      <c r="W26" s="102"/>
      <c r="X26" s="322"/>
      <c r="Y26" s="102"/>
      <c r="Z26" s="322"/>
      <c r="AA26" s="102"/>
      <c r="AB26" s="322"/>
      <c r="AC26" s="102"/>
      <c r="AD26" s="266"/>
    </row>
    <row r="27" spans="1:30" ht="21.75" customHeight="1" thickBot="1">
      <c r="A27" s="85" t="s">
        <v>210</v>
      </c>
      <c r="B27" s="86" t="s">
        <v>365</v>
      </c>
      <c r="C27" s="87">
        <f aca="true" t="shared" si="16" ref="C27:I27">+C15+C21</f>
        <v>88071346</v>
      </c>
      <c r="D27" s="87">
        <f t="shared" si="16"/>
        <v>0</v>
      </c>
      <c r="E27" s="87">
        <f t="shared" si="16"/>
        <v>88071346</v>
      </c>
      <c r="F27" s="87">
        <f t="shared" si="16"/>
        <v>0</v>
      </c>
      <c r="G27" s="87">
        <f t="shared" si="16"/>
        <v>88071346</v>
      </c>
      <c r="H27" s="87">
        <f t="shared" si="16"/>
        <v>0</v>
      </c>
      <c r="I27" s="87">
        <f t="shared" si="16"/>
        <v>88071346</v>
      </c>
      <c r="J27" s="87">
        <f aca="true" t="shared" si="17" ref="J27:O27">+J15+J21</f>
        <v>0</v>
      </c>
      <c r="K27" s="87">
        <f t="shared" si="17"/>
        <v>88071346</v>
      </c>
      <c r="L27" s="87">
        <f t="shared" si="17"/>
        <v>0</v>
      </c>
      <c r="M27" s="87">
        <f t="shared" si="17"/>
        <v>88071346</v>
      </c>
      <c r="N27" s="87">
        <f t="shared" si="17"/>
        <v>0</v>
      </c>
      <c r="O27" s="87">
        <f t="shared" si="17"/>
        <v>88071346</v>
      </c>
      <c r="P27" s="298" t="s">
        <v>368</v>
      </c>
      <c r="Q27" s="307">
        <f>SUM(Q15:Q26)</f>
        <v>0</v>
      </c>
      <c r="R27" s="307">
        <f aca="true" t="shared" si="18" ref="R27:W27">+R15+R21</f>
        <v>0</v>
      </c>
      <c r="S27" s="307">
        <f t="shared" si="18"/>
        <v>0</v>
      </c>
      <c r="T27" s="307">
        <f t="shared" si="18"/>
        <v>0</v>
      </c>
      <c r="U27" s="307">
        <f t="shared" si="18"/>
        <v>0</v>
      </c>
      <c r="V27" s="307">
        <f t="shared" si="18"/>
        <v>0</v>
      </c>
      <c r="W27" s="307">
        <f t="shared" si="18"/>
        <v>0</v>
      </c>
      <c r="X27" s="307">
        <f aca="true" t="shared" si="19" ref="X27:AC27">+X15+X21</f>
        <v>0</v>
      </c>
      <c r="Y27" s="307">
        <f t="shared" si="19"/>
        <v>0</v>
      </c>
      <c r="Z27" s="307">
        <f t="shared" si="19"/>
        <v>0</v>
      </c>
      <c r="AA27" s="307">
        <f t="shared" si="19"/>
        <v>0</v>
      </c>
      <c r="AB27" s="307">
        <f t="shared" si="19"/>
        <v>0</v>
      </c>
      <c r="AC27" s="307">
        <f t="shared" si="19"/>
        <v>0</v>
      </c>
      <c r="AD27" s="266"/>
    </row>
    <row r="28" spans="1:30" ht="13.5" thickBot="1">
      <c r="A28" s="85" t="s">
        <v>211</v>
      </c>
      <c r="B28" s="91" t="s">
        <v>366</v>
      </c>
      <c r="C28" s="92">
        <f>+C14+C27</f>
        <v>174257301</v>
      </c>
      <c r="D28" s="92">
        <f aca="true" t="shared" si="20" ref="D28:I28">+D14+D27</f>
        <v>3706875</v>
      </c>
      <c r="E28" s="92">
        <f t="shared" si="20"/>
        <v>177964176</v>
      </c>
      <c r="F28" s="92">
        <f t="shared" si="20"/>
        <v>0</v>
      </c>
      <c r="G28" s="92">
        <f t="shared" si="20"/>
        <v>177964176</v>
      </c>
      <c r="H28" s="92">
        <f t="shared" si="20"/>
        <v>0</v>
      </c>
      <c r="I28" s="92">
        <f t="shared" si="20"/>
        <v>177964176</v>
      </c>
      <c r="J28" s="92">
        <f aca="true" t="shared" si="21" ref="J28:O28">+J14+J27</f>
        <v>0</v>
      </c>
      <c r="K28" s="92">
        <f t="shared" si="21"/>
        <v>177964176</v>
      </c>
      <c r="L28" s="92">
        <f t="shared" si="21"/>
        <v>-25243148</v>
      </c>
      <c r="M28" s="92">
        <f t="shared" si="21"/>
        <v>152721028</v>
      </c>
      <c r="N28" s="92">
        <f t="shared" si="21"/>
        <v>-64370682</v>
      </c>
      <c r="O28" s="92">
        <f t="shared" si="21"/>
        <v>88350346</v>
      </c>
      <c r="P28" s="305" t="s">
        <v>369</v>
      </c>
      <c r="Q28" s="308">
        <f>+Q14+Q27</f>
        <v>191683691</v>
      </c>
      <c r="R28" s="308">
        <f aca="true" t="shared" si="22" ref="R28:W28">+R14+R27</f>
        <v>3706875</v>
      </c>
      <c r="S28" s="308">
        <f t="shared" si="22"/>
        <v>195390566</v>
      </c>
      <c r="T28" s="308">
        <f t="shared" si="22"/>
        <v>-3717000</v>
      </c>
      <c r="U28" s="308">
        <f t="shared" si="22"/>
        <v>191673566</v>
      </c>
      <c r="V28" s="308">
        <f t="shared" si="22"/>
        <v>-3200000</v>
      </c>
      <c r="W28" s="308">
        <f t="shared" si="22"/>
        <v>188473566</v>
      </c>
      <c r="X28" s="308">
        <f aca="true" t="shared" si="23" ref="X28:AC28">+X14+X27</f>
        <v>-10020772</v>
      </c>
      <c r="Y28" s="308">
        <f t="shared" si="23"/>
        <v>178452794</v>
      </c>
      <c r="Z28" s="308">
        <f t="shared" si="23"/>
        <v>855275</v>
      </c>
      <c r="AA28" s="308">
        <f t="shared" si="23"/>
        <v>179308069</v>
      </c>
      <c r="AB28" s="308">
        <f t="shared" si="23"/>
        <v>-83467501</v>
      </c>
      <c r="AC28" s="308">
        <f t="shared" si="23"/>
        <v>95840568</v>
      </c>
      <c r="AD28" s="266"/>
    </row>
    <row r="29" spans="1:29" ht="13.5" thickBot="1">
      <c r="A29" s="330" t="s">
        <v>454</v>
      </c>
      <c r="B29" s="91" t="s">
        <v>455</v>
      </c>
      <c r="C29" s="92">
        <f>Q14-C14</f>
        <v>105497736</v>
      </c>
      <c r="D29" s="92">
        <f>R14-D14</f>
        <v>0</v>
      </c>
      <c r="E29" s="92">
        <f>S14-E14</f>
        <v>105497736</v>
      </c>
      <c r="F29" s="92">
        <f>T14-F14</f>
        <v>-3717000</v>
      </c>
      <c r="G29" s="92">
        <f>U14-G14</f>
        <v>101780736</v>
      </c>
      <c r="H29" s="92" t="s">
        <v>466</v>
      </c>
      <c r="I29" s="92">
        <f>W14-I14</f>
        <v>98580736</v>
      </c>
      <c r="J29" s="92"/>
      <c r="K29" s="92">
        <f>Y14-K14</f>
        <v>88559964</v>
      </c>
      <c r="L29" s="92">
        <f>Z14-L14</f>
        <v>26098423</v>
      </c>
      <c r="M29" s="92">
        <f>AA14-M14</f>
        <v>114658387</v>
      </c>
      <c r="N29" s="92" t="s">
        <v>466</v>
      </c>
      <c r="O29" s="92">
        <f>AC14-O14</f>
        <v>95561568</v>
      </c>
      <c r="P29" s="91" t="s">
        <v>456</v>
      </c>
      <c r="Q29" s="92" t="s">
        <v>466</v>
      </c>
      <c r="R29" s="92">
        <f>D14-R14</f>
        <v>0</v>
      </c>
      <c r="S29" s="92">
        <f>E14-S14</f>
        <v>-105497736</v>
      </c>
      <c r="T29" s="92">
        <f>F14-T14</f>
        <v>3717000</v>
      </c>
      <c r="U29" s="92" t="s">
        <v>466</v>
      </c>
      <c r="V29" s="92">
        <f>H14-V14</f>
        <v>3200000</v>
      </c>
      <c r="W29" s="92" t="s">
        <v>466</v>
      </c>
      <c r="X29" s="92" t="s">
        <v>466</v>
      </c>
      <c r="Y29" s="92" t="s">
        <v>466</v>
      </c>
      <c r="Z29" s="92" t="s">
        <v>466</v>
      </c>
      <c r="AA29" s="92" t="s">
        <v>466</v>
      </c>
      <c r="AB29" s="92" t="s">
        <v>466</v>
      </c>
      <c r="AC29" s="92" t="s">
        <v>466</v>
      </c>
    </row>
    <row r="30" spans="1:29" ht="16.5" customHeight="1" thickBot="1">
      <c r="A30" s="330" t="s">
        <v>457</v>
      </c>
      <c r="B30" s="91" t="s">
        <v>458</v>
      </c>
      <c r="C30" s="92">
        <f>Q28-C28</f>
        <v>17426390</v>
      </c>
      <c r="D30" s="92">
        <f>R28-D28</f>
        <v>0</v>
      </c>
      <c r="E30" s="92">
        <f>S28-E28</f>
        <v>17426390</v>
      </c>
      <c r="F30" s="92">
        <f>T28-F28</f>
        <v>-3717000</v>
      </c>
      <c r="G30" s="92">
        <f>U28-G28</f>
        <v>13709390</v>
      </c>
      <c r="H30" s="92" t="s">
        <v>466</v>
      </c>
      <c r="I30" s="92">
        <f>W28-I28</f>
        <v>10509390</v>
      </c>
      <c r="J30" s="92"/>
      <c r="K30" s="92">
        <f>Y28-K28</f>
        <v>488618</v>
      </c>
      <c r="L30" s="92">
        <f>Z28-L28</f>
        <v>26098423</v>
      </c>
      <c r="M30" s="92">
        <f>AA28-M28</f>
        <v>26587041</v>
      </c>
      <c r="N30" s="92" t="s">
        <v>466</v>
      </c>
      <c r="O30" s="92">
        <f>AC28-O28</f>
        <v>7490222</v>
      </c>
      <c r="P30" s="91" t="s">
        <v>459</v>
      </c>
      <c r="Q30" s="92" t="s">
        <v>466</v>
      </c>
      <c r="R30" s="92">
        <f>D28-R28</f>
        <v>0</v>
      </c>
      <c r="S30" s="92">
        <f>E28-S28</f>
        <v>-17426390</v>
      </c>
      <c r="T30" s="92">
        <f>F28-T28</f>
        <v>3717000</v>
      </c>
      <c r="U30" s="92" t="s">
        <v>466</v>
      </c>
      <c r="V30" s="92">
        <f>H28-V28</f>
        <v>3200000</v>
      </c>
      <c r="W30" s="92" t="s">
        <v>466</v>
      </c>
      <c r="X30" s="92" t="s">
        <v>466</v>
      </c>
      <c r="Y30" s="92" t="s">
        <v>466</v>
      </c>
      <c r="Z30" s="92" t="s">
        <v>466</v>
      </c>
      <c r="AA30" s="92" t="s">
        <v>466</v>
      </c>
      <c r="AB30" s="92" t="s">
        <v>466</v>
      </c>
      <c r="AC30" s="92" t="s">
        <v>466</v>
      </c>
    </row>
  </sheetData>
  <sheetProtection/>
  <mergeCells count="4">
    <mergeCell ref="A2:B2"/>
    <mergeCell ref="A3:B3"/>
    <mergeCell ref="A4:A5"/>
    <mergeCell ref="A1:AC1"/>
  </mergeCells>
  <printOptions horizontalCentered="1"/>
  <pageMargins left="0.7874015748031497" right="0.7874015748031497" top="0.4724409448818898" bottom="0.7874015748031497" header="0.4724409448818898" footer="0.7874015748031497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2019-02-14T13:17:00Z</cp:lastPrinted>
  <dcterms:created xsi:type="dcterms:W3CDTF">2014-10-28T13:28:45Z</dcterms:created>
  <dcterms:modified xsi:type="dcterms:W3CDTF">2019-02-25T10:08:50Z</dcterms:modified>
  <cp:category/>
  <cp:version/>
  <cp:contentType/>
  <cp:contentStatus/>
</cp:coreProperties>
</file>